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3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5.xml" ContentType="application/vnd.openxmlformats-officedocument.drawing+xml"/>
  <Override PartName="/xl/ctrlProps/ctrlProp1.xml" ContentType="application/vnd.ms-excel.controlproperties+xml"/>
  <Override PartName="/xl/drawings/drawing6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7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https://d.docs.live.net/45499fd0eb48eecf/Desktop/Equity Research Portfolio/"/>
    </mc:Choice>
  </mc:AlternateContent>
  <xr:revisionPtr revIDLastSave="0" documentId="8_{59EDDADB-EA0F-443C-AA26-44C25B18A9A0}" xr6:coauthVersionLast="47" xr6:coauthVersionMax="47" xr10:uidLastSave="{00000000-0000-0000-0000-000000000000}"/>
  <bookViews>
    <workbookView xWindow="72090" yWindow="1830" windowWidth="18720" windowHeight="11655" xr2:uid="{00000000-000D-0000-FFFF-FFFF00000000}"/>
  </bookViews>
  <sheets>
    <sheet name="Model" sheetId="1" r:id="rId1"/>
    <sheet name="Coal Valuation" sheetId="28" state="hidden" r:id="rId2"/>
    <sheet name="Copper Valuation" sheetId="29" state="hidden" r:id="rId3"/>
    <sheet name="Sheet6" sheetId="11" state="hidden" r:id="rId4"/>
    <sheet name="Sheet1" sheetId="25" state="hidden" r:id="rId5"/>
    <sheet name="NAV" sheetId="36" state="hidden" r:id="rId6"/>
    <sheet name="Sheet7" sheetId="35" state="hidden" r:id="rId7"/>
    <sheet name="Debt Schedule" sheetId="24" state="hidden" r:id="rId8"/>
    <sheet name="Pricing Assumptions Y" sheetId="20" r:id="rId9"/>
    <sheet name="Graphs" sheetId="26" state="hidden" r:id="rId10"/>
    <sheet name="Zinc TC Escalator" sheetId="18" r:id="rId11"/>
    <sheet name="Assumption Inputs" sheetId="21" r:id="rId12"/>
    <sheet name="Sheet4" sheetId="14" r:id="rId13"/>
    <sheet name="Valuation" sheetId="10" state="hidden" r:id="rId14"/>
    <sheet name="One Pager Forecast Sheet" sheetId="3" state="hidden" r:id="rId15"/>
    <sheet name="Coal Asset Life" sheetId="8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</externalReferences>
  <definedNames>
    <definedName name="catalyst" localSheetId="1">#REF!</definedName>
    <definedName name="catalyst" localSheetId="2">#REF!</definedName>
    <definedName name="catalyst">#REF!</definedName>
    <definedName name="Company_Name">'[1]IMG-DCF'!$F$8</definedName>
    <definedName name="Cost_of_Debt" localSheetId="1">#REF!</definedName>
    <definedName name="Cost_of_Debt" localSheetId="2">#REF!</definedName>
    <definedName name="Cost_of_Debt">#REF!</definedName>
    <definedName name="Cost_of_Preferred" localSheetId="1">#REF!</definedName>
    <definedName name="Cost_of_Preferred" localSheetId="2">#REF!</definedName>
    <definedName name="Cost_of_Preferred">#REF!</definedName>
    <definedName name="Cost_of_Preferred...">#REF!</definedName>
    <definedName name="Diluted_Shares">'[1]IMG-DCF'!$F$11</definedName>
    <definedName name="Equity_Risk_Premium" localSheetId="1">#REF!</definedName>
    <definedName name="Equity_Risk_Premium" localSheetId="2">#REF!</definedName>
    <definedName name="Equity_Risk_Premium">#REF!</definedName>
    <definedName name="filing_status">[2]Summary!$AE$5</definedName>
    <definedName name="Hist_Year">'[1]IMG-DCF'!$F$17</definedName>
    <definedName name="Pub_Comps_Data" localSheetId="1">#REF!</definedName>
    <definedName name="Pub_Comps_Data" localSheetId="2">#REF!</definedName>
    <definedName name="Pub_Comps_Data">#REF!</definedName>
    <definedName name="Risk_Free_Rate" localSheetId="1">#REF!</definedName>
    <definedName name="Risk_Free_Rate" localSheetId="2">#REF!</definedName>
    <definedName name="Risk_Free_Rate">#REF!</definedName>
    <definedName name="Share_Price">'[1]IMG-DCF'!$F$10</definedName>
    <definedName name="Tax_Rate">'[1]IMG-DCF'!$F$13</definedName>
    <definedName name="Ticker">[2]Summary!$F$5</definedName>
    <definedName name="Units">'[1]IMG-DCF'!$F$16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E15" i="1" l="1"/>
  <c r="AE16" i="1"/>
  <c r="H48" i="10" l="1"/>
  <c r="H17" i="10"/>
  <c r="G82" i="20"/>
  <c r="F86" i="20"/>
  <c r="E86" i="20"/>
  <c r="E82" i="20"/>
  <c r="F82" i="20"/>
  <c r="H82" i="20"/>
  <c r="I82" i="20"/>
  <c r="J82" i="20"/>
  <c r="K82" i="20"/>
  <c r="L82" i="20"/>
  <c r="M82" i="20"/>
  <c r="N82" i="20"/>
  <c r="O82" i="20"/>
  <c r="P82" i="20"/>
  <c r="Q82" i="20"/>
  <c r="R82" i="20"/>
  <c r="S82" i="20"/>
  <c r="T82" i="20"/>
  <c r="U82" i="20"/>
  <c r="V82" i="20"/>
  <c r="W82" i="20"/>
  <c r="X82" i="20"/>
  <c r="Y82" i="20"/>
  <c r="Z82" i="20"/>
  <c r="AA82" i="20"/>
  <c r="AB82" i="20"/>
  <c r="AC82" i="20"/>
  <c r="AD82" i="20"/>
  <c r="AE82" i="20"/>
  <c r="AF82" i="20"/>
  <c r="C75" i="20"/>
  <c r="C74" i="20"/>
  <c r="D72" i="20"/>
  <c r="D75" i="20"/>
  <c r="C67" i="20"/>
  <c r="C66" i="20"/>
  <c r="D64" i="20"/>
  <c r="D67" i="20"/>
  <c r="C59" i="20"/>
  <c r="C58" i="20"/>
  <c r="D65" i="20"/>
  <c r="E65" i="20"/>
  <c r="E62" i="20"/>
  <c r="D66" i="20"/>
  <c r="I57" i="20"/>
  <c r="J57" i="20"/>
  <c r="K57" i="20"/>
  <c r="L57" i="20"/>
  <c r="M57" i="20"/>
  <c r="N57" i="20"/>
  <c r="O57" i="20"/>
  <c r="P57" i="20"/>
  <c r="Q57" i="20"/>
  <c r="R57" i="20"/>
  <c r="S57" i="20"/>
  <c r="T57" i="20"/>
  <c r="U57" i="20"/>
  <c r="V57" i="20"/>
  <c r="W57" i="20"/>
  <c r="X57" i="20"/>
  <c r="Y57" i="20"/>
  <c r="Z57" i="20"/>
  <c r="AA57" i="20"/>
  <c r="AB57" i="20"/>
  <c r="AC57" i="20"/>
  <c r="AD57" i="20"/>
  <c r="AE57" i="20"/>
  <c r="AF57" i="20"/>
  <c r="D70" i="20"/>
  <c r="E70" i="20"/>
  <c r="F70" i="20"/>
  <c r="G70" i="20"/>
  <c r="H70" i="20"/>
  <c r="I73" i="20"/>
  <c r="D62" i="20"/>
  <c r="D74" i="20"/>
  <c r="G86" i="20"/>
  <c r="E64" i="20"/>
  <c r="E72" i="20"/>
  <c r="F65" i="20"/>
  <c r="E74" i="20"/>
  <c r="E75" i="20"/>
  <c r="F72" i="20"/>
  <c r="E66" i="20"/>
  <c r="E67" i="20"/>
  <c r="F64" i="20"/>
  <c r="I70" i="20"/>
  <c r="J73" i="20"/>
  <c r="H86" i="20"/>
  <c r="G65" i="20"/>
  <c r="F62" i="20"/>
  <c r="D56" i="20"/>
  <c r="E56" i="20"/>
  <c r="AF54" i="20"/>
  <c r="AE54" i="20"/>
  <c r="AD54" i="20"/>
  <c r="AC54" i="20"/>
  <c r="AB54" i="20"/>
  <c r="AA54" i="20"/>
  <c r="Z54" i="20"/>
  <c r="Y54" i="20"/>
  <c r="X54" i="20"/>
  <c r="W54" i="20"/>
  <c r="V54" i="20"/>
  <c r="U54" i="20"/>
  <c r="T54" i="20"/>
  <c r="S54" i="20"/>
  <c r="R54" i="20"/>
  <c r="Q54" i="20"/>
  <c r="P54" i="20"/>
  <c r="O54" i="20"/>
  <c r="N54" i="20"/>
  <c r="M54" i="20"/>
  <c r="L54" i="20"/>
  <c r="K54" i="20"/>
  <c r="J54" i="20"/>
  <c r="I54" i="20"/>
  <c r="H54" i="20"/>
  <c r="G54" i="20"/>
  <c r="F54" i="20"/>
  <c r="E54" i="20"/>
  <c r="D54" i="20"/>
  <c r="C51" i="20"/>
  <c r="C50" i="20"/>
  <c r="I49" i="20"/>
  <c r="J49" i="20"/>
  <c r="K49" i="20"/>
  <c r="L49" i="20"/>
  <c r="M49" i="20"/>
  <c r="N49" i="20"/>
  <c r="O49" i="20"/>
  <c r="P49" i="20"/>
  <c r="Q49" i="20"/>
  <c r="R49" i="20"/>
  <c r="S49" i="20"/>
  <c r="T49" i="20"/>
  <c r="U49" i="20"/>
  <c r="V49" i="20"/>
  <c r="W49" i="20"/>
  <c r="X49" i="20"/>
  <c r="Y49" i="20"/>
  <c r="Z49" i="20"/>
  <c r="AA49" i="20"/>
  <c r="AB49" i="20"/>
  <c r="AC49" i="20"/>
  <c r="AD49" i="20"/>
  <c r="AE49" i="20"/>
  <c r="AF49" i="20"/>
  <c r="G64" i="20"/>
  <c r="F67" i="20"/>
  <c r="F66" i="20"/>
  <c r="E58" i="20"/>
  <c r="E59" i="20"/>
  <c r="J70" i="20"/>
  <c r="K73" i="20"/>
  <c r="F56" i="20"/>
  <c r="H65" i="20"/>
  <c r="G62" i="20"/>
  <c r="F74" i="20"/>
  <c r="F75" i="20"/>
  <c r="G72" i="20"/>
  <c r="I86" i="20"/>
  <c r="D59" i="20"/>
  <c r="D58" i="20"/>
  <c r="E48" i="20"/>
  <c r="D48" i="20"/>
  <c r="AF46" i="20"/>
  <c r="AE46" i="20"/>
  <c r="AD46" i="20"/>
  <c r="AB46" i="20"/>
  <c r="AA46" i="20"/>
  <c r="X46" i="20"/>
  <c r="W46" i="20"/>
  <c r="V46" i="20"/>
  <c r="U46" i="20"/>
  <c r="T46" i="20"/>
  <c r="S46" i="20"/>
  <c r="R46" i="20"/>
  <c r="Q46" i="20"/>
  <c r="P46" i="20"/>
  <c r="O46" i="20"/>
  <c r="N46" i="20"/>
  <c r="M46" i="20"/>
  <c r="L46" i="20"/>
  <c r="K46" i="20"/>
  <c r="J46" i="20"/>
  <c r="I46" i="20"/>
  <c r="H46" i="20"/>
  <c r="G46" i="20"/>
  <c r="F46" i="20"/>
  <c r="E46" i="20"/>
  <c r="D46" i="20"/>
  <c r="C43" i="20"/>
  <c r="C42" i="20"/>
  <c r="AC46" i="20"/>
  <c r="Y46" i="20"/>
  <c r="Z46" i="20"/>
  <c r="I41" i="20"/>
  <c r="J41" i="20"/>
  <c r="K41" i="20"/>
  <c r="L41" i="20"/>
  <c r="M41" i="20"/>
  <c r="N41" i="20"/>
  <c r="O41" i="20"/>
  <c r="P41" i="20"/>
  <c r="Q41" i="20"/>
  <c r="R41" i="20"/>
  <c r="S41" i="20"/>
  <c r="T41" i="20"/>
  <c r="U41" i="20"/>
  <c r="V41" i="20"/>
  <c r="W41" i="20"/>
  <c r="X41" i="20"/>
  <c r="Y41" i="20"/>
  <c r="Z41" i="20"/>
  <c r="AA41" i="20"/>
  <c r="AB41" i="20"/>
  <c r="AC41" i="20"/>
  <c r="AD41" i="20"/>
  <c r="AE41" i="20"/>
  <c r="AF41" i="20"/>
  <c r="AF38" i="20"/>
  <c r="J86" i="20"/>
  <c r="L73" i="20"/>
  <c r="K70" i="20"/>
  <c r="D50" i="20"/>
  <c r="D51" i="20"/>
  <c r="E51" i="20"/>
  <c r="E50" i="20"/>
  <c r="G74" i="20"/>
  <c r="G75" i="20"/>
  <c r="H72" i="20"/>
  <c r="F48" i="20"/>
  <c r="H62" i="20"/>
  <c r="I65" i="20"/>
  <c r="G67" i="20"/>
  <c r="H64" i="20"/>
  <c r="G66" i="20"/>
  <c r="F59" i="20"/>
  <c r="F58" i="20"/>
  <c r="G56" i="20"/>
  <c r="D40" i="20"/>
  <c r="AE38" i="20"/>
  <c r="AD38" i="20"/>
  <c r="AC38" i="20"/>
  <c r="AB38" i="20"/>
  <c r="X38" i="20"/>
  <c r="W38" i="20"/>
  <c r="V38" i="20"/>
  <c r="U38" i="20"/>
  <c r="T38" i="20"/>
  <c r="S38" i="20"/>
  <c r="R38" i="20"/>
  <c r="Q38" i="20"/>
  <c r="P38" i="20"/>
  <c r="O38" i="20"/>
  <c r="N38" i="20"/>
  <c r="M38" i="20"/>
  <c r="L38" i="20"/>
  <c r="K38" i="20"/>
  <c r="J38" i="20"/>
  <c r="I38" i="20"/>
  <c r="H38" i="20"/>
  <c r="G38" i="20"/>
  <c r="F38" i="20"/>
  <c r="E38" i="20"/>
  <c r="D38" i="20"/>
  <c r="C35" i="20"/>
  <c r="C34" i="20"/>
  <c r="Y38" i="20"/>
  <c r="Z38" i="20"/>
  <c r="AA38" i="20"/>
  <c r="I33" i="20"/>
  <c r="J33" i="20"/>
  <c r="K33" i="20"/>
  <c r="L33" i="20"/>
  <c r="M33" i="20"/>
  <c r="N33" i="20"/>
  <c r="O33" i="20"/>
  <c r="P33" i="20"/>
  <c r="Q33" i="20"/>
  <c r="R33" i="20"/>
  <c r="S33" i="20"/>
  <c r="T33" i="20"/>
  <c r="U33" i="20"/>
  <c r="V33" i="20"/>
  <c r="W33" i="20"/>
  <c r="X33" i="20"/>
  <c r="Y33" i="20"/>
  <c r="Z33" i="20"/>
  <c r="AA33" i="20"/>
  <c r="AB33" i="20"/>
  <c r="AC33" i="20"/>
  <c r="AD33" i="20"/>
  <c r="AE33" i="20"/>
  <c r="AF33" i="20"/>
  <c r="AF30" i="20"/>
  <c r="G59" i="20"/>
  <c r="G58" i="20"/>
  <c r="H56" i="20"/>
  <c r="I62" i="20"/>
  <c r="J65" i="20"/>
  <c r="F51" i="20"/>
  <c r="F50" i="20"/>
  <c r="G48" i="20"/>
  <c r="H74" i="20"/>
  <c r="H75" i="20"/>
  <c r="I72" i="20"/>
  <c r="D43" i="20"/>
  <c r="D42" i="20"/>
  <c r="K86" i="20"/>
  <c r="M73" i="20"/>
  <c r="L70" i="20"/>
  <c r="E40" i="20"/>
  <c r="H66" i="20"/>
  <c r="I64" i="20"/>
  <c r="H67" i="20"/>
  <c r="D32" i="20"/>
  <c r="E32" i="20"/>
  <c r="AE30" i="20"/>
  <c r="AD30" i="20"/>
  <c r="AB30" i="20"/>
  <c r="W30" i="20"/>
  <c r="V30" i="20"/>
  <c r="U30" i="20"/>
  <c r="T30" i="20"/>
  <c r="S30" i="20"/>
  <c r="R30" i="20"/>
  <c r="O30" i="20"/>
  <c r="N30" i="20"/>
  <c r="M30" i="20"/>
  <c r="L30" i="20"/>
  <c r="K30" i="20"/>
  <c r="J30" i="20"/>
  <c r="H30" i="20"/>
  <c r="G30" i="20"/>
  <c r="F30" i="20"/>
  <c r="E30" i="20"/>
  <c r="D30" i="20"/>
  <c r="C27" i="20"/>
  <c r="C26" i="20"/>
  <c r="Z30" i="20"/>
  <c r="AA30" i="20"/>
  <c r="AC30" i="20"/>
  <c r="I25" i="20"/>
  <c r="J25" i="20"/>
  <c r="K25" i="20"/>
  <c r="L25" i="20"/>
  <c r="M25" i="20"/>
  <c r="N25" i="20"/>
  <c r="O25" i="20"/>
  <c r="P25" i="20"/>
  <c r="Q25" i="20"/>
  <c r="R25" i="20"/>
  <c r="S25" i="20"/>
  <c r="T25" i="20"/>
  <c r="U25" i="20"/>
  <c r="V25" i="20"/>
  <c r="W25" i="20"/>
  <c r="X25" i="20"/>
  <c r="Y25" i="20"/>
  <c r="Z25" i="20"/>
  <c r="AA25" i="20"/>
  <c r="AB25" i="20"/>
  <c r="AC25" i="20"/>
  <c r="AD25" i="20"/>
  <c r="AE25" i="20"/>
  <c r="AF25" i="20"/>
  <c r="AF22" i="20"/>
  <c r="K65" i="20"/>
  <c r="J62" i="20"/>
  <c r="I66" i="20"/>
  <c r="I67" i="20"/>
  <c r="J64" i="20"/>
  <c r="X30" i="20"/>
  <c r="I74" i="20"/>
  <c r="I75" i="20"/>
  <c r="J72" i="20"/>
  <c r="H58" i="20"/>
  <c r="H59" i="20"/>
  <c r="I56" i="20"/>
  <c r="L86" i="20"/>
  <c r="P30" i="20"/>
  <c r="I30" i="20"/>
  <c r="Q30" i="20"/>
  <c r="Y30" i="20"/>
  <c r="D34" i="20"/>
  <c r="D35" i="20"/>
  <c r="E42" i="20"/>
  <c r="E43" i="20"/>
  <c r="F40" i="20"/>
  <c r="E34" i="20"/>
  <c r="E35" i="20"/>
  <c r="F32" i="20"/>
  <c r="N73" i="20"/>
  <c r="M70" i="20"/>
  <c r="G50" i="20"/>
  <c r="G51" i="20"/>
  <c r="H48" i="20"/>
  <c r="D24" i="20"/>
  <c r="E24" i="20"/>
  <c r="M22" i="20"/>
  <c r="L22" i="20"/>
  <c r="H22" i="20"/>
  <c r="G22" i="20"/>
  <c r="F22" i="20"/>
  <c r="E22" i="20"/>
  <c r="D22" i="20"/>
  <c r="C19" i="20"/>
  <c r="C18" i="20"/>
  <c r="T22" i="20"/>
  <c r="T84" i="20"/>
  <c r="U22" i="20"/>
  <c r="U84" i="20"/>
  <c r="AB22" i="20"/>
  <c r="AB84" i="20"/>
  <c r="I17" i="20"/>
  <c r="J17" i="20"/>
  <c r="K17" i="20"/>
  <c r="L17" i="20"/>
  <c r="M17" i="20"/>
  <c r="N17" i="20"/>
  <c r="O17" i="20"/>
  <c r="P17" i="20"/>
  <c r="Q17" i="20"/>
  <c r="R17" i="20"/>
  <c r="S17" i="20"/>
  <c r="T17" i="20"/>
  <c r="U17" i="20"/>
  <c r="V17" i="20"/>
  <c r="W17" i="20"/>
  <c r="X17" i="20"/>
  <c r="Y17" i="20"/>
  <c r="Z17" i="20"/>
  <c r="AA17" i="20"/>
  <c r="AB17" i="20"/>
  <c r="AC17" i="20"/>
  <c r="AD17" i="20"/>
  <c r="AE17" i="20"/>
  <c r="AF17" i="20"/>
  <c r="AF85" i="20"/>
  <c r="AF84" i="20"/>
  <c r="D84" i="20"/>
  <c r="D85" i="20"/>
  <c r="J74" i="20"/>
  <c r="J75" i="20"/>
  <c r="K72" i="20"/>
  <c r="E84" i="20"/>
  <c r="E85" i="20"/>
  <c r="M84" i="20"/>
  <c r="M85" i="20"/>
  <c r="AC22" i="20"/>
  <c r="V22" i="20"/>
  <c r="G85" i="20"/>
  <c r="G84" i="20"/>
  <c r="G83" i="20"/>
  <c r="G87" i="20"/>
  <c r="O22" i="20"/>
  <c r="W22" i="20"/>
  <c r="AE22" i="20"/>
  <c r="H85" i="20"/>
  <c r="H84" i="20"/>
  <c r="P22" i="20"/>
  <c r="X22" i="20"/>
  <c r="M86" i="20"/>
  <c r="J66" i="20"/>
  <c r="J67" i="20"/>
  <c r="K64" i="20"/>
  <c r="L84" i="20"/>
  <c r="L85" i="20"/>
  <c r="L65" i="20"/>
  <c r="K62" i="20"/>
  <c r="F84" i="20"/>
  <c r="F85" i="20"/>
  <c r="N22" i="20"/>
  <c r="H50" i="20"/>
  <c r="H51" i="20"/>
  <c r="I48" i="20"/>
  <c r="I22" i="20"/>
  <c r="Q22" i="20"/>
  <c r="Y22" i="20"/>
  <c r="D26" i="20"/>
  <c r="D27" i="20"/>
  <c r="I59" i="20"/>
  <c r="I58" i="20"/>
  <c r="J56" i="20"/>
  <c r="AD22" i="20"/>
  <c r="F43" i="20"/>
  <c r="F42" i="20"/>
  <c r="G40" i="20"/>
  <c r="J22" i="20"/>
  <c r="R22" i="20"/>
  <c r="Z22" i="20"/>
  <c r="E26" i="20"/>
  <c r="E27" i="20"/>
  <c r="O73" i="20"/>
  <c r="N70" i="20"/>
  <c r="K22" i="20"/>
  <c r="S22" i="20"/>
  <c r="AA22" i="20"/>
  <c r="F24" i="20"/>
  <c r="F35" i="20"/>
  <c r="F34" i="20"/>
  <c r="G32" i="20"/>
  <c r="D16" i="20"/>
  <c r="E16" i="20"/>
  <c r="AF14" i="20"/>
  <c r="AE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P14" i="20"/>
  <c r="O14" i="20"/>
  <c r="N14" i="20"/>
  <c r="M14" i="20"/>
  <c r="L14" i="20"/>
  <c r="K14" i="20"/>
  <c r="J14" i="20"/>
  <c r="I14" i="20"/>
  <c r="H14" i="20"/>
  <c r="G14" i="20"/>
  <c r="F14" i="20"/>
  <c r="E14" i="20"/>
  <c r="D14" i="20"/>
  <c r="C11" i="20"/>
  <c r="C10" i="20"/>
  <c r="D83" i="20"/>
  <c r="D87" i="20"/>
  <c r="U85" i="20"/>
  <c r="T85" i="20"/>
  <c r="AB85" i="20"/>
  <c r="AB83" i="20"/>
  <c r="I9" i="20"/>
  <c r="J9" i="20"/>
  <c r="K9" i="20"/>
  <c r="L9" i="20"/>
  <c r="M9" i="20"/>
  <c r="N9" i="20"/>
  <c r="O9" i="20"/>
  <c r="P9" i="20"/>
  <c r="Q9" i="20"/>
  <c r="R9" i="20"/>
  <c r="S9" i="20"/>
  <c r="T9" i="20"/>
  <c r="U9" i="20"/>
  <c r="V9" i="20"/>
  <c r="W9" i="20"/>
  <c r="X9" i="20"/>
  <c r="Y9" i="20"/>
  <c r="Z9" i="20"/>
  <c r="AA9" i="20"/>
  <c r="AB9" i="20"/>
  <c r="AC9" i="20"/>
  <c r="AD9" i="20"/>
  <c r="AE9" i="20"/>
  <c r="AF9" i="20"/>
  <c r="K84" i="20"/>
  <c r="K85" i="20"/>
  <c r="K66" i="20"/>
  <c r="L64" i="20"/>
  <c r="K67" i="20"/>
  <c r="Y85" i="20"/>
  <c r="Y84" i="20"/>
  <c r="F83" i="20"/>
  <c r="F87" i="20"/>
  <c r="AE85" i="20"/>
  <c r="AE84" i="20"/>
  <c r="U83" i="20"/>
  <c r="G35" i="20"/>
  <c r="G34" i="20"/>
  <c r="H32" i="20"/>
  <c r="P73" i="20"/>
  <c r="O70" i="20"/>
  <c r="Q85" i="20"/>
  <c r="Q84" i="20"/>
  <c r="W85" i="20"/>
  <c r="W84" i="20"/>
  <c r="G43" i="20"/>
  <c r="G42" i="20"/>
  <c r="H40" i="20"/>
  <c r="AD84" i="20"/>
  <c r="AD85" i="20"/>
  <c r="I85" i="20"/>
  <c r="I84" i="20"/>
  <c r="M65" i="20"/>
  <c r="L62" i="20"/>
  <c r="O85" i="20"/>
  <c r="O84" i="20"/>
  <c r="M83" i="20"/>
  <c r="M87" i="20"/>
  <c r="J59" i="20"/>
  <c r="J58" i="20"/>
  <c r="K56" i="20"/>
  <c r="I50" i="20"/>
  <c r="I51" i="20"/>
  <c r="J48" i="20"/>
  <c r="N86" i="20"/>
  <c r="D18" i="20"/>
  <c r="D19" i="20"/>
  <c r="F26" i="20"/>
  <c r="F27" i="20"/>
  <c r="G24" i="20"/>
  <c r="Z84" i="20"/>
  <c r="Z85" i="20"/>
  <c r="T83" i="20"/>
  <c r="X85" i="20"/>
  <c r="X84" i="20"/>
  <c r="E83" i="20"/>
  <c r="E87" i="20"/>
  <c r="AF83" i="20"/>
  <c r="E18" i="20"/>
  <c r="E19" i="20"/>
  <c r="AA84" i="20"/>
  <c r="AA85" i="20"/>
  <c r="R84" i="20"/>
  <c r="R85" i="20"/>
  <c r="P85" i="20"/>
  <c r="P84" i="20"/>
  <c r="V84" i="20"/>
  <c r="V85" i="20"/>
  <c r="L72" i="20"/>
  <c r="K75" i="20"/>
  <c r="K74" i="20"/>
  <c r="F16" i="20"/>
  <c r="S84" i="20"/>
  <c r="S85" i="20"/>
  <c r="J84" i="20"/>
  <c r="J85" i="20"/>
  <c r="N84" i="20"/>
  <c r="N85" i="20"/>
  <c r="L83" i="20"/>
  <c r="L87" i="20"/>
  <c r="H83" i="20"/>
  <c r="H87" i="20"/>
  <c r="AC84" i="20"/>
  <c r="AC85" i="20"/>
  <c r="D8" i="20"/>
  <c r="AF6" i="20"/>
  <c r="AE6" i="20"/>
  <c r="AD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I6" i="20"/>
  <c r="H6" i="20"/>
  <c r="G6" i="20"/>
  <c r="F6" i="20"/>
  <c r="E6" i="20"/>
  <c r="D6" i="20"/>
  <c r="F3" i="20"/>
  <c r="G3" i="20"/>
  <c r="H3" i="20"/>
  <c r="I3" i="20"/>
  <c r="J3" i="20"/>
  <c r="K3" i="20"/>
  <c r="L3" i="20"/>
  <c r="M3" i="20"/>
  <c r="N3" i="20"/>
  <c r="O3" i="20"/>
  <c r="P3" i="20"/>
  <c r="Q3" i="20"/>
  <c r="R3" i="20"/>
  <c r="S3" i="20"/>
  <c r="T3" i="20"/>
  <c r="U3" i="20"/>
  <c r="V3" i="20"/>
  <c r="W3" i="20"/>
  <c r="X3" i="20"/>
  <c r="Y3" i="20"/>
  <c r="Z3" i="20"/>
  <c r="AA3" i="20"/>
  <c r="AB3" i="20"/>
  <c r="AC3" i="20"/>
  <c r="AD3" i="20"/>
  <c r="AE3" i="20"/>
  <c r="AF3" i="20"/>
  <c r="E3" i="20"/>
  <c r="O83" i="20"/>
  <c r="Y83" i="20"/>
  <c r="W83" i="20"/>
  <c r="K83" i="20"/>
  <c r="K87" i="20"/>
  <c r="P83" i="20"/>
  <c r="I83" i="20"/>
  <c r="I87" i="20"/>
  <c r="N83" i="20"/>
  <c r="N87" i="20"/>
  <c r="R83" i="20"/>
  <c r="AA83" i="20"/>
  <c r="J83" i="20"/>
  <c r="J87" i="20"/>
  <c r="V83" i="20"/>
  <c r="L75" i="20"/>
  <c r="M72" i="20"/>
  <c r="L74" i="20"/>
  <c r="H42" i="20"/>
  <c r="H43" i="20"/>
  <c r="I40" i="20"/>
  <c r="P70" i="20"/>
  <c r="Q73" i="20"/>
  <c r="G27" i="20"/>
  <c r="G26" i="20"/>
  <c r="H24" i="20"/>
  <c r="AC83" i="20"/>
  <c r="Z83" i="20"/>
  <c r="J50" i="20"/>
  <c r="J51" i="20"/>
  <c r="K48" i="20"/>
  <c r="H34" i="20"/>
  <c r="H35" i="20"/>
  <c r="I32" i="20"/>
  <c r="M62" i="20"/>
  <c r="N65" i="20"/>
  <c r="L67" i="20"/>
  <c r="M64" i="20"/>
  <c r="L66" i="20"/>
  <c r="S83" i="20"/>
  <c r="K58" i="20"/>
  <c r="K59" i="20"/>
  <c r="L56" i="20"/>
  <c r="F18" i="20"/>
  <c r="F19" i="20"/>
  <c r="G16" i="20"/>
  <c r="X83" i="20"/>
  <c r="Q83" i="20"/>
  <c r="AE83" i="20"/>
  <c r="D10" i="20"/>
  <c r="D11" i="20"/>
  <c r="E8" i="20"/>
  <c r="O86" i="20"/>
  <c r="AD83" i="20"/>
  <c r="O16" i="36"/>
  <c r="N16" i="36"/>
  <c r="P10" i="36"/>
  <c r="Q10" i="36"/>
  <c r="P31" i="36"/>
  <c r="Q31" i="36"/>
  <c r="R31" i="36"/>
  <c r="S31" i="36"/>
  <c r="T31" i="36"/>
  <c r="U31" i="36"/>
  <c r="V31" i="36"/>
  <c r="W31" i="36"/>
  <c r="X31" i="36"/>
  <c r="Y31" i="36"/>
  <c r="Z31" i="36"/>
  <c r="AA31" i="36"/>
  <c r="AB31" i="36"/>
  <c r="AC31" i="36"/>
  <c r="AD31" i="36"/>
  <c r="AE31" i="36"/>
  <c r="AF31" i="36"/>
  <c r="AG31" i="36"/>
  <c r="AH31" i="36"/>
  <c r="AI31" i="36"/>
  <c r="AJ31" i="36"/>
  <c r="AK31" i="36"/>
  <c r="AL31" i="36"/>
  <c r="AM31" i="36"/>
  <c r="AN31" i="36"/>
  <c r="AO31" i="36"/>
  <c r="AP31" i="36"/>
  <c r="O31" i="36"/>
  <c r="AN58" i="36"/>
  <c r="AI55" i="36"/>
  <c r="AL54" i="36"/>
  <c r="AL55" i="36"/>
  <c r="AJ62" i="36"/>
  <c r="O25" i="36"/>
  <c r="P25" i="36"/>
  <c r="AL60" i="36"/>
  <c r="AI56" i="36"/>
  <c r="AH55" i="36"/>
  <c r="AI50" i="36"/>
  <c r="P19" i="36"/>
  <c r="Q19" i="36"/>
  <c r="R19" i="36"/>
  <c r="S19" i="36"/>
  <c r="T19" i="36"/>
  <c r="U19" i="36"/>
  <c r="V19" i="36"/>
  <c r="W19" i="36"/>
  <c r="X19" i="36"/>
  <c r="Y19" i="36"/>
  <c r="Z19" i="36"/>
  <c r="AA19" i="36"/>
  <c r="AB19" i="36"/>
  <c r="AC19" i="36"/>
  <c r="AD19" i="36"/>
  <c r="AE19" i="36"/>
  <c r="AF19" i="36"/>
  <c r="AG19" i="36"/>
  <c r="AH19" i="36"/>
  <c r="AI19" i="36"/>
  <c r="AJ19" i="36"/>
  <c r="AK19" i="36"/>
  <c r="AL19" i="36"/>
  <c r="AM19" i="36"/>
  <c r="AN19" i="36"/>
  <c r="AO19" i="36"/>
  <c r="AP19" i="36"/>
  <c r="O19" i="36"/>
  <c r="K85" i="1"/>
  <c r="L85" i="1"/>
  <c r="M85" i="1"/>
  <c r="N85" i="1"/>
  <c r="O85" i="1"/>
  <c r="P85" i="1"/>
  <c r="Q85" i="1"/>
  <c r="R85" i="1"/>
  <c r="S85" i="1"/>
  <c r="T85" i="1"/>
  <c r="U85" i="1"/>
  <c r="J85" i="1"/>
  <c r="P7" i="36"/>
  <c r="Q7" i="36"/>
  <c r="R7" i="36"/>
  <c r="S7" i="36"/>
  <c r="T7" i="36"/>
  <c r="U7" i="36"/>
  <c r="V7" i="36"/>
  <c r="W7" i="36"/>
  <c r="X7" i="36"/>
  <c r="Y7" i="36"/>
  <c r="Z7" i="36"/>
  <c r="AA7" i="36"/>
  <c r="AB7" i="36"/>
  <c r="AC7" i="36"/>
  <c r="AD7" i="36"/>
  <c r="AE7" i="36"/>
  <c r="AF7" i="36"/>
  <c r="AG7" i="36"/>
  <c r="AH7" i="36"/>
  <c r="AI7" i="36"/>
  <c r="AJ7" i="36"/>
  <c r="AK7" i="36"/>
  <c r="AL7" i="36"/>
  <c r="AM7" i="36"/>
  <c r="AN7" i="36"/>
  <c r="AO7" i="36"/>
  <c r="AP7" i="36"/>
  <c r="N18" i="36"/>
  <c r="N26" i="36"/>
  <c r="N29" i="36"/>
  <c r="P15" i="36"/>
  <c r="Q15" i="36"/>
  <c r="R15" i="36"/>
  <c r="S15" i="36"/>
  <c r="T15" i="36"/>
  <c r="U15" i="36"/>
  <c r="V15" i="36"/>
  <c r="W15" i="36"/>
  <c r="X15" i="36"/>
  <c r="Y15" i="36"/>
  <c r="Z15" i="36"/>
  <c r="AA15" i="36"/>
  <c r="AB15" i="36"/>
  <c r="AC15" i="36"/>
  <c r="AD15" i="36"/>
  <c r="AE15" i="36"/>
  <c r="AF15" i="36"/>
  <c r="AG15" i="36"/>
  <c r="AH15" i="36"/>
  <c r="AI15" i="36"/>
  <c r="AJ15" i="36"/>
  <c r="AK15" i="36"/>
  <c r="AL15" i="36"/>
  <c r="AM15" i="36"/>
  <c r="AN15" i="36"/>
  <c r="AO15" i="36"/>
  <c r="AP15" i="36"/>
  <c r="O11" i="36"/>
  <c r="N11" i="36"/>
  <c r="Z49" i="36"/>
  <c r="Z48" i="36"/>
  <c r="O15" i="36"/>
  <c r="O17" i="36"/>
  <c r="U35" i="36"/>
  <c r="V35" i="36"/>
  <c r="W35" i="36"/>
  <c r="X35" i="36"/>
  <c r="Y35" i="36"/>
  <c r="Z35" i="36"/>
  <c r="AA35" i="36"/>
  <c r="AB35" i="36"/>
  <c r="AC35" i="36"/>
  <c r="AD35" i="36"/>
  <c r="AE35" i="36"/>
  <c r="AF35" i="36"/>
  <c r="AF37" i="36"/>
  <c r="AG35" i="36"/>
  <c r="AH35" i="36"/>
  <c r="AI35" i="36"/>
  <c r="AJ35" i="36"/>
  <c r="AK35" i="36"/>
  <c r="AL35" i="36"/>
  <c r="AM35" i="36"/>
  <c r="AN35" i="36"/>
  <c r="AN37" i="36"/>
  <c r="AO35" i="36"/>
  <c r="AP35" i="36"/>
  <c r="U36" i="36"/>
  <c r="V36" i="36"/>
  <c r="W36" i="36"/>
  <c r="X36" i="36"/>
  <c r="Y36" i="36"/>
  <c r="Z36" i="36"/>
  <c r="AA36" i="36"/>
  <c r="AB36" i="36"/>
  <c r="AC36" i="36"/>
  <c r="AD36" i="36"/>
  <c r="AE36" i="36"/>
  <c r="AF36" i="36"/>
  <c r="AG36" i="36"/>
  <c r="AH36" i="36"/>
  <c r="AI36" i="36"/>
  <c r="AJ36" i="36"/>
  <c r="AK36" i="36"/>
  <c r="AL36" i="36"/>
  <c r="AM36" i="36"/>
  <c r="AN36" i="36"/>
  <c r="AO36" i="36"/>
  <c r="AP36" i="36"/>
  <c r="Y49" i="36"/>
  <c r="Y48" i="36"/>
  <c r="Y44" i="36"/>
  <c r="Y45" i="36"/>
  <c r="Y46" i="36"/>
  <c r="Y47" i="36"/>
  <c r="Y43" i="36"/>
  <c r="K51" i="20"/>
  <c r="K50" i="20"/>
  <c r="L48" i="20"/>
  <c r="Q70" i="20"/>
  <c r="R73" i="20"/>
  <c r="O87" i="20"/>
  <c r="P86" i="20"/>
  <c r="G19" i="20"/>
  <c r="G18" i="20"/>
  <c r="H16" i="20"/>
  <c r="M66" i="20"/>
  <c r="M67" i="20"/>
  <c r="N64" i="20"/>
  <c r="I43" i="20"/>
  <c r="I42" i="20"/>
  <c r="J40" i="20"/>
  <c r="O65" i="20"/>
  <c r="N62" i="20"/>
  <c r="L59" i="20"/>
  <c r="L58" i="20"/>
  <c r="M56" i="20"/>
  <c r="I34" i="20"/>
  <c r="I35" i="20"/>
  <c r="J32" i="20"/>
  <c r="H26" i="20"/>
  <c r="H27" i="20"/>
  <c r="I24" i="20"/>
  <c r="M74" i="20"/>
  <c r="N72" i="20"/>
  <c r="M75" i="20"/>
  <c r="E11" i="20"/>
  <c r="E10" i="20"/>
  <c r="F8" i="20"/>
  <c r="P16" i="36"/>
  <c r="O18" i="36"/>
  <c r="R10" i="36"/>
  <c r="Q16" i="36"/>
  <c r="N20" i="36"/>
  <c r="N21" i="36"/>
  <c r="N22" i="36"/>
  <c r="N23" i="36"/>
  <c r="P17" i="36"/>
  <c r="Q17" i="36"/>
  <c r="R17" i="36"/>
  <c r="S17" i="36"/>
  <c r="T17" i="36"/>
  <c r="U17" i="36"/>
  <c r="V17" i="36"/>
  <c r="W17" i="36"/>
  <c r="X17" i="36"/>
  <c r="Y17" i="36"/>
  <c r="Z17" i="36"/>
  <c r="AA17" i="36"/>
  <c r="AB17" i="36"/>
  <c r="AC17" i="36"/>
  <c r="AD17" i="36"/>
  <c r="AE17" i="36"/>
  <c r="AF17" i="36"/>
  <c r="AG17" i="36"/>
  <c r="AH17" i="36"/>
  <c r="AI17" i="36"/>
  <c r="AJ17" i="36"/>
  <c r="AK17" i="36"/>
  <c r="AL17" i="36"/>
  <c r="AM17" i="36"/>
  <c r="AN17" i="36"/>
  <c r="AO17" i="36"/>
  <c r="AP17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O26" i="36"/>
  <c r="O29" i="36"/>
  <c r="O20" i="36"/>
  <c r="O21" i="36"/>
  <c r="O22" i="36"/>
  <c r="O23" i="36"/>
  <c r="X37" i="36"/>
  <c r="AL37" i="36"/>
  <c r="AD37" i="36"/>
  <c r="V37" i="36"/>
  <c r="AP37" i="36"/>
  <c r="AH37" i="36"/>
  <c r="AE37" i="36"/>
  <c r="W37" i="36"/>
  <c r="AM37" i="36"/>
  <c r="P11" i="36"/>
  <c r="Q11" i="36"/>
  <c r="R11" i="36"/>
  <c r="S11" i="36"/>
  <c r="T11" i="36"/>
  <c r="U11" i="36"/>
  <c r="V11" i="36"/>
  <c r="W11" i="36"/>
  <c r="X11" i="36"/>
  <c r="Y11" i="36"/>
  <c r="Z11" i="36"/>
  <c r="AA11" i="36"/>
  <c r="AB11" i="36"/>
  <c r="AC11" i="36"/>
  <c r="AD11" i="36"/>
  <c r="AE11" i="36"/>
  <c r="AF11" i="36"/>
  <c r="AG11" i="36"/>
  <c r="AH11" i="36"/>
  <c r="AI11" i="36"/>
  <c r="AJ11" i="36"/>
  <c r="AK11" i="36"/>
  <c r="AL11" i="36"/>
  <c r="AM11" i="36"/>
  <c r="AN11" i="36"/>
  <c r="AO11" i="36"/>
  <c r="AP11" i="36"/>
  <c r="Z37" i="36"/>
  <c r="AK37" i="36"/>
  <c r="AC37" i="36"/>
  <c r="U37" i="36"/>
  <c r="AJ37" i="36"/>
  <c r="AB37" i="36"/>
  <c r="AI37" i="36"/>
  <c r="AA37" i="36"/>
  <c r="AO37" i="36"/>
  <c r="AG37" i="36"/>
  <c r="Y37" i="36"/>
  <c r="J35" i="20"/>
  <c r="J34" i="20"/>
  <c r="K32" i="20"/>
  <c r="J42" i="20"/>
  <c r="J43" i="20"/>
  <c r="K40" i="20"/>
  <c r="P87" i="20"/>
  <c r="Q86" i="20"/>
  <c r="O64" i="20"/>
  <c r="N67" i="20"/>
  <c r="N66" i="20"/>
  <c r="I26" i="20"/>
  <c r="I27" i="20"/>
  <c r="J24" i="20"/>
  <c r="L50" i="20"/>
  <c r="L51" i="20"/>
  <c r="M48" i="20"/>
  <c r="M58" i="20"/>
  <c r="M59" i="20"/>
  <c r="N56" i="20"/>
  <c r="H19" i="20"/>
  <c r="H18" i="20"/>
  <c r="I16" i="20"/>
  <c r="N74" i="20"/>
  <c r="N75" i="20"/>
  <c r="O72" i="20"/>
  <c r="R70" i="20"/>
  <c r="S73" i="20"/>
  <c r="F10" i="20"/>
  <c r="F11" i="20"/>
  <c r="G8" i="20"/>
  <c r="P65" i="20"/>
  <c r="O62" i="20"/>
  <c r="S10" i="36"/>
  <c r="R16" i="36"/>
  <c r="P18" i="36"/>
  <c r="P20" i="36"/>
  <c r="P21" i="36"/>
  <c r="P22" i="36"/>
  <c r="P23" i="36"/>
  <c r="P62" i="20"/>
  <c r="Q65" i="20"/>
  <c r="R86" i="20"/>
  <c r="Q87" i="20"/>
  <c r="I19" i="20"/>
  <c r="I18" i="20"/>
  <c r="J16" i="20"/>
  <c r="G11" i="20"/>
  <c r="G10" i="20"/>
  <c r="H8" i="20"/>
  <c r="K43" i="20"/>
  <c r="K42" i="20"/>
  <c r="L40" i="20"/>
  <c r="T73" i="20"/>
  <c r="S70" i="20"/>
  <c r="O74" i="20"/>
  <c r="O75" i="20"/>
  <c r="P72" i="20"/>
  <c r="J27" i="20"/>
  <c r="J26" i="20"/>
  <c r="K24" i="20"/>
  <c r="N59" i="20"/>
  <c r="N58" i="20"/>
  <c r="O56" i="20"/>
  <c r="K34" i="20"/>
  <c r="K35" i="20"/>
  <c r="L32" i="20"/>
  <c r="M51" i="20"/>
  <c r="M50" i="20"/>
  <c r="N48" i="20"/>
  <c r="O67" i="20"/>
  <c r="P64" i="20"/>
  <c r="O66" i="20"/>
  <c r="T10" i="36"/>
  <c r="S16" i="36"/>
  <c r="P26" i="36"/>
  <c r="P29" i="36"/>
  <c r="Q18" i="36"/>
  <c r="Q20" i="36"/>
  <c r="Q21" i="36"/>
  <c r="Q22" i="36"/>
  <c r="Q23" i="36"/>
  <c r="J18" i="20"/>
  <c r="J19" i="20"/>
  <c r="K16" i="20"/>
  <c r="O59" i="20"/>
  <c r="O58" i="20"/>
  <c r="P56" i="20"/>
  <c r="N51" i="20"/>
  <c r="N50" i="20"/>
  <c r="O48" i="20"/>
  <c r="K26" i="20"/>
  <c r="K27" i="20"/>
  <c r="L24" i="20"/>
  <c r="L34" i="20"/>
  <c r="L35" i="20"/>
  <c r="M32" i="20"/>
  <c r="P74" i="20"/>
  <c r="P75" i="20"/>
  <c r="Q72" i="20"/>
  <c r="H11" i="20"/>
  <c r="H10" i="20"/>
  <c r="I8" i="20"/>
  <c r="Q62" i="20"/>
  <c r="R65" i="20"/>
  <c r="P66" i="20"/>
  <c r="P67" i="20"/>
  <c r="Q64" i="20"/>
  <c r="U73" i="20"/>
  <c r="T70" i="20"/>
  <c r="L43" i="20"/>
  <c r="L42" i="20"/>
  <c r="M40" i="20"/>
  <c r="S86" i="20"/>
  <c r="R87" i="20"/>
  <c r="U10" i="36"/>
  <c r="T16" i="36"/>
  <c r="Q26" i="36"/>
  <c r="Q29" i="36"/>
  <c r="R18" i="36"/>
  <c r="R20" i="36"/>
  <c r="R21" i="36"/>
  <c r="R22" i="36"/>
  <c r="R23" i="36"/>
  <c r="M42" i="20"/>
  <c r="M43" i="20"/>
  <c r="N40" i="20"/>
  <c r="M34" i="20"/>
  <c r="M35" i="20"/>
  <c r="N32" i="20"/>
  <c r="S65" i="20"/>
  <c r="R62" i="20"/>
  <c r="L26" i="20"/>
  <c r="L27" i="20"/>
  <c r="M24" i="20"/>
  <c r="K19" i="20"/>
  <c r="K18" i="20"/>
  <c r="L16" i="20"/>
  <c r="Q66" i="20"/>
  <c r="Q67" i="20"/>
  <c r="R64" i="20"/>
  <c r="Q74" i="20"/>
  <c r="Q75" i="20"/>
  <c r="R72" i="20"/>
  <c r="T86" i="20"/>
  <c r="S87" i="20"/>
  <c r="P58" i="20"/>
  <c r="P59" i="20"/>
  <c r="Q56" i="20"/>
  <c r="I10" i="20"/>
  <c r="I11" i="20"/>
  <c r="J8" i="20"/>
  <c r="V73" i="20"/>
  <c r="U70" i="20"/>
  <c r="O50" i="20"/>
  <c r="O51" i="20"/>
  <c r="P48" i="20"/>
  <c r="V10" i="36"/>
  <c r="U16" i="36"/>
  <c r="R26" i="36"/>
  <c r="R29" i="36"/>
  <c r="S18" i="36"/>
  <c r="S20" i="36"/>
  <c r="S21" i="36"/>
  <c r="S22" i="36"/>
  <c r="S23" i="36"/>
  <c r="T65" i="20"/>
  <c r="S62" i="20"/>
  <c r="N35" i="20"/>
  <c r="N34" i="20"/>
  <c r="O32" i="20"/>
  <c r="W73" i="20"/>
  <c r="V70" i="20"/>
  <c r="R74" i="20"/>
  <c r="R75" i="20"/>
  <c r="S72" i="20"/>
  <c r="N42" i="20"/>
  <c r="N43" i="20"/>
  <c r="O40" i="20"/>
  <c r="L18" i="20"/>
  <c r="L19" i="20"/>
  <c r="M16" i="20"/>
  <c r="U86" i="20"/>
  <c r="T87" i="20"/>
  <c r="J10" i="20"/>
  <c r="J11" i="20"/>
  <c r="K8" i="20"/>
  <c r="M27" i="20"/>
  <c r="M26" i="20"/>
  <c r="N24" i="20"/>
  <c r="P51" i="20"/>
  <c r="P50" i="20"/>
  <c r="Q48" i="20"/>
  <c r="Q58" i="20"/>
  <c r="Q59" i="20"/>
  <c r="R56" i="20"/>
  <c r="R66" i="20"/>
  <c r="R67" i="20"/>
  <c r="S64" i="20"/>
  <c r="W10" i="36"/>
  <c r="V16" i="36"/>
  <c r="S26" i="36"/>
  <c r="S29" i="36"/>
  <c r="T18" i="36"/>
  <c r="T20" i="36"/>
  <c r="T21" i="36"/>
  <c r="T22" i="36"/>
  <c r="T23" i="36"/>
  <c r="M18" i="20"/>
  <c r="M19" i="20"/>
  <c r="N16" i="20"/>
  <c r="O35" i="20"/>
  <c r="O34" i="20"/>
  <c r="P32" i="20"/>
  <c r="N27" i="20"/>
  <c r="N26" i="20"/>
  <c r="O24" i="20"/>
  <c r="O42" i="20"/>
  <c r="O43" i="20"/>
  <c r="P40" i="20"/>
  <c r="Q50" i="20"/>
  <c r="Q51" i="20"/>
  <c r="R48" i="20"/>
  <c r="T72" i="20"/>
  <c r="S75" i="20"/>
  <c r="S74" i="20"/>
  <c r="R59" i="20"/>
  <c r="R58" i="20"/>
  <c r="S56" i="20"/>
  <c r="X73" i="20"/>
  <c r="W70" i="20"/>
  <c r="K10" i="20"/>
  <c r="K11" i="20"/>
  <c r="L8" i="20"/>
  <c r="S66" i="20"/>
  <c r="T64" i="20"/>
  <c r="S67" i="20"/>
  <c r="U87" i="20"/>
  <c r="V86" i="20"/>
  <c r="U65" i="20"/>
  <c r="T62" i="20"/>
  <c r="X10" i="36"/>
  <c r="W16" i="36"/>
  <c r="T26" i="36"/>
  <c r="T29" i="36"/>
  <c r="U18" i="36"/>
  <c r="U20" i="36"/>
  <c r="U21" i="36"/>
  <c r="U22" i="36"/>
  <c r="U23" i="36"/>
  <c r="U62" i="20"/>
  <c r="V65" i="20"/>
  <c r="V87" i="20"/>
  <c r="W86" i="20"/>
  <c r="R51" i="20"/>
  <c r="R50" i="20"/>
  <c r="S48" i="20"/>
  <c r="X70" i="20"/>
  <c r="Y73" i="20"/>
  <c r="N18" i="20"/>
  <c r="N19" i="20"/>
  <c r="O16" i="20"/>
  <c r="T75" i="20"/>
  <c r="U72" i="20"/>
  <c r="T74" i="20"/>
  <c r="P34" i="20"/>
  <c r="P35" i="20"/>
  <c r="Q32" i="20"/>
  <c r="S58" i="20"/>
  <c r="S59" i="20"/>
  <c r="T56" i="20"/>
  <c r="L10" i="20"/>
  <c r="L11" i="20"/>
  <c r="M8" i="20"/>
  <c r="T67" i="20"/>
  <c r="U64" i="20"/>
  <c r="T66" i="20"/>
  <c r="P42" i="20"/>
  <c r="P43" i="20"/>
  <c r="Q40" i="20"/>
  <c r="O26" i="20"/>
  <c r="O27" i="20"/>
  <c r="P24" i="20"/>
  <c r="Y10" i="36"/>
  <c r="X16" i="36"/>
  <c r="U26" i="36"/>
  <c r="U29" i="36"/>
  <c r="V18" i="36"/>
  <c r="V20" i="36"/>
  <c r="V21" i="36"/>
  <c r="V22" i="36"/>
  <c r="V23" i="36"/>
  <c r="S50" i="20"/>
  <c r="S51" i="20"/>
  <c r="T48" i="20"/>
  <c r="T59" i="20"/>
  <c r="T58" i="20"/>
  <c r="U56" i="20"/>
  <c r="M10" i="20"/>
  <c r="M11" i="20"/>
  <c r="N8" i="20"/>
  <c r="O19" i="20"/>
  <c r="O18" i="20"/>
  <c r="P16" i="20"/>
  <c r="U66" i="20"/>
  <c r="U67" i="20"/>
  <c r="V64" i="20"/>
  <c r="Q34" i="20"/>
  <c r="Q35" i="20"/>
  <c r="R32" i="20"/>
  <c r="W65" i="20"/>
  <c r="V62" i="20"/>
  <c r="Q42" i="20"/>
  <c r="Q43" i="20"/>
  <c r="R40" i="20"/>
  <c r="U74" i="20"/>
  <c r="U75" i="20"/>
  <c r="V72" i="20"/>
  <c r="W87" i="20"/>
  <c r="X86" i="20"/>
  <c r="P27" i="20"/>
  <c r="P26" i="20"/>
  <c r="Q24" i="20"/>
  <c r="Y70" i="20"/>
  <c r="Z73" i="20"/>
  <c r="Z10" i="36"/>
  <c r="Y16" i="36"/>
  <c r="V26" i="36"/>
  <c r="V29" i="36"/>
  <c r="W18" i="36"/>
  <c r="W20" i="36"/>
  <c r="W21" i="36"/>
  <c r="W22" i="36"/>
  <c r="W23" i="36"/>
  <c r="W64" i="20"/>
  <c r="V67" i="20"/>
  <c r="V66" i="20"/>
  <c r="Q26" i="20"/>
  <c r="Q27" i="20"/>
  <c r="R24" i="20"/>
  <c r="X87" i="20"/>
  <c r="Y86" i="20"/>
  <c r="P19" i="20"/>
  <c r="P18" i="20"/>
  <c r="Q16" i="20"/>
  <c r="X65" i="20"/>
  <c r="W62" i="20"/>
  <c r="T50" i="20"/>
  <c r="T51" i="20"/>
  <c r="U48" i="20"/>
  <c r="V74" i="20"/>
  <c r="V75" i="20"/>
  <c r="W72" i="20"/>
  <c r="R42" i="20"/>
  <c r="R43" i="20"/>
  <c r="S40" i="20"/>
  <c r="U58" i="20"/>
  <c r="U59" i="20"/>
  <c r="V56" i="20"/>
  <c r="R34" i="20"/>
  <c r="R35" i="20"/>
  <c r="S32" i="20"/>
  <c r="Z70" i="20"/>
  <c r="AA73" i="20"/>
  <c r="N10" i="20"/>
  <c r="N11" i="20"/>
  <c r="O8" i="20"/>
  <c r="AA10" i="36"/>
  <c r="Z16" i="36"/>
  <c r="W26" i="36"/>
  <c r="W29" i="36"/>
  <c r="X18" i="36"/>
  <c r="X20" i="36"/>
  <c r="X21" i="36"/>
  <c r="X22" i="36"/>
  <c r="X23" i="36"/>
  <c r="U51" i="20"/>
  <c r="U50" i="20"/>
  <c r="V48" i="20"/>
  <c r="Z86" i="20"/>
  <c r="Y87" i="20"/>
  <c r="S43" i="20"/>
  <c r="S42" i="20"/>
  <c r="T40" i="20"/>
  <c r="S35" i="20"/>
  <c r="S34" i="20"/>
  <c r="T32" i="20"/>
  <c r="Q18" i="20"/>
  <c r="Q19" i="20"/>
  <c r="R16" i="20"/>
  <c r="AB73" i="20"/>
  <c r="AA70" i="20"/>
  <c r="R27" i="20"/>
  <c r="R26" i="20"/>
  <c r="S24" i="20"/>
  <c r="X62" i="20"/>
  <c r="Y65" i="20"/>
  <c r="W74" i="20"/>
  <c r="W75" i="20"/>
  <c r="X72" i="20"/>
  <c r="O11" i="20"/>
  <c r="O10" i="20"/>
  <c r="P8" i="20"/>
  <c r="V59" i="20"/>
  <c r="V58" i="20"/>
  <c r="W56" i="20"/>
  <c r="W67" i="20"/>
  <c r="X64" i="20"/>
  <c r="W66" i="20"/>
  <c r="AB10" i="36"/>
  <c r="AA16" i="36"/>
  <c r="X26" i="36"/>
  <c r="X29" i="36"/>
  <c r="Y18" i="36"/>
  <c r="Y20" i="36"/>
  <c r="Y21" i="36"/>
  <c r="Y22" i="36"/>
  <c r="Y23" i="36"/>
  <c r="T43" i="20"/>
  <c r="T42" i="20"/>
  <c r="U40" i="20"/>
  <c r="AC73" i="20"/>
  <c r="AB70" i="20"/>
  <c r="X66" i="20"/>
  <c r="X67" i="20"/>
  <c r="Y64" i="20"/>
  <c r="P11" i="20"/>
  <c r="P10" i="20"/>
  <c r="Q8" i="20"/>
  <c r="W59" i="20"/>
  <c r="W58" i="20"/>
  <c r="X56" i="20"/>
  <c r="X74" i="20"/>
  <c r="X75" i="20"/>
  <c r="Y72" i="20"/>
  <c r="R18" i="20"/>
  <c r="R19" i="20"/>
  <c r="S16" i="20"/>
  <c r="Y62" i="20"/>
  <c r="Z65" i="20"/>
  <c r="AA86" i="20"/>
  <c r="Z87" i="20"/>
  <c r="S26" i="20"/>
  <c r="S27" i="20"/>
  <c r="T24" i="20"/>
  <c r="T34" i="20"/>
  <c r="T35" i="20"/>
  <c r="U32" i="20"/>
  <c r="V51" i="20"/>
  <c r="V50" i="20"/>
  <c r="W48" i="20"/>
  <c r="AC10" i="36"/>
  <c r="AB16" i="36"/>
  <c r="Y26" i="36"/>
  <c r="Y29" i="36"/>
  <c r="Z18" i="36"/>
  <c r="Z20" i="36"/>
  <c r="Z21" i="36"/>
  <c r="Z22" i="36"/>
  <c r="Z23" i="36"/>
  <c r="Y66" i="20"/>
  <c r="Y67" i="20"/>
  <c r="Z64" i="20"/>
  <c r="AB86" i="20"/>
  <c r="AA87" i="20"/>
  <c r="AA65" i="20"/>
  <c r="Z62" i="20"/>
  <c r="AD73" i="20"/>
  <c r="AC70" i="20"/>
  <c r="U34" i="20"/>
  <c r="U35" i="20"/>
  <c r="V32" i="20"/>
  <c r="X58" i="20"/>
  <c r="X59" i="20"/>
  <c r="Y56" i="20"/>
  <c r="S18" i="20"/>
  <c r="S19" i="20"/>
  <c r="T16" i="20"/>
  <c r="T26" i="20"/>
  <c r="T27" i="20"/>
  <c r="U24" i="20"/>
  <c r="Q10" i="20"/>
  <c r="Q11" i="20"/>
  <c r="R8" i="20"/>
  <c r="U42" i="20"/>
  <c r="U43" i="20"/>
  <c r="V40" i="20"/>
  <c r="W51" i="20"/>
  <c r="W50" i="20"/>
  <c r="X48" i="20"/>
  <c r="Y74" i="20"/>
  <c r="Y75" i="20"/>
  <c r="Z72" i="20"/>
  <c r="AD10" i="36"/>
  <c r="AC16" i="36"/>
  <c r="Z26" i="36"/>
  <c r="Z29" i="36"/>
  <c r="AA18" i="36"/>
  <c r="AA20" i="36"/>
  <c r="AA21" i="36"/>
  <c r="AA22" i="36"/>
  <c r="AA23" i="36"/>
  <c r="AE73" i="20"/>
  <c r="AD70" i="20"/>
  <c r="Y59" i="20"/>
  <c r="Y58" i="20"/>
  <c r="Z56" i="20"/>
  <c r="R10" i="20"/>
  <c r="R11" i="20"/>
  <c r="S8" i="20"/>
  <c r="X50" i="20"/>
  <c r="X51" i="20"/>
  <c r="Y48" i="20"/>
  <c r="U26" i="20"/>
  <c r="U27" i="20"/>
  <c r="V24" i="20"/>
  <c r="AB65" i="20"/>
  <c r="AA62" i="20"/>
  <c r="V35" i="20"/>
  <c r="V34" i="20"/>
  <c r="W32" i="20"/>
  <c r="AC86" i="20"/>
  <c r="AB87" i="20"/>
  <c r="V43" i="20"/>
  <c r="V42" i="20"/>
  <c r="W40" i="20"/>
  <c r="Z66" i="20"/>
  <c r="Z67" i="20"/>
  <c r="AA64" i="20"/>
  <c r="T18" i="20"/>
  <c r="T19" i="20"/>
  <c r="U16" i="20"/>
  <c r="Z74" i="20"/>
  <c r="Z75" i="20"/>
  <c r="AA72" i="20"/>
  <c r="AE10" i="36"/>
  <c r="AD16" i="36"/>
  <c r="AA26" i="36"/>
  <c r="AA29" i="36"/>
  <c r="AB18" i="36"/>
  <c r="AB20" i="36"/>
  <c r="AB21" i="36"/>
  <c r="AB22" i="36"/>
  <c r="AB23" i="36"/>
  <c r="S10" i="20"/>
  <c r="S11" i="20"/>
  <c r="T8" i="20"/>
  <c r="AC65" i="20"/>
  <c r="AB62" i="20"/>
  <c r="W42" i="20"/>
  <c r="W43" i="20"/>
  <c r="X40" i="20"/>
  <c r="U18" i="20"/>
  <c r="U19" i="20"/>
  <c r="V16" i="20"/>
  <c r="V26" i="20"/>
  <c r="V27" i="20"/>
  <c r="W24" i="20"/>
  <c r="Z59" i="20"/>
  <c r="Z58" i="20"/>
  <c r="AA56" i="20"/>
  <c r="AC87" i="20"/>
  <c r="AD86" i="20"/>
  <c r="AA66" i="20"/>
  <c r="AB64" i="20"/>
  <c r="AA67" i="20"/>
  <c r="W35" i="20"/>
  <c r="W34" i="20"/>
  <c r="X32" i="20"/>
  <c r="Y50" i="20"/>
  <c r="Y51" i="20"/>
  <c r="Z48" i="20"/>
  <c r="AB72" i="20"/>
  <c r="AA75" i="20"/>
  <c r="AA74" i="20"/>
  <c r="AF73" i="20"/>
  <c r="AF70" i="20"/>
  <c r="AE70" i="20"/>
  <c r="AF10" i="36"/>
  <c r="AE16" i="36"/>
  <c r="AB26" i="36"/>
  <c r="AB29" i="36"/>
  <c r="AC18" i="36"/>
  <c r="AC20" i="36"/>
  <c r="AC21" i="36"/>
  <c r="AC22" i="36"/>
  <c r="AC23" i="36"/>
  <c r="X42" i="20"/>
  <c r="X43" i="20"/>
  <c r="Y40" i="20"/>
  <c r="W27" i="20"/>
  <c r="W26" i="20"/>
  <c r="X24" i="20"/>
  <c r="AB75" i="20"/>
  <c r="AC72" i="20"/>
  <c r="AB74" i="20"/>
  <c r="Z51" i="20"/>
  <c r="Z50" i="20"/>
  <c r="AA48" i="20"/>
  <c r="AC62" i="20"/>
  <c r="AD65" i="20"/>
  <c r="AD87" i="20"/>
  <c r="AE86" i="20"/>
  <c r="V18" i="20"/>
  <c r="V19" i="20"/>
  <c r="W16" i="20"/>
  <c r="T10" i="20"/>
  <c r="T11" i="20"/>
  <c r="U8" i="20"/>
  <c r="AB67" i="20"/>
  <c r="AC64" i="20"/>
  <c r="AB66" i="20"/>
  <c r="X35" i="20"/>
  <c r="X34" i="20"/>
  <c r="Y32" i="20"/>
  <c r="AA58" i="20"/>
  <c r="AA59" i="20"/>
  <c r="AB56" i="20"/>
  <c r="AG10" i="36"/>
  <c r="AF16" i="36"/>
  <c r="AC26" i="36"/>
  <c r="AC29" i="36"/>
  <c r="AD18" i="36"/>
  <c r="AD20" i="36"/>
  <c r="AD21" i="36"/>
  <c r="AD22" i="36"/>
  <c r="AD23" i="36"/>
  <c r="AC74" i="20"/>
  <c r="AC75" i="20"/>
  <c r="AD72" i="20"/>
  <c r="AC66" i="20"/>
  <c r="AC67" i="20"/>
  <c r="AD64" i="20"/>
  <c r="AE65" i="20"/>
  <c r="AD62" i="20"/>
  <c r="Y35" i="20"/>
  <c r="Y34" i="20"/>
  <c r="Z32" i="20"/>
  <c r="AA51" i="20"/>
  <c r="AA50" i="20"/>
  <c r="AB48" i="20"/>
  <c r="AE87" i="20"/>
  <c r="AF86" i="20"/>
  <c r="AF87" i="20"/>
  <c r="X27" i="20"/>
  <c r="X26" i="20"/>
  <c r="Y24" i="20"/>
  <c r="W19" i="20"/>
  <c r="W18" i="20"/>
  <c r="X16" i="20"/>
  <c r="Y43" i="20"/>
  <c r="Y42" i="20"/>
  <c r="Z40" i="20"/>
  <c r="AB59" i="20"/>
  <c r="AB58" i="20"/>
  <c r="AC56" i="20"/>
  <c r="U11" i="20"/>
  <c r="U10" i="20"/>
  <c r="V8" i="20"/>
  <c r="AH10" i="36"/>
  <c r="AG16" i="36"/>
  <c r="AD26" i="36"/>
  <c r="AD29" i="36"/>
  <c r="AE18" i="36"/>
  <c r="AE20" i="36"/>
  <c r="AE21" i="36"/>
  <c r="AE22" i="36"/>
  <c r="AE23" i="36"/>
  <c r="AF65" i="20"/>
  <c r="AF62" i="20"/>
  <c r="AE62" i="20"/>
  <c r="AB50" i="20"/>
  <c r="AB51" i="20"/>
  <c r="AC48" i="20"/>
  <c r="AE64" i="20"/>
  <c r="AD66" i="20"/>
  <c r="AD67" i="20"/>
  <c r="AC58" i="20"/>
  <c r="AC59" i="20"/>
  <c r="AD56" i="20"/>
  <c r="Y26" i="20"/>
  <c r="Y27" i="20"/>
  <c r="Z24" i="20"/>
  <c r="Z34" i="20"/>
  <c r="Z35" i="20"/>
  <c r="AA32" i="20"/>
  <c r="AD74" i="20"/>
  <c r="AD75" i="20"/>
  <c r="AE72" i="20"/>
  <c r="V10" i="20"/>
  <c r="V11" i="20"/>
  <c r="W8" i="20"/>
  <c r="X19" i="20"/>
  <c r="X18" i="20"/>
  <c r="Y16" i="20"/>
  <c r="Z42" i="20"/>
  <c r="Z43" i="20"/>
  <c r="AA40" i="20"/>
  <c r="AI10" i="36"/>
  <c r="AH16" i="36"/>
  <c r="AE26" i="36"/>
  <c r="AE29" i="36"/>
  <c r="AF18" i="36"/>
  <c r="AF20" i="36"/>
  <c r="AF21" i="36"/>
  <c r="AF22" i="36"/>
  <c r="AF23" i="36"/>
  <c r="AA34" i="20"/>
  <c r="AA35" i="20"/>
  <c r="AB32" i="20"/>
  <c r="AA43" i="20"/>
  <c r="AA42" i="20"/>
  <c r="AB40" i="20"/>
  <c r="Z27" i="20"/>
  <c r="Z26" i="20"/>
  <c r="AA24" i="20"/>
  <c r="AC51" i="20"/>
  <c r="AC50" i="20"/>
  <c r="AD48" i="20"/>
  <c r="AE74" i="20"/>
  <c r="AE75" i="20"/>
  <c r="AF72" i="20"/>
  <c r="AD59" i="20"/>
  <c r="AD58" i="20"/>
  <c r="AE56" i="20"/>
  <c r="W10" i="20"/>
  <c r="W11" i="20"/>
  <c r="X8" i="20"/>
  <c r="AE67" i="20"/>
  <c r="AF64" i="20"/>
  <c r="AE66" i="20"/>
  <c r="Y19" i="20"/>
  <c r="Y18" i="20"/>
  <c r="Z16" i="20"/>
  <c r="AJ10" i="36"/>
  <c r="AI16" i="36"/>
  <c r="AF26" i="36"/>
  <c r="AF29" i="36"/>
  <c r="AG18" i="36"/>
  <c r="AG20" i="36"/>
  <c r="AG21" i="36"/>
  <c r="AG22" i="36"/>
  <c r="AG23" i="36"/>
  <c r="AF74" i="20"/>
  <c r="AF75" i="20"/>
  <c r="AD51" i="20"/>
  <c r="AD50" i="20"/>
  <c r="AE48" i="20"/>
  <c r="Z19" i="20"/>
  <c r="Z18" i="20"/>
  <c r="AA16" i="20"/>
  <c r="AB34" i="20"/>
  <c r="AB35" i="20"/>
  <c r="AC32" i="20"/>
  <c r="AF66" i="20"/>
  <c r="AF67" i="20"/>
  <c r="AB43" i="20"/>
  <c r="AB42" i="20"/>
  <c r="AC40" i="20"/>
  <c r="X11" i="20"/>
  <c r="X10" i="20"/>
  <c r="Y8" i="20"/>
  <c r="AE59" i="20"/>
  <c r="AE58" i="20"/>
  <c r="AF56" i="20"/>
  <c r="AA26" i="20"/>
  <c r="AA27" i="20"/>
  <c r="AB24" i="20"/>
  <c r="AK10" i="36"/>
  <c r="AJ16" i="36"/>
  <c r="AG26" i="36"/>
  <c r="AG29" i="36"/>
  <c r="AH18" i="36"/>
  <c r="AH20" i="36"/>
  <c r="AH21" i="36"/>
  <c r="AH22" i="36"/>
  <c r="AH23" i="36"/>
  <c r="AE50" i="20"/>
  <c r="AE51" i="20"/>
  <c r="AF48" i="20"/>
  <c r="AB26" i="20"/>
  <c r="AB27" i="20"/>
  <c r="AC24" i="20"/>
  <c r="AA19" i="20"/>
  <c r="AA18" i="20"/>
  <c r="AB16" i="20"/>
  <c r="AC42" i="20"/>
  <c r="AC43" i="20"/>
  <c r="AD40" i="20"/>
  <c r="AF58" i="20"/>
  <c r="AF59" i="20"/>
  <c r="Y10" i="20"/>
  <c r="Y11" i="20"/>
  <c r="Z8" i="20"/>
  <c r="AC34" i="20"/>
  <c r="AC35" i="20"/>
  <c r="AD32" i="20"/>
  <c r="AL10" i="36"/>
  <c r="AK16" i="36"/>
  <c r="AH26" i="36"/>
  <c r="AH29" i="36"/>
  <c r="AI18" i="36"/>
  <c r="AI20" i="36"/>
  <c r="AI21" i="36"/>
  <c r="AI22" i="36"/>
  <c r="AI23" i="36"/>
  <c r="AF50" i="20"/>
  <c r="AF51" i="20"/>
  <c r="AC27" i="20"/>
  <c r="AC26" i="20"/>
  <c r="AD24" i="20"/>
  <c r="AD35" i="20"/>
  <c r="AD34" i="20"/>
  <c r="AE32" i="20"/>
  <c r="AD42" i="20"/>
  <c r="AD43" i="20"/>
  <c r="AE40" i="20"/>
  <c r="Z10" i="20"/>
  <c r="Z11" i="20"/>
  <c r="AA8" i="20"/>
  <c r="AB18" i="20"/>
  <c r="AB19" i="20"/>
  <c r="AC16" i="20"/>
  <c r="AM10" i="36"/>
  <c r="AL16" i="36"/>
  <c r="AI26" i="36"/>
  <c r="AI29" i="36"/>
  <c r="AJ18" i="36"/>
  <c r="AJ20" i="36"/>
  <c r="AJ21" i="36"/>
  <c r="AJ22" i="36"/>
  <c r="AJ23" i="36"/>
  <c r="AE35" i="20"/>
  <c r="AE34" i="20"/>
  <c r="AF32" i="20"/>
  <c r="AA11" i="20"/>
  <c r="AA10" i="20"/>
  <c r="AB8" i="20"/>
  <c r="AE42" i="20"/>
  <c r="AE43" i="20"/>
  <c r="AF40" i="20"/>
  <c r="AD27" i="20"/>
  <c r="AD26" i="20"/>
  <c r="AE24" i="20"/>
  <c r="AC18" i="20"/>
  <c r="AC19" i="20"/>
  <c r="AD16" i="20"/>
  <c r="AN10" i="36"/>
  <c r="AM16" i="36"/>
  <c r="AJ26" i="36"/>
  <c r="AJ29" i="36"/>
  <c r="AK18" i="36"/>
  <c r="AK20" i="36"/>
  <c r="AK21" i="36"/>
  <c r="AK22" i="36"/>
  <c r="AK23" i="36"/>
  <c r="AB10" i="20"/>
  <c r="AB11" i="20"/>
  <c r="AC8" i="20"/>
  <c r="AF34" i="20"/>
  <c r="AF35" i="20"/>
  <c r="AD18" i="20"/>
  <c r="AD19" i="20"/>
  <c r="AE16" i="20"/>
  <c r="AE26" i="20"/>
  <c r="AE27" i="20"/>
  <c r="AF24" i="20"/>
  <c r="AF42" i="20"/>
  <c r="AF43" i="20"/>
  <c r="AO10" i="36"/>
  <c r="AN16" i="36"/>
  <c r="AK26" i="36"/>
  <c r="AK29" i="36"/>
  <c r="AL18" i="36"/>
  <c r="AL20" i="36"/>
  <c r="AL21" i="36"/>
  <c r="AL22" i="36"/>
  <c r="AL23" i="36"/>
  <c r="AE19" i="20"/>
  <c r="AE18" i="20"/>
  <c r="AF16" i="20"/>
  <c r="AF26" i="20"/>
  <c r="AF27" i="20"/>
  <c r="AC11" i="20"/>
  <c r="AC10" i="20"/>
  <c r="AD8" i="20"/>
  <c r="AP10" i="36"/>
  <c r="AP16" i="36"/>
  <c r="AO16" i="36"/>
  <c r="AL26" i="36"/>
  <c r="AL29" i="36"/>
  <c r="AM18" i="36"/>
  <c r="AM20" i="36"/>
  <c r="AM21" i="36"/>
  <c r="AM22" i="36"/>
  <c r="AM23" i="36"/>
  <c r="AD10" i="20"/>
  <c r="AD11" i="20"/>
  <c r="AE8" i="20"/>
  <c r="AF19" i="20"/>
  <c r="AF18" i="20"/>
  <c r="AM26" i="36"/>
  <c r="AM29" i="36"/>
  <c r="AN18" i="36"/>
  <c r="AN20" i="36"/>
  <c r="AN21" i="36"/>
  <c r="AN22" i="36"/>
  <c r="AN23" i="36"/>
  <c r="AE11" i="20"/>
  <c r="AE10" i="20"/>
  <c r="AF8" i="20"/>
  <c r="AN26" i="36"/>
  <c r="AN29" i="36"/>
  <c r="AP18" i="36"/>
  <c r="AO18" i="36"/>
  <c r="AO20" i="36"/>
  <c r="AO21" i="36"/>
  <c r="AO22" i="36"/>
  <c r="AO23" i="36"/>
  <c r="AF11" i="20"/>
  <c r="AF10" i="20"/>
  <c r="AO26" i="36"/>
  <c r="AO29" i="36"/>
  <c r="AP26" i="36"/>
  <c r="AP29" i="36"/>
  <c r="N45" i="36"/>
  <c r="P55" i="36"/>
  <c r="N36" i="36"/>
  <c r="O36" i="36"/>
  <c r="P36" i="36"/>
  <c r="Q36" i="36"/>
  <c r="R36" i="36"/>
  <c r="S36" i="36"/>
  <c r="T36" i="36"/>
  <c r="M36" i="36"/>
  <c r="AG99" i="1"/>
  <c r="AG116" i="1"/>
  <c r="AH116" i="1"/>
  <c r="AI116" i="1"/>
  <c r="AJ116" i="1"/>
  <c r="AK116" i="1"/>
  <c r="AL116" i="1"/>
  <c r="AF116" i="1"/>
  <c r="BZ163" i="35"/>
  <c r="BY163" i="35"/>
  <c r="CF154" i="35"/>
  <c r="BZ148" i="35"/>
  <c r="BY148" i="35"/>
  <c r="BV148" i="35"/>
  <c r="BU148" i="35"/>
  <c r="BU147" i="35"/>
  <c r="CD140" i="35"/>
  <c r="BT148" i="35"/>
  <c r="BV147" i="35"/>
  <c r="BV146" i="35"/>
  <c r="BU146" i="35"/>
  <c r="BT146" i="35"/>
  <c r="BV145" i="35"/>
  <c r="BU145" i="35"/>
  <c r="BT145" i="35"/>
  <c r="BV144" i="35"/>
  <c r="BU144" i="35"/>
  <c r="BT144" i="35"/>
  <c r="CG141" i="35"/>
  <c r="CC141" i="35"/>
  <c r="BZ140" i="35"/>
  <c r="BZ141" i="35"/>
  <c r="BZ142" i="35"/>
  <c r="CF139" i="35"/>
  <c r="BV138" i="35"/>
  <c r="BU138" i="35"/>
  <c r="BY140" i="35"/>
  <c r="BY141" i="35"/>
  <c r="BY142" i="35"/>
  <c r="BT138" i="35"/>
  <c r="BZ133" i="35"/>
  <c r="BY133" i="35"/>
  <c r="BV133" i="35"/>
  <c r="BU133" i="35"/>
  <c r="BT133" i="35"/>
  <c r="BV132" i="35"/>
  <c r="BU132" i="35"/>
  <c r="BV131" i="35"/>
  <c r="BU131" i="35"/>
  <c r="BT131" i="35"/>
  <c r="BV130" i="35"/>
  <c r="BU130" i="35"/>
  <c r="BT130" i="35"/>
  <c r="BV129" i="35"/>
  <c r="BU129" i="35"/>
  <c r="BT129" i="35"/>
  <c r="CG126" i="35"/>
  <c r="CC126" i="35"/>
  <c r="CH125" i="35"/>
  <c r="CD125" i="35"/>
  <c r="BY132" i="35"/>
  <c r="BZ125" i="35"/>
  <c r="BZ126" i="35"/>
  <c r="BZ127" i="35"/>
  <c r="BY125" i="35"/>
  <c r="BY126" i="35"/>
  <c r="BY127" i="35"/>
  <c r="BV123" i="35"/>
  <c r="BU123" i="35"/>
  <c r="BT123" i="35"/>
  <c r="J112" i="35"/>
  <c r="J111" i="35"/>
  <c r="J114" i="35"/>
  <c r="K110" i="35"/>
  <c r="J110" i="35"/>
  <c r="J107" i="35"/>
  <c r="O106" i="35"/>
  <c r="O111" i="35"/>
  <c r="K106" i="35"/>
  <c r="K111" i="35"/>
  <c r="J106" i="35"/>
  <c r="I103" i="35"/>
  <c r="K102" i="35"/>
  <c r="K107" i="35"/>
  <c r="K112" i="35"/>
  <c r="J102" i="35"/>
  <c r="I102" i="35"/>
  <c r="S94" i="35"/>
  <c r="S93" i="35"/>
  <c r="R93" i="35"/>
  <c r="R94" i="35"/>
  <c r="Z92" i="35"/>
  <c r="Z93" i="35"/>
  <c r="Z94" i="35"/>
  <c r="Y92" i="35"/>
  <c r="Y93" i="35"/>
  <c r="Y94" i="35"/>
  <c r="S92" i="35"/>
  <c r="R92" i="35"/>
  <c r="I85" i="35"/>
  <c r="I84" i="35"/>
  <c r="H84" i="35"/>
  <c r="Z82" i="35"/>
  <c r="Y82" i="35"/>
  <c r="X82" i="35"/>
  <c r="W82" i="35"/>
  <c r="R82" i="35"/>
  <c r="Q82" i="35"/>
  <c r="P82" i="35"/>
  <c r="X81" i="35"/>
  <c r="W81" i="35"/>
  <c r="Q81" i="35"/>
  <c r="P81" i="35"/>
  <c r="AP80" i="35"/>
  <c r="W78" i="35"/>
  <c r="P78" i="35"/>
  <c r="P77" i="35"/>
  <c r="E77" i="35"/>
  <c r="W76" i="35"/>
  <c r="P76" i="35"/>
  <c r="W72" i="35"/>
  <c r="P72" i="35"/>
  <c r="W69" i="35"/>
  <c r="P69" i="35"/>
  <c r="C65" i="35"/>
  <c r="I63" i="35"/>
  <c r="C63" i="35"/>
  <c r="AV62" i="35"/>
  <c r="AS62" i="35"/>
  <c r="AR62" i="35"/>
  <c r="AP62" i="35"/>
  <c r="AO62" i="35"/>
  <c r="L62" i="35"/>
  <c r="K62" i="35"/>
  <c r="J62" i="35"/>
  <c r="AV61" i="35"/>
  <c r="AS61" i="35"/>
  <c r="AR61" i="35"/>
  <c r="AP61" i="35"/>
  <c r="AO61" i="35"/>
  <c r="AV60" i="35"/>
  <c r="AS60" i="35"/>
  <c r="AR60" i="35"/>
  <c r="AP60" i="35"/>
  <c r="AO60" i="35"/>
  <c r="AV59" i="35"/>
  <c r="AS59" i="35"/>
  <c r="AR59" i="35"/>
  <c r="AP59" i="35"/>
  <c r="AO59" i="35"/>
  <c r="AO63" i="35"/>
  <c r="AX59" i="35"/>
  <c r="AV58" i="35"/>
  <c r="AS58" i="35"/>
  <c r="AR58" i="35"/>
  <c r="AP58" i="35"/>
  <c r="AO58" i="35"/>
  <c r="I57" i="35"/>
  <c r="I18" i="35" s="1"/>
  <c r="H57" i="35"/>
  <c r="H18" i="35"/>
  <c r="I56" i="35"/>
  <c r="I64" i="35" s="1"/>
  <c r="J101" i="35"/>
  <c r="I107" i="35" s="1"/>
  <c r="I112" i="35" s="1"/>
  <c r="I115" i="35" s="1"/>
  <c r="H56" i="35"/>
  <c r="I101" i="35" s="1"/>
  <c r="I106" i="35" s="1"/>
  <c r="I111" i="35" s="1"/>
  <c r="I114" i="35" s="1"/>
  <c r="M54" i="35"/>
  <c r="AF47" i="35"/>
  <c r="AE47" i="35"/>
  <c r="AD47" i="35"/>
  <c r="S47" i="35"/>
  <c r="S82" i="35"/>
  <c r="AB44" i="35"/>
  <c r="AB42" i="35"/>
  <c r="AA44" i="35"/>
  <c r="AA42" i="35"/>
  <c r="X44" i="35"/>
  <c r="U44" i="35"/>
  <c r="T44" i="35"/>
  <c r="N44" i="35"/>
  <c r="AB43" i="35"/>
  <c r="AA43" i="35"/>
  <c r="Z43" i="35"/>
  <c r="Y43" i="35"/>
  <c r="X43" i="35"/>
  <c r="U43" i="35"/>
  <c r="T43" i="35"/>
  <c r="S43" i="35"/>
  <c r="R43" i="35"/>
  <c r="Q43" i="35"/>
  <c r="Q44" i="35"/>
  <c r="N43" i="35"/>
  <c r="U42" i="35"/>
  <c r="T42" i="35"/>
  <c r="N42" i="35"/>
  <c r="Z39" i="35"/>
  <c r="W39" i="35"/>
  <c r="Y39" i="35"/>
  <c r="S39" i="35"/>
  <c r="P39" i="35"/>
  <c r="R39" i="35"/>
  <c r="K39" i="35"/>
  <c r="J39" i="35"/>
  <c r="I39" i="35"/>
  <c r="H39" i="35"/>
  <c r="Z38" i="35"/>
  <c r="W38" i="35"/>
  <c r="Y38" i="35" s="1"/>
  <c r="S38" i="35"/>
  <c r="P38" i="35"/>
  <c r="R38" i="35" s="1"/>
  <c r="K38" i="35"/>
  <c r="J38" i="35"/>
  <c r="I38" i="35"/>
  <c r="AM19" i="35" s="1"/>
  <c r="H38" i="35"/>
  <c r="Z37" i="35"/>
  <c r="W37" i="35"/>
  <c r="Y37" i="35" s="1"/>
  <c r="S37" i="35"/>
  <c r="P37" i="35"/>
  <c r="R37" i="35"/>
  <c r="K37" i="35"/>
  <c r="J37" i="35"/>
  <c r="I37" i="35"/>
  <c r="H37" i="35"/>
  <c r="Z36" i="35"/>
  <c r="W36" i="35"/>
  <c r="Y36" i="35" s="1"/>
  <c r="S36" i="35"/>
  <c r="P36" i="35"/>
  <c r="R36" i="35"/>
  <c r="K36" i="35"/>
  <c r="J36" i="35"/>
  <c r="I36" i="35"/>
  <c r="AM18" i="35" s="1"/>
  <c r="H36" i="35"/>
  <c r="B24" i="35"/>
  <c r="B22" i="35"/>
  <c r="AM20" i="35"/>
  <c r="AI19" i="35"/>
  <c r="AI18" i="35"/>
  <c r="Z18" i="35"/>
  <c r="Y18" i="35"/>
  <c r="W18" i="35"/>
  <c r="S18" i="35"/>
  <c r="S22" i="35"/>
  <c r="S23" i="35" s="1"/>
  <c r="R18" i="35"/>
  <c r="P18" i="35"/>
  <c r="P19" i="35" s="1"/>
  <c r="Z17" i="35"/>
  <c r="Y17" i="35"/>
  <c r="W17" i="35"/>
  <c r="S17" i="35"/>
  <c r="S19" i="35"/>
  <c r="R17" i="35"/>
  <c r="P17" i="35"/>
  <c r="AQ26" i="35" s="1"/>
  <c r="H17" i="35"/>
  <c r="AP17" i="35" s="1"/>
  <c r="L47" i="25"/>
  <c r="K47" i="25"/>
  <c r="J47" i="25"/>
  <c r="I47" i="25"/>
  <c r="I46" i="25"/>
  <c r="H46" i="25"/>
  <c r="Z44" i="25"/>
  <c r="Y44" i="25"/>
  <c r="X44" i="25"/>
  <c r="W44" i="25"/>
  <c r="R44" i="25"/>
  <c r="Q44" i="25"/>
  <c r="P44" i="25"/>
  <c r="X43" i="25"/>
  <c r="W43" i="25"/>
  <c r="Q43" i="25"/>
  <c r="P43" i="25"/>
  <c r="AF40" i="25"/>
  <c r="AE40" i="25"/>
  <c r="AD40" i="25"/>
  <c r="Z40" i="25"/>
  <c r="Y40" i="25"/>
  <c r="X40" i="25"/>
  <c r="W40" i="25"/>
  <c r="S40" i="25"/>
  <c r="R40" i="25"/>
  <c r="Q40" i="25"/>
  <c r="P40" i="25"/>
  <c r="L40" i="25"/>
  <c r="K40" i="25"/>
  <c r="J40" i="25"/>
  <c r="I40" i="25"/>
  <c r="H40" i="25"/>
  <c r="AF39" i="25"/>
  <c r="AE39" i="25"/>
  <c r="AD39" i="25"/>
  <c r="Z39" i="25"/>
  <c r="Y39" i="25"/>
  <c r="X39" i="25"/>
  <c r="W39" i="25"/>
  <c r="S39" i="25"/>
  <c r="R39" i="25"/>
  <c r="Q39" i="25"/>
  <c r="P39" i="25"/>
  <c r="L39" i="25"/>
  <c r="K39" i="25"/>
  <c r="J39" i="25"/>
  <c r="I39" i="25"/>
  <c r="H39" i="25"/>
  <c r="AF38" i="25"/>
  <c r="AE38" i="25"/>
  <c r="AD38" i="25"/>
  <c r="Z38" i="25"/>
  <c r="Y38" i="25"/>
  <c r="X38" i="25"/>
  <c r="W38" i="25"/>
  <c r="S38" i="25"/>
  <c r="R38" i="25"/>
  <c r="Q38" i="25"/>
  <c r="P38" i="25"/>
  <c r="L38" i="25"/>
  <c r="K38" i="25"/>
  <c r="J38" i="25"/>
  <c r="I38" i="25"/>
  <c r="H38" i="25"/>
  <c r="AE35" i="25"/>
  <c r="AD35" i="25"/>
  <c r="Z35" i="25"/>
  <c r="Y35" i="25"/>
  <c r="X35" i="25"/>
  <c r="W35" i="25"/>
  <c r="S35" i="25"/>
  <c r="R35" i="25"/>
  <c r="Q35" i="25"/>
  <c r="P35" i="25"/>
  <c r="W34" i="25"/>
  <c r="P34" i="25"/>
  <c r="AE33" i="25"/>
  <c r="AD33" i="25"/>
  <c r="Z33" i="25"/>
  <c r="Y33" i="25"/>
  <c r="X33" i="25"/>
  <c r="W33" i="25"/>
  <c r="S33" i="25"/>
  <c r="R33" i="25"/>
  <c r="Q33" i="25"/>
  <c r="P33" i="25"/>
  <c r="AE32" i="25"/>
  <c r="AD32" i="25"/>
  <c r="Z32" i="25"/>
  <c r="Y32" i="25"/>
  <c r="X32" i="25"/>
  <c r="W32" i="25"/>
  <c r="S32" i="25"/>
  <c r="R32" i="25"/>
  <c r="Q32" i="25"/>
  <c r="P32" i="25"/>
  <c r="W31" i="25"/>
  <c r="P31" i="25"/>
  <c r="H31" i="25"/>
  <c r="AE30" i="25"/>
  <c r="AD30" i="25"/>
  <c r="Z30" i="25"/>
  <c r="Y30" i="25"/>
  <c r="X30" i="25"/>
  <c r="S30" i="25"/>
  <c r="R30" i="25"/>
  <c r="Q30" i="25"/>
  <c r="J28" i="25"/>
  <c r="K28" i="25"/>
  <c r="L28" i="25"/>
  <c r="AE26" i="25"/>
  <c r="AD26" i="25"/>
  <c r="I25" i="25"/>
  <c r="J25" i="25"/>
  <c r="J29" i="25" s="1"/>
  <c r="L24" i="25"/>
  <c r="K24" i="25"/>
  <c r="J24" i="25"/>
  <c r="AE23" i="25"/>
  <c r="AF22" i="25"/>
  <c r="AF21" i="25"/>
  <c r="AE22" i="25"/>
  <c r="AE21" i="25"/>
  <c r="AD22" i="25"/>
  <c r="AD23" i="25"/>
  <c r="L22" i="25"/>
  <c r="L23" i="25" s="1"/>
  <c r="K22" i="25"/>
  <c r="K23" i="25" s="1"/>
  <c r="J22" i="25"/>
  <c r="J23" i="25"/>
  <c r="L21" i="25"/>
  <c r="K21" i="25"/>
  <c r="J21" i="25"/>
  <c r="AE20" i="25"/>
  <c r="AD20" i="25"/>
  <c r="I20" i="25"/>
  <c r="I33" i="25"/>
  <c r="AF19" i="25"/>
  <c r="AF20" i="25"/>
  <c r="AF33" i="25"/>
  <c r="AE19" i="25"/>
  <c r="AD19" i="25"/>
  <c r="L19" i="25"/>
  <c r="L32" i="25" s="1"/>
  <c r="K19" i="25"/>
  <c r="K20" i="25" s="1"/>
  <c r="K33" i="25" s="1"/>
  <c r="J19" i="25"/>
  <c r="J35" i="25" s="1"/>
  <c r="I19" i="25"/>
  <c r="I35" i="25"/>
  <c r="H19" i="25"/>
  <c r="H32" i="25"/>
  <c r="AF18" i="25"/>
  <c r="AF26" i="25"/>
  <c r="AE18" i="25"/>
  <c r="AD18" i="25"/>
  <c r="N18" i="25"/>
  <c r="M18" i="25"/>
  <c r="L18" i="25"/>
  <c r="L30" i="25"/>
  <c r="K18" i="25"/>
  <c r="K30" i="25" s="1"/>
  <c r="J18" i="25"/>
  <c r="J26" i="25" s="1"/>
  <c r="I18" i="25"/>
  <c r="I31" i="25" s="1"/>
  <c r="H18" i="25"/>
  <c r="AF12" i="25"/>
  <c r="AE12" i="25"/>
  <c r="AD12" i="25"/>
  <c r="AF9" i="25"/>
  <c r="AE9" i="25"/>
  <c r="AD9" i="25"/>
  <c r="S9" i="25"/>
  <c r="S44" i="25"/>
  <c r="E10" i="35"/>
  <c r="AF16" i="35"/>
  <c r="AD16" i="35"/>
  <c r="AF20" i="35"/>
  <c r="H3" i="35"/>
  <c r="AE17" i="35"/>
  <c r="AF18" i="35"/>
  <c r="C67" i="35"/>
  <c r="AG18" i="35"/>
  <c r="AD17" i="35"/>
  <c r="AD22" i="35"/>
  <c r="H22" i="35"/>
  <c r="AE20" i="35"/>
  <c r="AG20" i="35"/>
  <c r="AE18" i="35"/>
  <c r="F3" i="35"/>
  <c r="E9" i="35"/>
  <c r="AD18" i="35"/>
  <c r="AE16" i="35"/>
  <c r="AF17" i="35"/>
  <c r="AG17" i="35"/>
  <c r="H9" i="35"/>
  <c r="Z19" i="35"/>
  <c r="Y19" i="35"/>
  <c r="L35" i="25"/>
  <c r="AP63" i="35"/>
  <c r="AY59" i="35"/>
  <c r="AR63" i="35"/>
  <c r="AY58" i="35"/>
  <c r="AS63" i="35"/>
  <c r="BB60" i="35"/>
  <c r="AX60" i="35"/>
  <c r="AX58" i="35"/>
  <c r="AX61" i="35"/>
  <c r="AX62" i="35"/>
  <c r="AD56" i="35"/>
  <c r="AD50" i="35"/>
  <c r="AF56" i="35"/>
  <c r="AF64" i="35"/>
  <c r="AE56" i="35"/>
  <c r="BV117" i="35"/>
  <c r="H10" i="35"/>
  <c r="AE50" i="35"/>
  <c r="I69" i="35"/>
  <c r="I78" i="35" s="1"/>
  <c r="H69" i="35"/>
  <c r="H78" i="35" s="1"/>
  <c r="I67" i="35"/>
  <c r="I72" i="35"/>
  <c r="AF50" i="35"/>
  <c r="AD25" i="35"/>
  <c r="AT18" i="35"/>
  <c r="AD26" i="35"/>
  <c r="AD19" i="35"/>
  <c r="AD24" i="35"/>
  <c r="AP27" i="35"/>
  <c r="P71" i="35"/>
  <c r="Z70" i="35"/>
  <c r="Z71" i="35"/>
  <c r="Y70" i="35"/>
  <c r="Y71" i="35"/>
  <c r="X70" i="35"/>
  <c r="X71" i="35"/>
  <c r="W70" i="35"/>
  <c r="S24" i="35"/>
  <c r="W71" i="35"/>
  <c r="S70" i="35"/>
  <c r="S71" i="35"/>
  <c r="R70" i="35"/>
  <c r="E12" i="35"/>
  <c r="R71" i="35"/>
  <c r="Q70" i="35"/>
  <c r="Q71" i="35"/>
  <c r="P70" i="35"/>
  <c r="AE26" i="35"/>
  <c r="AE19" i="35"/>
  <c r="AE24" i="35"/>
  <c r="AD57" i="35"/>
  <c r="AQ27" i="35"/>
  <c r="AD60" i="35"/>
  <c r="AE22" i="35"/>
  <c r="AD23" i="35"/>
  <c r="AF26" i="35"/>
  <c r="AF19" i="35"/>
  <c r="AE57" i="35"/>
  <c r="AR27" i="35"/>
  <c r="AF24" i="35"/>
  <c r="AE60" i="35"/>
  <c r="P73" i="35"/>
  <c r="Z73" i="35"/>
  <c r="S26" i="35"/>
  <c r="Y73" i="35"/>
  <c r="X73" i="35"/>
  <c r="K95" i="35"/>
  <c r="W73" i="35"/>
  <c r="BT124" i="35"/>
  <c r="S73" i="35"/>
  <c r="Z26" i="35"/>
  <c r="R73" i="35"/>
  <c r="Q73" i="35"/>
  <c r="Y26" i="35"/>
  <c r="H26" i="35"/>
  <c r="AP26" i="35"/>
  <c r="AF57" i="35"/>
  <c r="AF60" i="35"/>
  <c r="CC140" i="35"/>
  <c r="CC142" i="35"/>
  <c r="CC143" i="35"/>
  <c r="BY147" i="35"/>
  <c r="BA62" i="35"/>
  <c r="BA61" i="35"/>
  <c r="BA58" i="35"/>
  <c r="BA59" i="35"/>
  <c r="BA60" i="35"/>
  <c r="W26" i="35"/>
  <c r="Y24" i="35"/>
  <c r="H24" i="35"/>
  <c r="AR26" i="35"/>
  <c r="BB62" i="35"/>
  <c r="BB61" i="35"/>
  <c r="Z24" i="35"/>
  <c r="H70" i="35"/>
  <c r="K114" i="35"/>
  <c r="I70" i="35"/>
  <c r="CH140" i="35"/>
  <c r="CG140" i="35"/>
  <c r="CG142" i="35"/>
  <c r="CG143" i="35"/>
  <c r="AP18" i="35"/>
  <c r="W22" i="35"/>
  <c r="W25" i="35"/>
  <c r="P24" i="35"/>
  <c r="AY60" i="35"/>
  <c r="H72" i="35"/>
  <c r="H73" i="35"/>
  <c r="CC125" i="35"/>
  <c r="CC127" i="35"/>
  <c r="CC128" i="35"/>
  <c r="H25" i="35"/>
  <c r="I73" i="35"/>
  <c r="Z22" i="35"/>
  <c r="Z23" i="35" s="1"/>
  <c r="I58" i="35"/>
  <c r="I71" i="35" s="1"/>
  <c r="I77" i="35"/>
  <c r="W77" i="35"/>
  <c r="CG125" i="35"/>
  <c r="CG127" i="35"/>
  <c r="CG128" i="35"/>
  <c r="W24" i="35"/>
  <c r="AY61" i="35"/>
  <c r="AY62" i="35"/>
  <c r="S25" i="35"/>
  <c r="W19" i="35"/>
  <c r="AD21" i="25"/>
  <c r="Q28" i="25"/>
  <c r="AF35" i="25"/>
  <c r="I29" i="25"/>
  <c r="AF30" i="25"/>
  <c r="AF32" i="25"/>
  <c r="H34" i="25"/>
  <c r="H35" i="25"/>
  <c r="I32" i="25"/>
  <c r="AF23" i="25"/>
  <c r="I26" i="25"/>
  <c r="BB59" i="35"/>
  <c r="BB58" i="35"/>
  <c r="AF70" i="35"/>
  <c r="AF58" i="35"/>
  <c r="AF71" i="35"/>
  <c r="AF73" i="35"/>
  <c r="AE70" i="35"/>
  <c r="AE58" i="35"/>
  <c r="AE71" i="35"/>
  <c r="AE73" i="35"/>
  <c r="AD73" i="35"/>
  <c r="AD58" i="35"/>
  <c r="AD71" i="35"/>
  <c r="AD70" i="35"/>
  <c r="BY128" i="35"/>
  <c r="BT139" i="35"/>
  <c r="BT125" i="35"/>
  <c r="BU124" i="35"/>
  <c r="K103" i="35"/>
  <c r="AE64" i="35"/>
  <c r="Z25" i="35"/>
  <c r="W23" i="35"/>
  <c r="W31" i="35" s="1"/>
  <c r="Y22" i="35"/>
  <c r="R95" i="35"/>
  <c r="L95" i="35"/>
  <c r="Q67" i="35"/>
  <c r="AD67" i="35"/>
  <c r="X67" i="35"/>
  <c r="D67" i="35"/>
  <c r="J66" i="35"/>
  <c r="AE59" i="35"/>
  <c r="AE61" i="35"/>
  <c r="AD30" i="35"/>
  <c r="AP28" i="35"/>
  <c r="AD31" i="35"/>
  <c r="AD29" i="35"/>
  <c r="AF22" i="35"/>
  <c r="AE23" i="35"/>
  <c r="AE25" i="35"/>
  <c r="AF59" i="35"/>
  <c r="AF61" i="35"/>
  <c r="AD59" i="35"/>
  <c r="AD61" i="35"/>
  <c r="J103" i="35"/>
  <c r="O107" i="35"/>
  <c r="O112" i="35"/>
  <c r="AD64" i="35"/>
  <c r="Q29" i="25"/>
  <c r="AD29" i="25"/>
  <c r="X29" i="25"/>
  <c r="I34" i="25"/>
  <c r="X28" i="25"/>
  <c r="R28" i="25"/>
  <c r="S28" i="25"/>
  <c r="B2" i="18"/>
  <c r="X69" i="35"/>
  <c r="X72" i="35"/>
  <c r="Y67" i="35"/>
  <c r="X42" i="35"/>
  <c r="AE67" i="35"/>
  <c r="AD69" i="35"/>
  <c r="AD72" i="35"/>
  <c r="J115" i="35"/>
  <c r="K115" i="35"/>
  <c r="R67" i="35"/>
  <c r="Q69" i="35"/>
  <c r="Q72" i="35"/>
  <c r="Q42" i="35"/>
  <c r="BU125" i="35"/>
  <c r="BV124" i="35"/>
  <c r="BV125" i="35"/>
  <c r="AE30" i="35"/>
  <c r="AE31" i="35"/>
  <c r="AE29" i="35"/>
  <c r="AF23" i="35"/>
  <c r="AF25" i="35"/>
  <c r="Y95" i="35"/>
  <c r="S95" i="35"/>
  <c r="S96" i="35"/>
  <c r="S97" i="35"/>
  <c r="R96" i="35"/>
  <c r="R97" i="35"/>
  <c r="BU139" i="35"/>
  <c r="BT154" i="35"/>
  <c r="BT140" i="35"/>
  <c r="Y23" i="35"/>
  <c r="Y30" i="35" s="1"/>
  <c r="Y25" i="35"/>
  <c r="BZ128" i="35"/>
  <c r="BZ129" i="35"/>
  <c r="BZ130" i="35"/>
  <c r="BZ131" i="35"/>
  <c r="BY129" i="35"/>
  <c r="BY130" i="35"/>
  <c r="BY131" i="35"/>
  <c r="Q66" i="35"/>
  <c r="K66" i="35"/>
  <c r="Y28" i="25"/>
  <c r="Z28" i="25"/>
  <c r="AD28" i="25"/>
  <c r="AE28" i="25"/>
  <c r="AF28" i="25"/>
  <c r="X31" i="25"/>
  <c r="X34" i="25"/>
  <c r="Y29" i="25"/>
  <c r="AE29" i="25"/>
  <c r="AD34" i="25"/>
  <c r="AD31" i="25"/>
  <c r="R29" i="25"/>
  <c r="Q34" i="25"/>
  <c r="Q31" i="25"/>
  <c r="AA968" i="1"/>
  <c r="AA969" i="1"/>
  <c r="AA967" i="1"/>
  <c r="AA964" i="1"/>
  <c r="AE60" i="1"/>
  <c r="BV139" i="35"/>
  <c r="BV140" i="35"/>
  <c r="BU140" i="35"/>
  <c r="BY158" i="35"/>
  <c r="BU154" i="35"/>
  <c r="S67" i="35"/>
  <c r="R69" i="35"/>
  <c r="R72" i="35"/>
  <c r="AD76" i="35"/>
  <c r="AD78" i="35"/>
  <c r="AD77" i="35"/>
  <c r="L66" i="35"/>
  <c r="Y29" i="35"/>
  <c r="AF67" i="35"/>
  <c r="AE69" i="35"/>
  <c r="AE72" i="35"/>
  <c r="R66" i="35"/>
  <c r="BT127" i="35"/>
  <c r="Q68" i="35"/>
  <c r="X66" i="35"/>
  <c r="Z95" i="35"/>
  <c r="Z96" i="35"/>
  <c r="Z97" i="35"/>
  <c r="Y96" i="35"/>
  <c r="Y97" i="35"/>
  <c r="Y69" i="35"/>
  <c r="Y72" i="35"/>
  <c r="Z67" i="35"/>
  <c r="AF30" i="35"/>
  <c r="AF31" i="35"/>
  <c r="AF29" i="35"/>
  <c r="Q78" i="35"/>
  <c r="Q77" i="35"/>
  <c r="Q76" i="35"/>
  <c r="X78" i="35"/>
  <c r="X77" i="35"/>
  <c r="X76" i="35"/>
  <c r="AF29" i="25"/>
  <c r="AE34" i="25"/>
  <c r="AE31" i="25"/>
  <c r="Y34" i="25"/>
  <c r="Y31" i="25"/>
  <c r="Z29" i="25"/>
  <c r="S29" i="25"/>
  <c r="R31" i="25"/>
  <c r="R34" i="25"/>
  <c r="AB47" i="1"/>
  <c r="X68" i="35"/>
  <c r="AD66" i="35"/>
  <c r="Y66" i="35"/>
  <c r="R78" i="35"/>
  <c r="R76" i="35"/>
  <c r="R77" i="35"/>
  <c r="S69" i="35"/>
  <c r="S72" i="35"/>
  <c r="BU127" i="35"/>
  <c r="BT128" i="35"/>
  <c r="BT142" i="35"/>
  <c r="BT126" i="35"/>
  <c r="BV154" i="35"/>
  <c r="Z69" i="35"/>
  <c r="Z72" i="35"/>
  <c r="R68" i="35"/>
  <c r="S66" i="35"/>
  <c r="S68" i="35"/>
  <c r="BY143" i="35"/>
  <c r="BZ158" i="35"/>
  <c r="AF69" i="35"/>
  <c r="AF72" i="35"/>
  <c r="Y78" i="35"/>
  <c r="Y76" i="35"/>
  <c r="Y77" i="35"/>
  <c r="AE78" i="35"/>
  <c r="AE77" i="35"/>
  <c r="AE76" i="35"/>
  <c r="Z31" i="25"/>
  <c r="Z34" i="25"/>
  <c r="S31" i="25"/>
  <c r="S34" i="25"/>
  <c r="AF31" i="25"/>
  <c r="AF34" i="25"/>
  <c r="Z78" i="35"/>
  <c r="Z77" i="35"/>
  <c r="Z76" i="35"/>
  <c r="AF78" i="35"/>
  <c r="AF76" i="35"/>
  <c r="AF77" i="35"/>
  <c r="S78" i="35"/>
  <c r="S76" i="35"/>
  <c r="S77" i="35"/>
  <c r="BT157" i="35"/>
  <c r="BU142" i="35"/>
  <c r="BT141" i="35"/>
  <c r="BT143" i="35"/>
  <c r="AE66" i="35"/>
  <c r="AD68" i="35"/>
  <c r="BZ143" i="35"/>
  <c r="BZ144" i="35"/>
  <c r="BZ145" i="35"/>
  <c r="BZ146" i="35"/>
  <c r="BY144" i="35"/>
  <c r="BY145" i="35"/>
  <c r="BY146" i="35"/>
  <c r="Y68" i="35"/>
  <c r="Z66" i="35"/>
  <c r="Z68" i="35"/>
  <c r="BV127" i="35"/>
  <c r="BU126" i="35"/>
  <c r="BU128" i="35"/>
  <c r="AF66" i="35"/>
  <c r="AF68" i="35"/>
  <c r="AE68" i="35"/>
  <c r="BV128" i="35"/>
  <c r="BV126" i="35"/>
  <c r="BU157" i="35"/>
  <c r="BV142" i="35"/>
  <c r="BU141" i="35"/>
  <c r="BU143" i="35"/>
  <c r="BV157" i="35"/>
  <c r="BV141" i="35"/>
  <c r="BV143" i="35"/>
  <c r="AC127" i="1"/>
  <c r="K918" i="1"/>
  <c r="AA918" i="1"/>
  <c r="AB814" i="1"/>
  <c r="AB813" i="1"/>
  <c r="AB808" i="1"/>
  <c r="AB130" i="1"/>
  <c r="AB87" i="1"/>
  <c r="AB689" i="1"/>
  <c r="AB688" i="1"/>
  <c r="AB687" i="1"/>
  <c r="AA676" i="1"/>
  <c r="AA966" i="1"/>
  <c r="AB546" i="1"/>
  <c r="AD472" i="1"/>
  <c r="AC472" i="1"/>
  <c r="AD470" i="1"/>
  <c r="AC470" i="1"/>
  <c r="AB472" i="1"/>
  <c r="AA472" i="1"/>
  <c r="AB470" i="1"/>
  <c r="AA470" i="1"/>
  <c r="AB447" i="1"/>
  <c r="AB442" i="1"/>
  <c r="AB441" i="1"/>
  <c r="AB440" i="1"/>
  <c r="AB398" i="1"/>
  <c r="AB391" i="1"/>
  <c r="AB313" i="1"/>
  <c r="AB253" i="1"/>
  <c r="AB252" i="1"/>
  <c r="AB251" i="1"/>
  <c r="AB240" i="1"/>
  <c r="AB239" i="1"/>
  <c r="AB926" i="1"/>
  <c r="AB238" i="1"/>
  <c r="AB319" i="1"/>
  <c r="AA238" i="1"/>
  <c r="AB209" i="1"/>
  <c r="AB206" i="1"/>
  <c r="AB205" i="1"/>
  <c r="AB204" i="1"/>
  <c r="AB198" i="1"/>
  <c r="AB203" i="1"/>
  <c r="AB197" i="1"/>
  <c r="AB196" i="1"/>
  <c r="AB202" i="1"/>
  <c r="AB190" i="1"/>
  <c r="AA190" i="1"/>
  <c r="AA189" i="1"/>
  <c r="V48" i="1"/>
  <c r="X48" i="1"/>
  <c r="AE47" i="1"/>
  <c r="AE49" i="1" s="1"/>
  <c r="AE51" i="1" s="1"/>
  <c r="AA62" i="1"/>
  <c r="AD690" i="1"/>
  <c r="AA689" i="1"/>
  <c r="AA688" i="1"/>
  <c r="AA687" i="1"/>
  <c r="AE611" i="1"/>
  <c r="AB694" i="1"/>
  <c r="V938" i="1"/>
  <c r="V919" i="1"/>
  <c r="V920" i="1"/>
  <c r="AA814" i="1"/>
  <c r="AA813" i="1"/>
  <c r="AA810" i="1"/>
  <c r="AA809" i="1"/>
  <c r="AA808" i="1"/>
  <c r="AA801" i="1"/>
  <c r="AA802" i="1"/>
  <c r="AA807" i="1"/>
  <c r="AA800" i="1"/>
  <c r="AA806" i="1"/>
  <c r="V800" i="1"/>
  <c r="AA768" i="1"/>
  <c r="AA694" i="1"/>
  <c r="AA681" i="1"/>
  <c r="AA696" i="1"/>
  <c r="AA584" i="1"/>
  <c r="AA582" i="1"/>
  <c r="AA548" i="1"/>
  <c r="AD447" i="1"/>
  <c r="AA447" i="1"/>
  <c r="AA442" i="1"/>
  <c r="AA441" i="1"/>
  <c r="AA440" i="1"/>
  <c r="AA435" i="1"/>
  <c r="AA436" i="1"/>
  <c r="AA434" i="1"/>
  <c r="AA449" i="1"/>
  <c r="V434" i="1"/>
  <c r="U434" i="1"/>
  <c r="AA398" i="1"/>
  <c r="AA391" i="1"/>
  <c r="AA384" i="1"/>
  <c r="AA385" i="1"/>
  <c r="AA383" i="1"/>
  <c r="AA389" i="1"/>
  <c r="V384" i="1"/>
  <c r="AA319" i="1"/>
  <c r="AA305" i="1"/>
  <c r="AA311" i="1"/>
  <c r="AA253" i="1"/>
  <c r="AA284" i="1"/>
  <c r="AA252" i="1"/>
  <c r="AA251" i="1"/>
  <c r="AA240" i="1"/>
  <c r="AA239" i="1"/>
  <c r="AA926" i="1"/>
  <c r="V238" i="1"/>
  <c r="AA313" i="1"/>
  <c r="AA209" i="1"/>
  <c r="AA211" i="1"/>
  <c r="AA202" i="1"/>
  <c r="AA206" i="1"/>
  <c r="AA205" i="1"/>
  <c r="AA204" i="1"/>
  <c r="AA196" i="1"/>
  <c r="AA197" i="1"/>
  <c r="AA198" i="1"/>
  <c r="AA203" i="1"/>
  <c r="AA87" i="1"/>
  <c r="AA135" i="1"/>
  <c r="V135" i="1"/>
  <c r="AA130" i="1"/>
  <c r="V130" i="1"/>
  <c r="V70" i="1"/>
  <c r="AA70" i="1"/>
  <c r="V69" i="1"/>
  <c r="AA69" i="1"/>
  <c r="V87" i="1"/>
  <c r="AA63" i="1"/>
  <c r="Z64" i="1"/>
  <c r="Y30" i="1"/>
  <c r="AA390" i="1"/>
  <c r="AA393" i="1"/>
  <c r="AA392" i="1"/>
  <c r="AA448" i="1"/>
  <c r="AA418" i="1"/>
  <c r="Y50" i="1"/>
  <c r="AA763" i="1"/>
  <c r="AA50" i="1"/>
  <c r="X168" i="1"/>
  <c r="Z130" i="1"/>
  <c r="Y101" i="1"/>
  <c r="Y98" i="1"/>
  <c r="Y97" i="1"/>
  <c r="Y87" i="1"/>
  <c r="Z76" i="1"/>
  <c r="Z75" i="1"/>
  <c r="Z73" i="1"/>
  <c r="Z72" i="1"/>
  <c r="Z68" i="1"/>
  <c r="Z67" i="1"/>
  <c r="Z66" i="1"/>
  <c r="Y69" i="1"/>
  <c r="V1237" i="1"/>
  <c r="Z1237" i="1"/>
  <c r="Z1233" i="1"/>
  <c r="Z1232" i="1"/>
  <c r="Z1231" i="1"/>
  <c r="Z1230" i="1"/>
  <c r="Y1183" i="1"/>
  <c r="Z1173" i="1"/>
  <c r="Z1172" i="1"/>
  <c r="Z1171" i="1"/>
  <c r="Z1163" i="1"/>
  <c r="Z1168" i="1"/>
  <c r="Z1157" i="1"/>
  <c r="Z1112" i="1"/>
  <c r="Z1110" i="1"/>
  <c r="Z1109" i="1"/>
  <c r="Y1107" i="1"/>
  <c r="Y1108" i="1"/>
  <c r="Y1106" i="1"/>
  <c r="Y1160" i="1"/>
  <c r="Z1101" i="1"/>
  <c r="Z1154" i="1"/>
  <c r="W1095" i="1"/>
  <c r="Y1095" i="1"/>
  <c r="Z1095" i="1"/>
  <c r="U1089" i="1"/>
  <c r="X1089" i="1"/>
  <c r="W1089" i="1"/>
  <c r="W1081" i="1"/>
  <c r="Y1096" i="1"/>
  <c r="Y1089" i="1"/>
  <c r="X1096" i="1"/>
  <c r="X1090" i="1"/>
  <c r="Z1097" i="1"/>
  <c r="W1096" i="1"/>
  <c r="W1090" i="1"/>
  <c r="X1095" i="1"/>
  <c r="Z1057" i="1"/>
  <c r="Y1059" i="1"/>
  <c r="Y1057" i="1"/>
  <c r="X1059" i="1"/>
  <c r="X1057" i="1"/>
  <c r="W1059" i="1"/>
  <c r="W1057" i="1"/>
  <c r="Z1053" i="1"/>
  <c r="Z1059" i="1"/>
  <c r="U1053" i="1"/>
  <c r="Z978" i="1"/>
  <c r="Z977" i="1"/>
  <c r="Z974" i="1"/>
  <c r="U938" i="1"/>
  <c r="Z921" i="1"/>
  <c r="Y918" i="1"/>
  <c r="Y919" i="1"/>
  <c r="X918" i="1"/>
  <c r="X919" i="1"/>
  <c r="Z917" i="1"/>
  <c r="Z916" i="1"/>
  <c r="Y808" i="1"/>
  <c r="Y694" i="1"/>
  <c r="Y687" i="1"/>
  <c r="Y689" i="1"/>
  <c r="Y688" i="1"/>
  <c r="Y676" i="1"/>
  <c r="X676" i="1"/>
  <c r="Z675" i="1"/>
  <c r="Z584" i="1"/>
  <c r="Z582" i="1"/>
  <c r="Y584" i="1"/>
  <c r="Y582" i="1"/>
  <c r="X584" i="1"/>
  <c r="X582" i="1"/>
  <c r="W584" i="1"/>
  <c r="W582" i="1"/>
  <c r="X557" i="1"/>
  <c r="Y557" i="1"/>
  <c r="T557" i="1"/>
  <c r="Z546" i="1"/>
  <c r="Z520" i="1"/>
  <c r="Z519" i="1"/>
  <c r="Z518" i="1"/>
  <c r="Z515" i="1"/>
  <c r="X441" i="1"/>
  <c r="Y398" i="1"/>
  <c r="Y391" i="1"/>
  <c r="Z391" i="1"/>
  <c r="Y313" i="1"/>
  <c r="Z313" i="1"/>
  <c r="Y204" i="1"/>
  <c r="Z204" i="1"/>
  <c r="V190" i="1"/>
  <c r="Y189" i="1"/>
  <c r="X179" i="1"/>
  <c r="Y813" i="1"/>
  <c r="Y816" i="1"/>
  <c r="Y815" i="1"/>
  <c r="Y814" i="1"/>
  <c r="Y447" i="1"/>
  <c r="U251" i="1"/>
  <c r="Z251" i="1"/>
  <c r="AE251" i="1"/>
  <c r="Z253" i="1"/>
  <c r="Z252" i="1"/>
  <c r="U253" i="1"/>
  <c r="U252" i="1"/>
  <c r="V251" i="1"/>
  <c r="S251" i="1"/>
  <c r="Y252" i="1"/>
  <c r="Y251" i="1"/>
  <c r="Z240" i="1"/>
  <c r="Z239" i="1"/>
  <c r="Z238" i="1"/>
  <c r="Y240" i="1"/>
  <c r="Y239" i="1"/>
  <c r="Y926" i="1"/>
  <c r="Y238" i="1"/>
  <c r="Y319" i="1"/>
  <c r="W238" i="1"/>
  <c r="AL229" i="1"/>
  <c r="AK229" i="1"/>
  <c r="AJ229" i="1"/>
  <c r="AI229" i="1"/>
  <c r="AH229" i="1"/>
  <c r="AG229" i="1"/>
  <c r="AF229" i="1"/>
  <c r="AE229" i="1"/>
  <c r="Y209" i="1"/>
  <c r="W209" i="1"/>
  <c r="V209" i="1"/>
  <c r="X209" i="1"/>
  <c r="X69" i="1"/>
  <c r="X47" i="1"/>
  <c r="U49" i="1"/>
  <c r="X1091" i="1"/>
  <c r="Y1091" i="1"/>
  <c r="Y1090" i="1"/>
  <c r="AA47" i="1"/>
  <c r="AE1178" i="1"/>
  <c r="X688" i="1"/>
  <c r="X687" i="1"/>
  <c r="AF130" i="1"/>
  <c r="AH162" i="1"/>
  <c r="T853" i="1"/>
  <c r="X1600" i="1"/>
  <c r="X1599" i="1"/>
  <c r="X1598" i="1"/>
  <c r="X1597" i="1"/>
  <c r="X1593" i="1"/>
  <c r="X1592" i="1"/>
  <c r="X1683" i="1"/>
  <c r="X1672" i="1"/>
  <c r="X1674" i="1"/>
  <c r="Z1657" i="1"/>
  <c r="Z1520" i="1"/>
  <c r="Z1518" i="1"/>
  <c r="Z1511" i="1"/>
  <c r="Z1509" i="1"/>
  <c r="Z1508" i="1"/>
  <c r="Z1499" i="1"/>
  <c r="Z1498" i="1"/>
  <c r="Z1496" i="1"/>
  <c r="Z1491" i="1"/>
  <c r="Z1490" i="1"/>
  <c r="X1521" i="1"/>
  <c r="X1484" i="1"/>
  <c r="Z1318" i="1"/>
  <c r="X1269" i="1"/>
  <c r="W1269" i="1"/>
  <c r="X1183" i="1"/>
  <c r="X1107" i="1"/>
  <c r="X1081" i="1"/>
  <c r="X967" i="1"/>
  <c r="X966" i="1"/>
  <c r="X968" i="1"/>
  <c r="X969" i="1"/>
  <c r="X970" i="1"/>
  <c r="S918" i="1"/>
  <c r="X814" i="1"/>
  <c r="X813" i="1"/>
  <c r="BK1924" i="1"/>
  <c r="AW1924" i="1"/>
  <c r="BK1923" i="1"/>
  <c r="AW1923" i="1"/>
  <c r="BK1922" i="1"/>
  <c r="AW1922" i="1"/>
  <c r="BK1921" i="1"/>
  <c r="AW1921" i="1"/>
  <c r="BK1920" i="1"/>
  <c r="AW1920" i="1"/>
  <c r="BK1919" i="1"/>
  <c r="AW1919" i="1"/>
  <c r="BK1918" i="1"/>
  <c r="AW1918" i="1"/>
  <c r="BK1917" i="1"/>
  <c r="AW1917" i="1"/>
  <c r="BK1916" i="1"/>
  <c r="AW1916" i="1"/>
  <c r="BK1915" i="1"/>
  <c r="AW1915" i="1"/>
  <c r="BK1914" i="1"/>
  <c r="AW1914" i="1"/>
  <c r="BK1913" i="1"/>
  <c r="AW1913" i="1"/>
  <c r="BK1912" i="1"/>
  <c r="AW1912" i="1"/>
  <c r="BS1911" i="1"/>
  <c r="BR1911" i="1"/>
  <c r="BQ1911" i="1"/>
  <c r="BP1911" i="1"/>
  <c r="BO1911" i="1"/>
  <c r="BN1911" i="1"/>
  <c r="BM1911" i="1"/>
  <c r="BL1911" i="1"/>
  <c r="AV1911" i="1"/>
  <c r="W1091" i="1"/>
  <c r="X971" i="1"/>
  <c r="AV1913" i="1"/>
  <c r="BK1901" i="1"/>
  <c r="AW1901" i="1"/>
  <c r="BK1900" i="1"/>
  <c r="AW1900" i="1"/>
  <c r="BK1899" i="1"/>
  <c r="AW1899" i="1"/>
  <c r="BK1898" i="1"/>
  <c r="AW1898" i="1"/>
  <c r="BK1897" i="1"/>
  <c r="AW1897" i="1"/>
  <c r="BK1896" i="1"/>
  <c r="AW1896" i="1"/>
  <c r="BK1895" i="1"/>
  <c r="AW1895" i="1"/>
  <c r="BK1894" i="1"/>
  <c r="AW1894" i="1"/>
  <c r="BK1893" i="1"/>
  <c r="AW1893" i="1"/>
  <c r="BK1892" i="1"/>
  <c r="AW1892" i="1"/>
  <c r="BK1891" i="1"/>
  <c r="AW1891" i="1"/>
  <c r="AV1891" i="1"/>
  <c r="BK1890" i="1"/>
  <c r="AW1890" i="1"/>
  <c r="AV1890" i="1"/>
  <c r="BK1889" i="1"/>
  <c r="AW1889" i="1"/>
  <c r="BS1888" i="1"/>
  <c r="BR1888" i="1"/>
  <c r="BQ1888" i="1"/>
  <c r="BP1888" i="1"/>
  <c r="BO1888" i="1"/>
  <c r="BN1888" i="1"/>
  <c r="BM1888" i="1"/>
  <c r="BL1888" i="1"/>
  <c r="BK1877" i="1"/>
  <c r="BK1876" i="1"/>
  <c r="BK1875" i="1"/>
  <c r="BK1874" i="1"/>
  <c r="BK1873" i="1"/>
  <c r="BK1872" i="1"/>
  <c r="BK1871" i="1"/>
  <c r="BK1870" i="1"/>
  <c r="BK1869" i="1"/>
  <c r="BK1868" i="1"/>
  <c r="BK1867" i="1"/>
  <c r="BK1866" i="1"/>
  <c r="BK1865" i="1"/>
  <c r="BS1864" i="1"/>
  <c r="BR1864" i="1"/>
  <c r="BQ1864" i="1"/>
  <c r="BP1864" i="1"/>
  <c r="BO1864" i="1"/>
  <c r="BN1864" i="1"/>
  <c r="BM1864" i="1"/>
  <c r="BL1864" i="1"/>
  <c r="BS1854" i="1"/>
  <c r="BS1877" i="1"/>
  <c r="BS1901" i="1"/>
  <c r="BR1854" i="1"/>
  <c r="BR1877" i="1"/>
  <c r="BR1901" i="1"/>
  <c r="BQ1854" i="1"/>
  <c r="BQ1877" i="1"/>
  <c r="BQ1901" i="1"/>
  <c r="BP1854" i="1"/>
  <c r="BP1877" i="1"/>
  <c r="BP1901" i="1"/>
  <c r="BO1854" i="1"/>
  <c r="BO1877" i="1"/>
  <c r="BO1901" i="1"/>
  <c r="BN1854" i="1"/>
  <c r="BN1877" i="1"/>
  <c r="BN1901" i="1"/>
  <c r="BM1854" i="1"/>
  <c r="BM1877" i="1"/>
  <c r="BM1901" i="1"/>
  <c r="BL1854" i="1"/>
  <c r="BL1877" i="1"/>
  <c r="BL1901" i="1"/>
  <c r="BK1854" i="1"/>
  <c r="BH1854" i="1"/>
  <c r="BH1877" i="1" s="1"/>
  <c r="BH1901" i="1" s="1"/>
  <c r="BH1924" i="1" s="1"/>
  <c r="BG1854" i="1"/>
  <c r="BG1877" i="1" s="1"/>
  <c r="BG1901" i="1" s="1"/>
  <c r="BG1924" i="1" s="1"/>
  <c r="BF1854" i="1"/>
  <c r="BF1877" i="1" s="1"/>
  <c r="BF1901" i="1" s="1"/>
  <c r="BF1924" i="1" s="1"/>
  <c r="BE1854" i="1"/>
  <c r="BE1877" i="1" s="1"/>
  <c r="BE1901" i="1" s="1"/>
  <c r="BE1924" i="1" s="1"/>
  <c r="BD1854" i="1"/>
  <c r="BD1877" i="1" s="1"/>
  <c r="BD1901" i="1" s="1"/>
  <c r="BD1924" i="1" s="1"/>
  <c r="BC1854" i="1"/>
  <c r="BC1877" i="1" s="1"/>
  <c r="BC1901" i="1" s="1"/>
  <c r="BC1924" i="1" s="1"/>
  <c r="BB1854" i="1"/>
  <c r="BB1877" i="1" s="1"/>
  <c r="BB1901" i="1" s="1"/>
  <c r="BB1924" i="1" s="1"/>
  <c r="BA1854" i="1"/>
  <c r="BA1877" i="1" s="1"/>
  <c r="BA1901" i="1" s="1"/>
  <c r="BA1924" i="1" s="1"/>
  <c r="BS1853" i="1"/>
  <c r="BS1876" i="1"/>
  <c r="BS1900" i="1"/>
  <c r="BR1853" i="1"/>
  <c r="BR1876" i="1"/>
  <c r="BR1900" i="1"/>
  <c r="BQ1853" i="1"/>
  <c r="BQ1876" i="1"/>
  <c r="BQ1900" i="1"/>
  <c r="BP1853" i="1"/>
  <c r="BP1876" i="1"/>
  <c r="BP1900" i="1"/>
  <c r="BO1853" i="1"/>
  <c r="BO1876" i="1"/>
  <c r="BO1900" i="1"/>
  <c r="BN1853" i="1"/>
  <c r="BN1876" i="1"/>
  <c r="BN1900" i="1"/>
  <c r="BM1853" i="1"/>
  <c r="BM1876" i="1"/>
  <c r="BM1900" i="1"/>
  <c r="BL1853" i="1"/>
  <c r="BL1876" i="1"/>
  <c r="BL1900" i="1"/>
  <c r="BK1853" i="1"/>
  <c r="BH1853" i="1"/>
  <c r="BH1876" i="1" s="1"/>
  <c r="BH1900" i="1" s="1"/>
  <c r="BH1923" i="1" s="1"/>
  <c r="BG1853" i="1"/>
  <c r="BG1876" i="1" s="1"/>
  <c r="BG1900" i="1" s="1"/>
  <c r="BG1923" i="1" s="1"/>
  <c r="BF1853" i="1"/>
  <c r="BF1876" i="1" s="1"/>
  <c r="BF1900" i="1" s="1"/>
  <c r="BF1923" i="1" s="1"/>
  <c r="BE1853" i="1"/>
  <c r="BE1876" i="1" s="1"/>
  <c r="BE1900" i="1" s="1"/>
  <c r="BE1923" i="1" s="1"/>
  <c r="BD1853" i="1"/>
  <c r="BD1876" i="1" s="1"/>
  <c r="BD1900" i="1" s="1"/>
  <c r="BD1923" i="1" s="1"/>
  <c r="BC1853" i="1"/>
  <c r="BC1876" i="1" s="1"/>
  <c r="BC1900" i="1" s="1"/>
  <c r="BC1923" i="1" s="1"/>
  <c r="BB1853" i="1"/>
  <c r="BB1876" i="1" s="1"/>
  <c r="BB1900" i="1" s="1"/>
  <c r="BB1923" i="1" s="1"/>
  <c r="BA1853" i="1"/>
  <c r="BA1876" i="1" s="1"/>
  <c r="BA1900" i="1" s="1"/>
  <c r="BA1923" i="1" s="1"/>
  <c r="BS1852" i="1"/>
  <c r="BS1875" i="1"/>
  <c r="BS1899" i="1"/>
  <c r="BR1852" i="1"/>
  <c r="BR1875" i="1"/>
  <c r="BR1899" i="1"/>
  <c r="BQ1852" i="1"/>
  <c r="BQ1875" i="1"/>
  <c r="BQ1899" i="1"/>
  <c r="BP1852" i="1"/>
  <c r="BP1875" i="1"/>
  <c r="BP1899" i="1"/>
  <c r="BO1852" i="1"/>
  <c r="BO1875" i="1"/>
  <c r="BO1899" i="1"/>
  <c r="BN1852" i="1"/>
  <c r="BN1875" i="1"/>
  <c r="BN1899" i="1"/>
  <c r="BM1852" i="1"/>
  <c r="BM1875" i="1"/>
  <c r="BM1899" i="1"/>
  <c r="BL1852" i="1"/>
  <c r="BL1875" i="1"/>
  <c r="BL1899" i="1"/>
  <c r="BK1852" i="1"/>
  <c r="BH1852" i="1"/>
  <c r="BH1875" i="1" s="1"/>
  <c r="BH1899" i="1" s="1"/>
  <c r="BH1922" i="1" s="1"/>
  <c r="BG1852" i="1"/>
  <c r="BG1875" i="1" s="1"/>
  <c r="BG1899" i="1" s="1"/>
  <c r="BG1922" i="1" s="1"/>
  <c r="BF1852" i="1"/>
  <c r="BF1875" i="1" s="1"/>
  <c r="BF1899" i="1" s="1"/>
  <c r="BF1922" i="1" s="1"/>
  <c r="BE1852" i="1"/>
  <c r="BE1875" i="1" s="1"/>
  <c r="BE1899" i="1" s="1"/>
  <c r="BE1922" i="1" s="1"/>
  <c r="BD1852" i="1"/>
  <c r="BD1875" i="1" s="1"/>
  <c r="BD1899" i="1" s="1"/>
  <c r="BD1922" i="1" s="1"/>
  <c r="BC1852" i="1"/>
  <c r="BC1875" i="1" s="1"/>
  <c r="BC1899" i="1" s="1"/>
  <c r="BC1922" i="1" s="1"/>
  <c r="BB1852" i="1"/>
  <c r="BB1875" i="1" s="1"/>
  <c r="BB1899" i="1" s="1"/>
  <c r="BB1922" i="1" s="1"/>
  <c r="BA1852" i="1"/>
  <c r="BA1875" i="1" s="1"/>
  <c r="BA1899" i="1" s="1"/>
  <c r="BA1922" i="1" s="1"/>
  <c r="BS1851" i="1"/>
  <c r="BS1874" i="1"/>
  <c r="BS1898" i="1"/>
  <c r="BR1851" i="1"/>
  <c r="BR1874" i="1"/>
  <c r="BR1898" i="1"/>
  <c r="BQ1851" i="1"/>
  <c r="BQ1874" i="1"/>
  <c r="BQ1898" i="1"/>
  <c r="BP1851" i="1"/>
  <c r="BP1874" i="1"/>
  <c r="BP1898" i="1"/>
  <c r="BO1851" i="1"/>
  <c r="BO1874" i="1"/>
  <c r="BO1898" i="1"/>
  <c r="BN1851" i="1"/>
  <c r="BN1874" i="1"/>
  <c r="BN1898" i="1"/>
  <c r="BM1851" i="1"/>
  <c r="BM1874" i="1"/>
  <c r="BM1898" i="1"/>
  <c r="BL1851" i="1"/>
  <c r="BL1874" i="1"/>
  <c r="BL1898" i="1"/>
  <c r="BK1851" i="1"/>
  <c r="BH1851" i="1"/>
  <c r="BH1874" i="1" s="1"/>
  <c r="BH1898" i="1" s="1"/>
  <c r="BH1921" i="1" s="1"/>
  <c r="BG1851" i="1"/>
  <c r="BG1874" i="1" s="1"/>
  <c r="BG1898" i="1" s="1"/>
  <c r="BG1921" i="1" s="1"/>
  <c r="BF1851" i="1"/>
  <c r="BF1874" i="1" s="1"/>
  <c r="BF1898" i="1" s="1"/>
  <c r="BF1921" i="1" s="1"/>
  <c r="BE1851" i="1"/>
  <c r="BE1874" i="1" s="1"/>
  <c r="BE1898" i="1" s="1"/>
  <c r="BE1921" i="1" s="1"/>
  <c r="BD1851" i="1"/>
  <c r="BD1874" i="1" s="1"/>
  <c r="BD1898" i="1" s="1"/>
  <c r="BD1921" i="1" s="1"/>
  <c r="BC1851" i="1"/>
  <c r="BC1874" i="1" s="1"/>
  <c r="BC1898" i="1" s="1"/>
  <c r="BC1921" i="1" s="1"/>
  <c r="BB1851" i="1"/>
  <c r="BB1874" i="1" s="1"/>
  <c r="BB1898" i="1" s="1"/>
  <c r="BB1921" i="1" s="1"/>
  <c r="BA1851" i="1"/>
  <c r="BA1874" i="1" s="1"/>
  <c r="BA1898" i="1" s="1"/>
  <c r="BA1921" i="1" s="1"/>
  <c r="BS1850" i="1"/>
  <c r="BS1873" i="1"/>
  <c r="BS1897" i="1"/>
  <c r="BR1850" i="1"/>
  <c r="BR1873" i="1"/>
  <c r="BR1897" i="1"/>
  <c r="BQ1850" i="1"/>
  <c r="BQ1873" i="1"/>
  <c r="BQ1897" i="1"/>
  <c r="BP1850" i="1"/>
  <c r="BP1873" i="1"/>
  <c r="BP1897" i="1"/>
  <c r="BO1850" i="1"/>
  <c r="BO1873" i="1"/>
  <c r="BO1897" i="1"/>
  <c r="BN1850" i="1"/>
  <c r="BN1873" i="1"/>
  <c r="BN1897" i="1"/>
  <c r="BM1850" i="1"/>
  <c r="BM1873" i="1"/>
  <c r="BM1897" i="1"/>
  <c r="BL1850" i="1"/>
  <c r="BL1873" i="1"/>
  <c r="BL1897" i="1"/>
  <c r="BK1850" i="1"/>
  <c r="BH1850" i="1"/>
  <c r="BH1873" i="1" s="1"/>
  <c r="BH1897" i="1" s="1"/>
  <c r="BH1920" i="1" s="1"/>
  <c r="BG1850" i="1"/>
  <c r="BG1873" i="1" s="1"/>
  <c r="BG1897" i="1" s="1"/>
  <c r="BG1920" i="1" s="1"/>
  <c r="BF1850" i="1"/>
  <c r="BF1873" i="1" s="1"/>
  <c r="BF1897" i="1" s="1"/>
  <c r="BF1920" i="1" s="1"/>
  <c r="BE1850" i="1"/>
  <c r="BE1873" i="1" s="1"/>
  <c r="BE1897" i="1" s="1"/>
  <c r="BE1920" i="1" s="1"/>
  <c r="BD1850" i="1"/>
  <c r="BD1873" i="1" s="1"/>
  <c r="BD1897" i="1" s="1"/>
  <c r="BD1920" i="1" s="1"/>
  <c r="BC1850" i="1"/>
  <c r="BC1873" i="1" s="1"/>
  <c r="BC1897" i="1" s="1"/>
  <c r="BC1920" i="1" s="1"/>
  <c r="BB1850" i="1"/>
  <c r="BB1873" i="1" s="1"/>
  <c r="BB1897" i="1" s="1"/>
  <c r="BB1920" i="1" s="1"/>
  <c r="BA1850" i="1"/>
  <c r="BA1873" i="1" s="1"/>
  <c r="BA1897" i="1" s="1"/>
  <c r="BA1920" i="1" s="1"/>
  <c r="BS1849" i="1"/>
  <c r="BS1872" i="1"/>
  <c r="BS1896" i="1"/>
  <c r="BR1849" i="1"/>
  <c r="BR1872" i="1"/>
  <c r="BR1896" i="1"/>
  <c r="BQ1849" i="1"/>
  <c r="BQ1872" i="1"/>
  <c r="BQ1896" i="1"/>
  <c r="BP1849" i="1"/>
  <c r="BP1872" i="1"/>
  <c r="BP1896" i="1"/>
  <c r="BO1849" i="1"/>
  <c r="BO1872" i="1"/>
  <c r="BO1896" i="1"/>
  <c r="BN1849" i="1"/>
  <c r="BN1872" i="1"/>
  <c r="BN1896" i="1"/>
  <c r="BM1849" i="1"/>
  <c r="BM1872" i="1"/>
  <c r="BM1896" i="1"/>
  <c r="BL1849" i="1"/>
  <c r="BL1872" i="1"/>
  <c r="BL1896" i="1"/>
  <c r="BK1849" i="1"/>
  <c r="BH1849" i="1"/>
  <c r="BH1872" i="1" s="1"/>
  <c r="BH1896" i="1" s="1"/>
  <c r="BH1919" i="1" s="1"/>
  <c r="BG1849" i="1"/>
  <c r="BG1872" i="1" s="1"/>
  <c r="BG1896" i="1" s="1"/>
  <c r="BG1919" i="1" s="1"/>
  <c r="BF1849" i="1"/>
  <c r="BF1872" i="1" s="1"/>
  <c r="BF1896" i="1" s="1"/>
  <c r="BF1919" i="1" s="1"/>
  <c r="BE1849" i="1"/>
  <c r="BE1872" i="1" s="1"/>
  <c r="BE1896" i="1" s="1"/>
  <c r="BE1919" i="1" s="1"/>
  <c r="BD1849" i="1"/>
  <c r="BD1872" i="1" s="1"/>
  <c r="BD1896" i="1" s="1"/>
  <c r="BD1919" i="1" s="1"/>
  <c r="BC1849" i="1"/>
  <c r="BC1872" i="1" s="1"/>
  <c r="BC1896" i="1" s="1"/>
  <c r="BC1919" i="1" s="1"/>
  <c r="BB1849" i="1"/>
  <c r="BB1872" i="1" s="1"/>
  <c r="BB1896" i="1" s="1"/>
  <c r="BB1919" i="1" s="1"/>
  <c r="BA1849" i="1"/>
  <c r="BA1872" i="1" s="1"/>
  <c r="BA1896" i="1" s="1"/>
  <c r="BA1919" i="1" s="1"/>
  <c r="BS1848" i="1"/>
  <c r="BS1871" i="1"/>
  <c r="BS1895" i="1"/>
  <c r="BR1848" i="1"/>
  <c r="BR1871" i="1"/>
  <c r="BR1895" i="1"/>
  <c r="BQ1848" i="1"/>
  <c r="BQ1871" i="1"/>
  <c r="BQ1895" i="1"/>
  <c r="BP1848" i="1"/>
  <c r="BP1871" i="1"/>
  <c r="BP1895" i="1"/>
  <c r="BO1848" i="1"/>
  <c r="BO1871" i="1"/>
  <c r="BO1895" i="1"/>
  <c r="BN1848" i="1"/>
  <c r="BN1871" i="1"/>
  <c r="BN1895" i="1"/>
  <c r="BM1848" i="1"/>
  <c r="BM1871" i="1"/>
  <c r="BM1895" i="1"/>
  <c r="BL1848" i="1"/>
  <c r="BL1871" i="1"/>
  <c r="BL1895" i="1"/>
  <c r="BK1848" i="1"/>
  <c r="BH1848" i="1"/>
  <c r="BH1871" i="1" s="1"/>
  <c r="BH1895" i="1" s="1"/>
  <c r="BH1918" i="1" s="1"/>
  <c r="BG1848" i="1"/>
  <c r="BG1871" i="1" s="1"/>
  <c r="BG1895" i="1" s="1"/>
  <c r="BG1918" i="1" s="1"/>
  <c r="BF1848" i="1"/>
  <c r="BF1871" i="1" s="1"/>
  <c r="BF1895" i="1" s="1"/>
  <c r="BF1918" i="1" s="1"/>
  <c r="BE1848" i="1"/>
  <c r="BE1871" i="1" s="1"/>
  <c r="BE1895" i="1" s="1"/>
  <c r="BE1918" i="1" s="1"/>
  <c r="BD1848" i="1"/>
  <c r="BD1871" i="1" s="1"/>
  <c r="BD1895" i="1" s="1"/>
  <c r="BD1918" i="1" s="1"/>
  <c r="BC1848" i="1"/>
  <c r="BC1871" i="1" s="1"/>
  <c r="BC1895" i="1" s="1"/>
  <c r="BC1918" i="1" s="1"/>
  <c r="BB1848" i="1"/>
  <c r="BB1871" i="1" s="1"/>
  <c r="BB1895" i="1" s="1"/>
  <c r="BB1918" i="1" s="1"/>
  <c r="BA1848" i="1"/>
  <c r="BA1871" i="1" s="1"/>
  <c r="BA1895" i="1" s="1"/>
  <c r="BA1918" i="1" s="1"/>
  <c r="BS1847" i="1"/>
  <c r="BS1870" i="1"/>
  <c r="BS1894" i="1"/>
  <c r="BR1847" i="1"/>
  <c r="BR1870" i="1"/>
  <c r="BR1894" i="1"/>
  <c r="BQ1847" i="1"/>
  <c r="BQ1870" i="1"/>
  <c r="BQ1894" i="1"/>
  <c r="BP1847" i="1"/>
  <c r="BP1870" i="1"/>
  <c r="BP1894" i="1"/>
  <c r="BO1847" i="1"/>
  <c r="BO1870" i="1"/>
  <c r="BO1894" i="1"/>
  <c r="BN1847" i="1"/>
  <c r="BN1870" i="1"/>
  <c r="BN1894" i="1"/>
  <c r="BM1847" i="1"/>
  <c r="BM1870" i="1"/>
  <c r="BM1894" i="1"/>
  <c r="BL1847" i="1"/>
  <c r="BL1870" i="1"/>
  <c r="BL1894" i="1"/>
  <c r="BK1847" i="1"/>
  <c r="BH1847" i="1"/>
  <c r="BH1870" i="1" s="1"/>
  <c r="BH1894" i="1" s="1"/>
  <c r="BH1917" i="1" s="1"/>
  <c r="BG1847" i="1"/>
  <c r="BG1870" i="1" s="1"/>
  <c r="BG1894" i="1" s="1"/>
  <c r="BG1917" i="1" s="1"/>
  <c r="BF1847" i="1"/>
  <c r="BF1870" i="1" s="1"/>
  <c r="BF1894" i="1" s="1"/>
  <c r="BF1917" i="1" s="1"/>
  <c r="BE1847" i="1"/>
  <c r="BE1870" i="1" s="1"/>
  <c r="BE1894" i="1" s="1"/>
  <c r="BE1917" i="1" s="1"/>
  <c r="BD1847" i="1"/>
  <c r="BD1870" i="1" s="1"/>
  <c r="BD1894" i="1" s="1"/>
  <c r="BD1917" i="1" s="1"/>
  <c r="BC1847" i="1"/>
  <c r="BC1870" i="1" s="1"/>
  <c r="BC1894" i="1" s="1"/>
  <c r="BC1917" i="1" s="1"/>
  <c r="BB1847" i="1"/>
  <c r="BB1870" i="1" s="1"/>
  <c r="BB1894" i="1" s="1"/>
  <c r="BB1917" i="1" s="1"/>
  <c r="BA1847" i="1"/>
  <c r="BA1870" i="1" s="1"/>
  <c r="BA1894" i="1" s="1"/>
  <c r="BA1917" i="1" s="1"/>
  <c r="BS1846" i="1"/>
  <c r="BS1869" i="1"/>
  <c r="BS1893" i="1"/>
  <c r="BR1846" i="1"/>
  <c r="BR1869" i="1"/>
  <c r="BR1893" i="1"/>
  <c r="BQ1846" i="1"/>
  <c r="BQ1869" i="1"/>
  <c r="BQ1893" i="1"/>
  <c r="BP1846" i="1"/>
  <c r="BP1869" i="1"/>
  <c r="BP1893" i="1"/>
  <c r="BO1846" i="1"/>
  <c r="BO1869" i="1"/>
  <c r="BO1893" i="1"/>
  <c r="BN1846" i="1"/>
  <c r="BN1869" i="1"/>
  <c r="BN1893" i="1"/>
  <c r="BM1846" i="1"/>
  <c r="BM1869" i="1"/>
  <c r="BM1893" i="1"/>
  <c r="BL1846" i="1"/>
  <c r="BL1869" i="1"/>
  <c r="BL1893" i="1"/>
  <c r="BK1846" i="1"/>
  <c r="BH1846" i="1"/>
  <c r="BH1869" i="1" s="1"/>
  <c r="BH1893" i="1" s="1"/>
  <c r="BH1916" i="1" s="1"/>
  <c r="BG1846" i="1"/>
  <c r="BG1869" i="1" s="1"/>
  <c r="BG1893" i="1" s="1"/>
  <c r="BG1916" i="1" s="1"/>
  <c r="BF1846" i="1"/>
  <c r="BF1869" i="1" s="1"/>
  <c r="BF1893" i="1" s="1"/>
  <c r="BF1916" i="1" s="1"/>
  <c r="BE1846" i="1"/>
  <c r="BE1869" i="1" s="1"/>
  <c r="BE1893" i="1" s="1"/>
  <c r="BE1916" i="1" s="1"/>
  <c r="BD1846" i="1"/>
  <c r="BD1869" i="1" s="1"/>
  <c r="BD1893" i="1" s="1"/>
  <c r="BD1916" i="1" s="1"/>
  <c r="BC1846" i="1"/>
  <c r="BC1869" i="1" s="1"/>
  <c r="BC1893" i="1" s="1"/>
  <c r="BC1916" i="1" s="1"/>
  <c r="BB1846" i="1"/>
  <c r="BB1869" i="1" s="1"/>
  <c r="BB1893" i="1" s="1"/>
  <c r="BB1916" i="1" s="1"/>
  <c r="BA1846" i="1"/>
  <c r="BA1869" i="1" s="1"/>
  <c r="BA1893" i="1" s="1"/>
  <c r="BA1916" i="1" s="1"/>
  <c r="BS1845" i="1"/>
  <c r="BS1868" i="1"/>
  <c r="BS1892" i="1"/>
  <c r="BR1845" i="1"/>
  <c r="BR1868" i="1"/>
  <c r="BR1892" i="1"/>
  <c r="BQ1845" i="1"/>
  <c r="BQ1868" i="1"/>
  <c r="BQ1892" i="1"/>
  <c r="BP1845" i="1"/>
  <c r="BP1868" i="1"/>
  <c r="BP1892" i="1"/>
  <c r="BO1845" i="1"/>
  <c r="BO1868" i="1"/>
  <c r="BO1892" i="1"/>
  <c r="BN1845" i="1"/>
  <c r="BN1868" i="1"/>
  <c r="BN1892" i="1"/>
  <c r="BM1845" i="1"/>
  <c r="BM1868" i="1"/>
  <c r="BM1892" i="1"/>
  <c r="BL1845" i="1"/>
  <c r="BL1868" i="1"/>
  <c r="BL1892" i="1"/>
  <c r="BK1845" i="1"/>
  <c r="BH1845" i="1"/>
  <c r="BH1868" i="1" s="1"/>
  <c r="BH1892" i="1" s="1"/>
  <c r="BH1915" i="1" s="1"/>
  <c r="BG1845" i="1"/>
  <c r="BG1868" i="1" s="1"/>
  <c r="BG1892" i="1" s="1"/>
  <c r="BG1915" i="1" s="1"/>
  <c r="BF1845" i="1"/>
  <c r="BF1868" i="1" s="1"/>
  <c r="BF1892" i="1" s="1"/>
  <c r="BF1915" i="1" s="1"/>
  <c r="BE1845" i="1"/>
  <c r="BE1868" i="1" s="1"/>
  <c r="BE1892" i="1" s="1"/>
  <c r="BE1915" i="1" s="1"/>
  <c r="BD1845" i="1"/>
  <c r="BD1868" i="1" s="1"/>
  <c r="BD1892" i="1" s="1"/>
  <c r="BD1915" i="1" s="1"/>
  <c r="BC1845" i="1"/>
  <c r="BC1868" i="1" s="1"/>
  <c r="BC1892" i="1" s="1"/>
  <c r="BC1915" i="1" s="1"/>
  <c r="BB1845" i="1"/>
  <c r="BB1868" i="1" s="1"/>
  <c r="BB1892" i="1" s="1"/>
  <c r="BB1915" i="1" s="1"/>
  <c r="BA1845" i="1"/>
  <c r="BA1868" i="1" s="1"/>
  <c r="BA1892" i="1" s="1"/>
  <c r="BA1915" i="1" s="1"/>
  <c r="BS1844" i="1"/>
  <c r="BS1867" i="1"/>
  <c r="BS1891" i="1"/>
  <c r="BR1844" i="1"/>
  <c r="BR1867" i="1"/>
  <c r="BR1891" i="1"/>
  <c r="BQ1844" i="1"/>
  <c r="BQ1867" i="1"/>
  <c r="BQ1891" i="1"/>
  <c r="BP1844" i="1"/>
  <c r="BP1867" i="1"/>
  <c r="BP1891" i="1"/>
  <c r="BO1844" i="1"/>
  <c r="BO1867" i="1"/>
  <c r="BO1891" i="1"/>
  <c r="BN1844" i="1"/>
  <c r="BN1867" i="1"/>
  <c r="BN1891" i="1"/>
  <c r="BM1844" i="1"/>
  <c r="BM1867" i="1"/>
  <c r="BM1891" i="1"/>
  <c r="BL1844" i="1"/>
  <c r="BL1867" i="1"/>
  <c r="BL1891" i="1"/>
  <c r="BK1844" i="1"/>
  <c r="BH1844" i="1"/>
  <c r="BH1867" i="1" s="1"/>
  <c r="BH1891" i="1" s="1"/>
  <c r="BH1914" i="1" s="1"/>
  <c r="BG1844" i="1"/>
  <c r="BG1867" i="1" s="1"/>
  <c r="BG1891" i="1" s="1"/>
  <c r="BG1914" i="1" s="1"/>
  <c r="BF1844" i="1"/>
  <c r="BF1867" i="1" s="1"/>
  <c r="BF1891" i="1" s="1"/>
  <c r="BF1914" i="1" s="1"/>
  <c r="BE1844" i="1"/>
  <c r="BE1867" i="1" s="1"/>
  <c r="BE1891" i="1" s="1"/>
  <c r="BE1914" i="1" s="1"/>
  <c r="BD1844" i="1"/>
  <c r="BD1867" i="1" s="1"/>
  <c r="BD1891" i="1" s="1"/>
  <c r="BD1914" i="1" s="1"/>
  <c r="BC1844" i="1"/>
  <c r="BC1867" i="1" s="1"/>
  <c r="BC1891" i="1" s="1"/>
  <c r="BC1914" i="1" s="1"/>
  <c r="BB1844" i="1"/>
  <c r="BB1867" i="1" s="1"/>
  <c r="BB1891" i="1" s="1"/>
  <c r="BB1914" i="1" s="1"/>
  <c r="BA1844" i="1"/>
  <c r="BA1867" i="1" s="1"/>
  <c r="BA1891" i="1" s="1"/>
  <c r="BA1914" i="1" s="1"/>
  <c r="BS1843" i="1"/>
  <c r="BS1866" i="1"/>
  <c r="BS1890" i="1"/>
  <c r="BR1843" i="1"/>
  <c r="BR1866" i="1"/>
  <c r="BR1890" i="1"/>
  <c r="BQ1843" i="1"/>
  <c r="BQ1866" i="1"/>
  <c r="BQ1890" i="1"/>
  <c r="BP1843" i="1"/>
  <c r="BP1866" i="1"/>
  <c r="BP1890" i="1"/>
  <c r="BO1843" i="1"/>
  <c r="BO1866" i="1"/>
  <c r="BO1890" i="1"/>
  <c r="BN1843" i="1"/>
  <c r="BN1866" i="1"/>
  <c r="BN1890" i="1"/>
  <c r="BM1843" i="1"/>
  <c r="BM1866" i="1"/>
  <c r="BM1890" i="1"/>
  <c r="BL1843" i="1"/>
  <c r="BL1866" i="1"/>
  <c r="BL1890" i="1"/>
  <c r="BK1843" i="1"/>
  <c r="BH1843" i="1"/>
  <c r="BH1866" i="1" s="1"/>
  <c r="BH1890" i="1" s="1"/>
  <c r="BH1913" i="1" s="1"/>
  <c r="BG1843" i="1"/>
  <c r="BG1866" i="1" s="1"/>
  <c r="BG1890" i="1" s="1"/>
  <c r="BG1913" i="1" s="1"/>
  <c r="BF1843" i="1"/>
  <c r="BF1866" i="1" s="1"/>
  <c r="BF1890" i="1" s="1"/>
  <c r="BF1913" i="1" s="1"/>
  <c r="BE1843" i="1"/>
  <c r="BE1866" i="1" s="1"/>
  <c r="BE1890" i="1" s="1"/>
  <c r="BE1913" i="1" s="1"/>
  <c r="BD1843" i="1"/>
  <c r="BD1866" i="1" s="1"/>
  <c r="BD1890" i="1" s="1"/>
  <c r="BD1913" i="1" s="1"/>
  <c r="BC1843" i="1"/>
  <c r="BC1866" i="1" s="1"/>
  <c r="BC1890" i="1" s="1"/>
  <c r="BC1913" i="1" s="1"/>
  <c r="BB1843" i="1"/>
  <c r="BB1866" i="1" s="1"/>
  <c r="BB1890" i="1" s="1"/>
  <c r="BB1913" i="1" s="1"/>
  <c r="BA1843" i="1"/>
  <c r="BA1866" i="1" s="1"/>
  <c r="BA1890" i="1" s="1"/>
  <c r="BA1913" i="1" s="1"/>
  <c r="BS1842" i="1"/>
  <c r="BS1865" i="1"/>
  <c r="BS1889" i="1"/>
  <c r="BR1842" i="1"/>
  <c r="BR1865" i="1"/>
  <c r="BR1889" i="1"/>
  <c r="BQ1842" i="1"/>
  <c r="BQ1865" i="1"/>
  <c r="BQ1889" i="1"/>
  <c r="BP1842" i="1"/>
  <c r="BP1865" i="1"/>
  <c r="BP1889" i="1"/>
  <c r="BO1842" i="1"/>
  <c r="BO1865" i="1"/>
  <c r="BO1889" i="1"/>
  <c r="BN1842" i="1"/>
  <c r="BN1865" i="1"/>
  <c r="BN1889" i="1"/>
  <c r="BM1842" i="1"/>
  <c r="BM1865" i="1"/>
  <c r="BM1889" i="1"/>
  <c r="BL1842" i="1"/>
  <c r="BL1865" i="1"/>
  <c r="BL1889" i="1"/>
  <c r="BK1842" i="1"/>
  <c r="BH1842" i="1"/>
  <c r="BH1865" i="1" s="1"/>
  <c r="BH1889" i="1" s="1"/>
  <c r="BH1912" i="1" s="1"/>
  <c r="BG1842" i="1"/>
  <c r="BG1865" i="1" s="1"/>
  <c r="BG1889" i="1" s="1"/>
  <c r="BG1912" i="1" s="1"/>
  <c r="BF1842" i="1"/>
  <c r="BF1865" i="1" s="1"/>
  <c r="BF1889" i="1" s="1"/>
  <c r="BF1912" i="1" s="1"/>
  <c r="BE1842" i="1"/>
  <c r="BE1865" i="1" s="1"/>
  <c r="BE1889" i="1" s="1"/>
  <c r="BE1912" i="1" s="1"/>
  <c r="BD1842" i="1"/>
  <c r="BD1865" i="1" s="1"/>
  <c r="BD1889" i="1" s="1"/>
  <c r="BD1912" i="1" s="1"/>
  <c r="BC1842" i="1"/>
  <c r="BC1865" i="1" s="1"/>
  <c r="BC1889" i="1" s="1"/>
  <c r="BC1912" i="1" s="1"/>
  <c r="BB1842" i="1"/>
  <c r="BB1865" i="1" s="1"/>
  <c r="BB1889" i="1" s="1"/>
  <c r="BB1912" i="1" s="1"/>
  <c r="BA1842" i="1"/>
  <c r="BA1865" i="1" s="1"/>
  <c r="BA1889" i="1" s="1"/>
  <c r="BA1912" i="1" s="1"/>
  <c r="BS1841" i="1"/>
  <c r="BR1841" i="1"/>
  <c r="BQ1841" i="1"/>
  <c r="BP1841" i="1"/>
  <c r="BO1841" i="1"/>
  <c r="BN1841" i="1"/>
  <c r="BM1841" i="1"/>
  <c r="BL1841" i="1"/>
  <c r="BK1832" i="1"/>
  <c r="BK1831" i="1"/>
  <c r="BK1830" i="1"/>
  <c r="BK1829" i="1"/>
  <c r="BK1828" i="1"/>
  <c r="BK1827" i="1"/>
  <c r="BK1826" i="1"/>
  <c r="BK1825" i="1"/>
  <c r="BK1824" i="1"/>
  <c r="BK1823" i="1"/>
  <c r="BK1822" i="1"/>
  <c r="BK1821" i="1"/>
  <c r="BK1820" i="1"/>
  <c r="BS1819" i="1"/>
  <c r="BR1819" i="1"/>
  <c r="BQ1819" i="1"/>
  <c r="BP1819" i="1"/>
  <c r="BO1819" i="1"/>
  <c r="BN1819" i="1"/>
  <c r="BM1819" i="1"/>
  <c r="BL1819" i="1"/>
  <c r="BK1795" i="1"/>
  <c r="BK1794" i="1"/>
  <c r="BK1793" i="1"/>
  <c r="BK1792" i="1"/>
  <c r="BK1791" i="1"/>
  <c r="BK1790" i="1"/>
  <c r="BK1789" i="1"/>
  <c r="BK1788" i="1"/>
  <c r="BK1787" i="1"/>
  <c r="BK1786" i="1"/>
  <c r="BK1785" i="1"/>
  <c r="BK1784" i="1"/>
  <c r="BK1783" i="1"/>
  <c r="BS1782" i="1"/>
  <c r="BR1782" i="1"/>
  <c r="BQ1782" i="1"/>
  <c r="BP1782" i="1"/>
  <c r="BO1782" i="1"/>
  <c r="BN1782" i="1"/>
  <c r="BM1782" i="1"/>
  <c r="BL1782" i="1"/>
  <c r="BK1743" i="1"/>
  <c r="BK1742" i="1"/>
  <c r="BK1741" i="1"/>
  <c r="BK1740" i="1"/>
  <c r="BK1739" i="1"/>
  <c r="BK1738" i="1"/>
  <c r="BK1737" i="1"/>
  <c r="BK1736" i="1"/>
  <c r="BK1735" i="1"/>
  <c r="BK1734" i="1"/>
  <c r="BK1733" i="1"/>
  <c r="AR1733" i="1"/>
  <c r="BR1912" i="1"/>
  <c r="BQ1913" i="1"/>
  <c r="BP1914" i="1"/>
  <c r="BN1916" i="1"/>
  <c r="BM1917" i="1"/>
  <c r="BL1918" i="1"/>
  <c r="BR1920" i="1"/>
  <c r="AE23" i="1"/>
  <c r="BP1922" i="1"/>
  <c r="BM1912" i="1"/>
  <c r="BQ1924" i="1"/>
  <c r="BS1921" i="1"/>
  <c r="BQ1921" i="1"/>
  <c r="BN1924" i="1"/>
  <c r="BQ1915" i="1"/>
  <c r="BR1921" i="1"/>
  <c r="BL1919" i="1"/>
  <c r="BO1923" i="1"/>
  <c r="BS1912" i="1"/>
  <c r="BQ1914" i="1"/>
  <c r="BS1915" i="1"/>
  <c r="BO1917" i="1"/>
  <c r="BR1914" i="1"/>
  <c r="BP1917" i="1"/>
  <c r="BN1920" i="1"/>
  <c r="BL1922" i="1"/>
  <c r="BR1923" i="1"/>
  <c r="BL1913" i="1"/>
  <c r="BS1914" i="1"/>
  <c r="BP1912" i="1"/>
  <c r="BO1913" i="1"/>
  <c r="BL1916" i="1"/>
  <c r="BS1917" i="1"/>
  <c r="BR1918" i="1"/>
  <c r="BQ1919" i="1"/>
  <c r="BP1920" i="1"/>
  <c r="BO1921" i="1"/>
  <c r="BN1922" i="1"/>
  <c r="BM1923" i="1"/>
  <c r="BL1924" i="1"/>
  <c r="BO1915" i="1"/>
  <c r="BQ1916" i="1"/>
  <c r="BM1918" i="1"/>
  <c r="BO1916" i="1"/>
  <c r="BQ1922" i="1"/>
  <c r="BS1923" i="1"/>
  <c r="BL1912" i="1"/>
  <c r="BN1918" i="1"/>
  <c r="BN1913" i="1"/>
  <c r="BM1914" i="1"/>
  <c r="BR1917" i="1"/>
  <c r="BQ1918" i="1"/>
  <c r="BP1919" i="1"/>
  <c r="BO1920" i="1"/>
  <c r="BN1921" i="1"/>
  <c r="BM1922" i="1"/>
  <c r="BL1923" i="1"/>
  <c r="BS1924" i="1"/>
  <c r="BM1913" i="1"/>
  <c r="BP1916" i="1"/>
  <c r="BN1919" i="1"/>
  <c r="BR1922" i="1"/>
  <c r="BO1912" i="1"/>
  <c r="BN1914" i="1"/>
  <c r="BR1916" i="1"/>
  <c r="BO1918" i="1"/>
  <c r="BS1920" i="1"/>
  <c r="BL1921" i="1"/>
  <c r="BS1922" i="1"/>
  <c r="BO1924" i="1"/>
  <c r="BO1914" i="1"/>
  <c r="BQ1912" i="1"/>
  <c r="BP1913" i="1"/>
  <c r="BN1915" i="1"/>
  <c r="BM1916" i="1"/>
  <c r="BL1917" i="1"/>
  <c r="BS1918" i="1"/>
  <c r="BR1919" i="1"/>
  <c r="BQ1920" i="1"/>
  <c r="BP1921" i="1"/>
  <c r="BO1922" i="1"/>
  <c r="BN1923" i="1"/>
  <c r="BM1924" i="1"/>
  <c r="BS1913" i="1"/>
  <c r="BP1915" i="1"/>
  <c r="BN1912" i="1"/>
  <c r="BL1914" i="1"/>
  <c r="BR1915" i="1"/>
  <c r="BN1917" i="1"/>
  <c r="BP1918" i="1"/>
  <c r="BS1916" i="1"/>
  <c r="BS1919" i="1"/>
  <c r="BM1921" i="1"/>
  <c r="BP1924" i="1"/>
  <c r="BR1924" i="1"/>
  <c r="BL1920" i="1"/>
  <c r="BP1923" i="1"/>
  <c r="BR1913" i="1"/>
  <c r="BL1915" i="1"/>
  <c r="BQ1917" i="1"/>
  <c r="BM1919" i="1"/>
  <c r="BM1920" i="1"/>
  <c r="BQ1923" i="1"/>
  <c r="BM1915" i="1"/>
  <c r="BO1919" i="1"/>
  <c r="BK1732" i="1"/>
  <c r="BK1731" i="1"/>
  <c r="BS1730" i="1"/>
  <c r="BR1730" i="1"/>
  <c r="BQ1730" i="1"/>
  <c r="BP1730" i="1"/>
  <c r="BO1730" i="1"/>
  <c r="BN1730" i="1"/>
  <c r="BM1730" i="1"/>
  <c r="BL1730" i="1"/>
  <c r="BK1720" i="1"/>
  <c r="AW1720" i="1"/>
  <c r="BK1719" i="1"/>
  <c r="AW1719" i="1"/>
  <c r="BK1718" i="1"/>
  <c r="AW1718" i="1"/>
  <c r="BK1717" i="1"/>
  <c r="AW1717" i="1"/>
  <c r="BK1716" i="1"/>
  <c r="AW1716" i="1"/>
  <c r="BK1715" i="1"/>
  <c r="AW1715" i="1"/>
  <c r="BK1714" i="1"/>
  <c r="AW1714" i="1"/>
  <c r="BK1713" i="1"/>
  <c r="AW1713" i="1"/>
  <c r="BK1712" i="1"/>
  <c r="AW1712" i="1"/>
  <c r="BK1711" i="1"/>
  <c r="AW1711" i="1"/>
  <c r="BK1710" i="1"/>
  <c r="AW1710" i="1"/>
  <c r="BK1709" i="1"/>
  <c r="AW1709" i="1"/>
  <c r="BK1708" i="1"/>
  <c r="AW1708" i="1"/>
  <c r="BS1707" i="1"/>
  <c r="BR1707" i="1"/>
  <c r="BQ1707" i="1"/>
  <c r="BP1707" i="1"/>
  <c r="BO1707" i="1"/>
  <c r="BN1707" i="1"/>
  <c r="BM1707" i="1"/>
  <c r="BL1707" i="1"/>
  <c r="AV1700" i="1"/>
  <c r="Z37" i="1"/>
  <c r="AY1832" i="1"/>
  <c r="AY1828" i="1"/>
  <c r="AY1824" i="1"/>
  <c r="AY1820" i="1"/>
  <c r="BC1818" i="1"/>
  <c r="AY1793" i="1"/>
  <c r="AY1789" i="1"/>
  <c r="AY1785" i="1"/>
  <c r="BH1818" i="1"/>
  <c r="BD1781" i="1"/>
  <c r="AY1763" i="1"/>
  <c r="AY1755" i="1"/>
  <c r="BB1753" i="1"/>
  <c r="AY1825" i="1"/>
  <c r="AY1794" i="1"/>
  <c r="AY1830" i="1"/>
  <c r="AY1826" i="1"/>
  <c r="AY1822" i="1"/>
  <c r="BG1818" i="1"/>
  <c r="AY1795" i="1"/>
  <c r="AY1791" i="1"/>
  <c r="AY1787" i="1"/>
  <c r="AY1783" i="1"/>
  <c r="BC1781" i="1"/>
  <c r="AY1762" i="1"/>
  <c r="BA1753" i="1"/>
  <c r="AY1740" i="1"/>
  <c r="AY1736" i="1"/>
  <c r="AY1821" i="1"/>
  <c r="AY1790" i="1"/>
  <c r="AY1786" i="1"/>
  <c r="BA1781" i="1"/>
  <c r="AY1760" i="1"/>
  <c r="AY1739" i="1"/>
  <c r="BF1818" i="1"/>
  <c r="BB1781" i="1"/>
  <c r="AY1761" i="1"/>
  <c r="BH1753" i="1"/>
  <c r="AY1829" i="1"/>
  <c r="BE1818" i="1"/>
  <c r="BG1753" i="1"/>
  <c r="AY1743" i="1"/>
  <c r="AY1735" i="1"/>
  <c r="AY1792" i="1"/>
  <c r="AY1767" i="1"/>
  <c r="BF1753" i="1"/>
  <c r="AY1741" i="1"/>
  <c r="AY1765" i="1"/>
  <c r="AY1823" i="1"/>
  <c r="AY1764" i="1"/>
  <c r="AY1734" i="1"/>
  <c r="BA1818" i="1"/>
  <c r="BH1781" i="1"/>
  <c r="AY1759" i="1"/>
  <c r="AY1738" i="1"/>
  <c r="AY1733" i="1"/>
  <c r="BF1781" i="1"/>
  <c r="AY1742" i="1"/>
  <c r="AY1831" i="1"/>
  <c r="BE1753" i="1"/>
  <c r="BB1818" i="1"/>
  <c r="AY1788" i="1"/>
  <c r="BG1781" i="1"/>
  <c r="AY1758" i="1"/>
  <c r="AY1827" i="1"/>
  <c r="AY1757" i="1"/>
  <c r="AY1737" i="1"/>
  <c r="BE1781" i="1"/>
  <c r="AY1756" i="1"/>
  <c r="BD1818" i="1"/>
  <c r="AY1766" i="1"/>
  <c r="AY1784" i="1"/>
  <c r="BD1753" i="1"/>
  <c r="BC1753" i="1"/>
  <c r="AY1731" i="1"/>
  <c r="AY1713" i="1"/>
  <c r="BA1729" i="1"/>
  <c r="AY1718" i="1"/>
  <c r="AY1710" i="1"/>
  <c r="BB1706" i="1"/>
  <c r="BH1729" i="1"/>
  <c r="AY1715" i="1"/>
  <c r="BA1706" i="1"/>
  <c r="BG1729" i="1"/>
  <c r="AY1720" i="1"/>
  <c r="AY1712" i="1"/>
  <c r="BH1706" i="1"/>
  <c r="BF1729" i="1"/>
  <c r="AY1717" i="1"/>
  <c r="AY1709" i="1"/>
  <c r="BG1706" i="1"/>
  <c r="AY1732" i="1"/>
  <c r="BE1729" i="1"/>
  <c r="AY1714" i="1"/>
  <c r="BF1706" i="1"/>
  <c r="BD1729" i="1"/>
  <c r="AY1719" i="1"/>
  <c r="AY1711" i="1"/>
  <c r="BE1706" i="1"/>
  <c r="BC1729" i="1"/>
  <c r="AY1716" i="1"/>
  <c r="AY1708" i="1"/>
  <c r="BD1706" i="1"/>
  <c r="BB1729" i="1"/>
  <c r="BC1706" i="1"/>
  <c r="R1696" i="1"/>
  <c r="U1696" i="1"/>
  <c r="M1696" i="1"/>
  <c r="U1695" i="1"/>
  <c r="U1611" i="1"/>
  <c r="U1694" i="1"/>
  <c r="W1693" i="1"/>
  <c r="V1693" i="1"/>
  <c r="T1693" i="1"/>
  <c r="S1693" i="1"/>
  <c r="R1693" i="1"/>
  <c r="Q1693" i="1"/>
  <c r="P1693" i="1"/>
  <c r="O1693" i="1"/>
  <c r="N1693" i="1"/>
  <c r="M1693" i="1"/>
  <c r="L1693" i="1"/>
  <c r="U1692" i="1"/>
  <c r="U1691" i="1"/>
  <c r="U1605" i="1"/>
  <c r="T1605" i="1"/>
  <c r="U1690" i="1"/>
  <c r="U1689" i="1"/>
  <c r="U1606" i="1"/>
  <c r="U1688" i="1"/>
  <c r="U1687" i="1"/>
  <c r="R1683" i="1"/>
  <c r="Q1683" i="1"/>
  <c r="U1683" i="1"/>
  <c r="M1683" i="1"/>
  <c r="L1683" i="1"/>
  <c r="U1681" i="1"/>
  <c r="U1679" i="1"/>
  <c r="U1678" i="1"/>
  <c r="U1677" i="1"/>
  <c r="U1673" i="1"/>
  <c r="U1592" i="1"/>
  <c r="T1592" i="1"/>
  <c r="T1569" i="1"/>
  <c r="W1672" i="1"/>
  <c r="W1674" i="1"/>
  <c r="V1672" i="1"/>
  <c r="R1672" i="1"/>
  <c r="R1674" i="1"/>
  <c r="U1674" i="1"/>
  <c r="Q1672" i="1"/>
  <c r="M1672" i="1"/>
  <c r="M1674" i="1"/>
  <c r="L1672" i="1"/>
  <c r="L1674" i="1"/>
  <c r="W1671" i="1"/>
  <c r="W1593" i="1"/>
  <c r="V1671" i="1"/>
  <c r="V1593" i="1"/>
  <c r="T1671" i="1"/>
  <c r="S1671" i="1"/>
  <c r="R1671" i="1"/>
  <c r="R1593" i="1"/>
  <c r="Q1671" i="1"/>
  <c r="P1671" i="1"/>
  <c r="O1671" i="1"/>
  <c r="N1671" i="1"/>
  <c r="N1593" i="1"/>
  <c r="M1671" i="1"/>
  <c r="L1671" i="1"/>
  <c r="K1671" i="1"/>
  <c r="J1671" i="1"/>
  <c r="J1593" i="1"/>
  <c r="I1671" i="1"/>
  <c r="H1671" i="1"/>
  <c r="G1671" i="1"/>
  <c r="G1593" i="1"/>
  <c r="U1670" i="1"/>
  <c r="U1669" i="1"/>
  <c r="U1667" i="1"/>
  <c r="U1666" i="1"/>
  <c r="U1665" i="1"/>
  <c r="U1664" i="1"/>
  <c r="U1663" i="1"/>
  <c r="U1661" i="1"/>
  <c r="AF1659" i="1"/>
  <c r="AE1659" i="1"/>
  <c r="Z1659" i="1"/>
  <c r="U1659" i="1"/>
  <c r="AF1658" i="1"/>
  <c r="AE1658" i="1"/>
  <c r="Z1658" i="1"/>
  <c r="U1658" i="1"/>
  <c r="AF1657" i="1"/>
  <c r="AF1672" i="1"/>
  <c r="AE1657" i="1"/>
  <c r="AE1672" i="1"/>
  <c r="Z1672" i="1"/>
  <c r="T1657" i="1"/>
  <c r="U1657" i="1"/>
  <c r="AE1611" i="1"/>
  <c r="AF1611" i="1"/>
  <c r="AG1611" i="1"/>
  <c r="AH1611" i="1"/>
  <c r="AI1611" i="1"/>
  <c r="AJ1611" i="1"/>
  <c r="AK1611" i="1"/>
  <c r="AL1611" i="1"/>
  <c r="AA1611" i="1"/>
  <c r="AB1611" i="1"/>
  <c r="V1611" i="1"/>
  <c r="X1611" i="1"/>
  <c r="Y1611" i="1"/>
  <c r="P1611" i="1"/>
  <c r="O1611" i="1"/>
  <c r="N1611" i="1"/>
  <c r="W1609" i="1"/>
  <c r="W1607" i="1"/>
  <c r="V1609" i="1"/>
  <c r="R1609" i="1"/>
  <c r="Q1609" i="1"/>
  <c r="M1609" i="1"/>
  <c r="L1609" i="1"/>
  <c r="K1609" i="1"/>
  <c r="J1609" i="1"/>
  <c r="I1609" i="1"/>
  <c r="H1609" i="1"/>
  <c r="G1609" i="1"/>
  <c r="P1607" i="1"/>
  <c r="O1607" i="1"/>
  <c r="N1607" i="1"/>
  <c r="V1606" i="1"/>
  <c r="P1606" i="1"/>
  <c r="O1606" i="1"/>
  <c r="N1606" i="1"/>
  <c r="V1605" i="1"/>
  <c r="P1605" i="1"/>
  <c r="O1605" i="1"/>
  <c r="N1605" i="1"/>
  <c r="AL1604" i="1"/>
  <c r="AL1572" i="1"/>
  <c r="AK1604" i="1"/>
  <c r="AK1572" i="1"/>
  <c r="AJ1604" i="1"/>
  <c r="AI1604" i="1"/>
  <c r="AI1572" i="1"/>
  <c r="AH1604" i="1"/>
  <c r="AG1604" i="1"/>
  <c r="AG1572" i="1"/>
  <c r="AF1604" i="1"/>
  <c r="AE1604" i="1"/>
  <c r="V1604" i="1"/>
  <c r="U1604" i="1"/>
  <c r="T1604" i="1"/>
  <c r="P1604" i="1"/>
  <c r="O1604" i="1"/>
  <c r="O1609" i="1"/>
  <c r="N1604" i="1"/>
  <c r="Z1600" i="1"/>
  <c r="W1600" i="1"/>
  <c r="V1600" i="1"/>
  <c r="U1600" i="1"/>
  <c r="R1600" i="1"/>
  <c r="Q1600" i="1"/>
  <c r="P1600" i="1"/>
  <c r="O1600" i="1"/>
  <c r="N1600" i="1"/>
  <c r="M1600" i="1"/>
  <c r="L1600" i="1"/>
  <c r="K1600" i="1"/>
  <c r="J1600" i="1"/>
  <c r="I1600" i="1"/>
  <c r="H1600" i="1"/>
  <c r="G1600" i="1"/>
  <c r="Z1599" i="1"/>
  <c r="W1599" i="1"/>
  <c r="V1599" i="1"/>
  <c r="U1599" i="1"/>
  <c r="T1599" i="1"/>
  <c r="P1599" i="1"/>
  <c r="O1599" i="1"/>
  <c r="N1599" i="1"/>
  <c r="W1598" i="1"/>
  <c r="V1598" i="1"/>
  <c r="V1601" i="1"/>
  <c r="W1597" i="1"/>
  <c r="V1597" i="1"/>
  <c r="Q1593" i="1"/>
  <c r="P1593" i="1"/>
  <c r="O1593" i="1"/>
  <c r="M1593" i="1"/>
  <c r="L1593" i="1"/>
  <c r="K1593" i="1"/>
  <c r="I1593" i="1"/>
  <c r="H1593" i="1"/>
  <c r="W1592" i="1"/>
  <c r="W1569" i="1"/>
  <c r="V1592" i="1"/>
  <c r="V1569" i="1"/>
  <c r="R1592" i="1"/>
  <c r="Q1592" i="1"/>
  <c r="P1592" i="1"/>
  <c r="O1592" i="1"/>
  <c r="N1592" i="1"/>
  <c r="N1569" i="1"/>
  <c r="M1592" i="1"/>
  <c r="M1569" i="1"/>
  <c r="L1592" i="1"/>
  <c r="K1592" i="1"/>
  <c r="J1592" i="1"/>
  <c r="I1592" i="1"/>
  <c r="I1594" i="1"/>
  <c r="H1592" i="1"/>
  <c r="H1594" i="1"/>
  <c r="G1592" i="1"/>
  <c r="V1591" i="1"/>
  <c r="U1591" i="1"/>
  <c r="T1591" i="1"/>
  <c r="S1591" i="1"/>
  <c r="R1591" i="1"/>
  <c r="Q1591" i="1"/>
  <c r="P1591" i="1"/>
  <c r="O1591" i="1"/>
  <c r="N1591" i="1"/>
  <c r="M1591" i="1"/>
  <c r="M1594" i="1"/>
  <c r="V1590" i="1"/>
  <c r="V1594" i="1"/>
  <c r="AL1582" i="1"/>
  <c r="AK1582" i="1"/>
  <c r="AJ1582" i="1"/>
  <c r="AI1582" i="1"/>
  <c r="AH1582" i="1"/>
  <c r="AG1582" i="1"/>
  <c r="AF1582" i="1"/>
  <c r="AE1582" i="1"/>
  <c r="AE1584" i="1"/>
  <c r="Z1582" i="1"/>
  <c r="AJ1572" i="1"/>
  <c r="AH1572" i="1"/>
  <c r="AF1572" i="1"/>
  <c r="W1572" i="1"/>
  <c r="S1572" i="1"/>
  <c r="R1572" i="1"/>
  <c r="Q1572" i="1"/>
  <c r="O1572" i="1"/>
  <c r="N1572" i="1"/>
  <c r="M1572" i="1"/>
  <c r="L1572" i="1"/>
  <c r="K1572" i="1"/>
  <c r="J1572" i="1"/>
  <c r="I1572" i="1"/>
  <c r="H1572" i="1"/>
  <c r="G1572" i="1"/>
  <c r="S1569" i="1"/>
  <c r="R1569" i="1"/>
  <c r="Q1569" i="1"/>
  <c r="O1569" i="1"/>
  <c r="J1569" i="1"/>
  <c r="I1569" i="1"/>
  <c r="H1569" i="1"/>
  <c r="G1569" i="1"/>
  <c r="K1545" i="1"/>
  <c r="K1597" i="1"/>
  <c r="J1545" i="1"/>
  <c r="J1597" i="1"/>
  <c r="I1545" i="1"/>
  <c r="I1597" i="1"/>
  <c r="H1545" i="1"/>
  <c r="H1597" i="1"/>
  <c r="G1545" i="1"/>
  <c r="G1597" i="1"/>
  <c r="T1532" i="1"/>
  <c r="P1532" i="1"/>
  <c r="O1532" i="1"/>
  <c r="K1532" i="1"/>
  <c r="J1532" i="1"/>
  <c r="I1532" i="1"/>
  <c r="H1532" i="1"/>
  <c r="G1532" i="1"/>
  <c r="U1531" i="1"/>
  <c r="P1531" i="1"/>
  <c r="K1531" i="1"/>
  <c r="J1531" i="1"/>
  <c r="I1531" i="1"/>
  <c r="H1531" i="1"/>
  <c r="T1527" i="1"/>
  <c r="S1527" i="1"/>
  <c r="R1527" i="1"/>
  <c r="Q1527" i="1"/>
  <c r="P1527" i="1"/>
  <c r="O1527" i="1"/>
  <c r="N1527" i="1"/>
  <c r="M1527" i="1"/>
  <c r="L1527" i="1"/>
  <c r="K1527" i="1"/>
  <c r="J1527" i="1"/>
  <c r="I1527" i="1"/>
  <c r="H1527" i="1"/>
  <c r="G1527" i="1"/>
  <c r="T1524" i="1"/>
  <c r="P1522" i="1"/>
  <c r="K1522" i="1"/>
  <c r="J1522" i="1"/>
  <c r="I1522" i="1"/>
  <c r="H1522" i="1"/>
  <c r="G1522" i="1"/>
  <c r="W1521" i="1"/>
  <c r="V1521" i="1"/>
  <c r="U1521" i="1"/>
  <c r="S1521" i="1"/>
  <c r="S1532" i="1"/>
  <c r="R1521" i="1"/>
  <c r="Q1521" i="1"/>
  <c r="N1521" i="1"/>
  <c r="M1521" i="1"/>
  <c r="L1521" i="1"/>
  <c r="L1532" i="1"/>
  <c r="AE1520" i="1"/>
  <c r="AA1520" i="1"/>
  <c r="AC1520" i="1"/>
  <c r="Y1520" i="1"/>
  <c r="N1513" i="1"/>
  <c r="S1512" i="1"/>
  <c r="R1512" i="1"/>
  <c r="R1513" i="1"/>
  <c r="Q1512" i="1"/>
  <c r="P1512" i="1"/>
  <c r="M1512" i="1"/>
  <c r="M1513" i="1"/>
  <c r="L1512" i="1"/>
  <c r="K1512" i="1"/>
  <c r="J1512" i="1"/>
  <c r="I1512" i="1"/>
  <c r="H1512" i="1"/>
  <c r="G1512" i="1"/>
  <c r="Y1511" i="1"/>
  <c r="AE1508" i="1"/>
  <c r="AB1508" i="1"/>
  <c r="Y1508" i="1"/>
  <c r="W1505" i="1"/>
  <c r="W1527" i="1"/>
  <c r="V1505" i="1"/>
  <c r="U1505" i="1"/>
  <c r="W1500" i="1"/>
  <c r="V1500" i="1"/>
  <c r="U1500" i="1"/>
  <c r="S1500" i="1"/>
  <c r="S1513" i="1"/>
  <c r="R1500" i="1"/>
  <c r="Q1500" i="1"/>
  <c r="P1500" i="1"/>
  <c r="M1500" i="1"/>
  <c r="L1500" i="1"/>
  <c r="K1500" i="1"/>
  <c r="J1500" i="1"/>
  <c r="I1500" i="1"/>
  <c r="H1500" i="1"/>
  <c r="G1500" i="1"/>
  <c r="AE1499" i="1"/>
  <c r="AB1499" i="1"/>
  <c r="Y1499" i="1"/>
  <c r="AE1496" i="1"/>
  <c r="AF1496" i="1"/>
  <c r="AG1496" i="1"/>
  <c r="AH1496" i="1"/>
  <c r="AI1496" i="1"/>
  <c r="AJ1496" i="1"/>
  <c r="AK1496" i="1"/>
  <c r="AL1496" i="1"/>
  <c r="Y1496" i="1"/>
  <c r="N1493" i="1"/>
  <c r="W1492" i="1"/>
  <c r="V1492" i="1"/>
  <c r="V1493" i="1"/>
  <c r="U1492" i="1"/>
  <c r="U1493" i="1"/>
  <c r="S1492" i="1"/>
  <c r="S1493" i="1"/>
  <c r="R1492" i="1"/>
  <c r="R1493" i="1"/>
  <c r="Q1492" i="1"/>
  <c r="Q1493" i="1"/>
  <c r="P1492" i="1"/>
  <c r="M1492" i="1"/>
  <c r="L1492" i="1"/>
  <c r="L1493" i="1"/>
  <c r="K1492" i="1"/>
  <c r="J1492" i="1"/>
  <c r="I1492" i="1"/>
  <c r="H1492" i="1"/>
  <c r="G1492" i="1"/>
  <c r="Y1491" i="1"/>
  <c r="AE1490" i="1"/>
  <c r="AE1599" i="1"/>
  <c r="AD1490" i="1"/>
  <c r="AC1490" i="1"/>
  <c r="AB1490" i="1"/>
  <c r="AA1490" i="1"/>
  <c r="Y1490" i="1"/>
  <c r="W1484" i="1"/>
  <c r="V1484" i="1"/>
  <c r="U1484" i="1"/>
  <c r="R1484" i="1"/>
  <c r="Q1484" i="1"/>
  <c r="P1484" i="1"/>
  <c r="M1484" i="1"/>
  <c r="L1484" i="1"/>
  <c r="K1484" i="1"/>
  <c r="J1484" i="1"/>
  <c r="I1484" i="1"/>
  <c r="H1484" i="1"/>
  <c r="G1484" i="1"/>
  <c r="AE1479" i="1"/>
  <c r="AA1479" i="1"/>
  <c r="Y1479" i="1"/>
  <c r="AL1474" i="1"/>
  <c r="AK1474" i="1"/>
  <c r="AJ1474" i="1"/>
  <c r="AI1474" i="1"/>
  <c r="AH1474" i="1"/>
  <c r="AG1474" i="1"/>
  <c r="P1474" i="1"/>
  <c r="K1474" i="1"/>
  <c r="J1474" i="1"/>
  <c r="I1474" i="1"/>
  <c r="H1474" i="1"/>
  <c r="G1474" i="1"/>
  <c r="AI1473" i="1"/>
  <c r="AJ1473" i="1"/>
  <c r="AK1473" i="1"/>
  <c r="AL1473" i="1"/>
  <c r="AH1473" i="1"/>
  <c r="AF1473" i="1"/>
  <c r="AG1473" i="1"/>
  <c r="U1470" i="1"/>
  <c r="Z1467" i="1"/>
  <c r="P1470" i="1"/>
  <c r="U1467" i="1"/>
  <c r="K1470" i="1"/>
  <c r="J1470" i="1"/>
  <c r="K1467" i="1"/>
  <c r="P1469" i="1"/>
  <c r="K1469" i="1"/>
  <c r="P1467" i="1"/>
  <c r="AE1463" i="1"/>
  <c r="AF1463" i="1"/>
  <c r="AG1463" i="1"/>
  <c r="AH1463" i="1"/>
  <c r="AI1463" i="1"/>
  <c r="AJ1463" i="1"/>
  <c r="AK1463" i="1"/>
  <c r="AL1463" i="1"/>
  <c r="AE1461" i="1"/>
  <c r="P1459" i="1"/>
  <c r="P1457" i="1"/>
  <c r="K1459" i="1"/>
  <c r="J1459" i="1"/>
  <c r="K1456" i="1"/>
  <c r="I1459" i="1"/>
  <c r="J1456" i="1"/>
  <c r="H1459" i="1"/>
  <c r="I1456" i="1"/>
  <c r="G1459" i="1"/>
  <c r="Z1457" i="1"/>
  <c r="AE1457" i="1"/>
  <c r="AF1457" i="1"/>
  <c r="AG1457" i="1"/>
  <c r="AH1457" i="1"/>
  <c r="AI1457" i="1"/>
  <c r="AJ1457" i="1"/>
  <c r="AK1457" i="1"/>
  <c r="AL1457" i="1"/>
  <c r="P1456" i="1"/>
  <c r="H1456" i="1"/>
  <c r="AF1440" i="1"/>
  <c r="AG1440" i="1"/>
  <c r="AH1440" i="1"/>
  <c r="AI1440" i="1"/>
  <c r="AJ1440" i="1"/>
  <c r="AK1440" i="1"/>
  <c r="AL1440" i="1"/>
  <c r="P1437" i="1"/>
  <c r="K1437" i="1"/>
  <c r="P1433" i="1"/>
  <c r="J1437" i="1"/>
  <c r="I1437" i="1"/>
  <c r="J1433" i="1"/>
  <c r="H1437" i="1"/>
  <c r="I1433" i="1"/>
  <c r="G1437" i="1"/>
  <c r="H1433" i="1"/>
  <c r="D1437" i="1"/>
  <c r="D1436" i="1"/>
  <c r="D1435" i="1"/>
  <c r="D1434" i="1"/>
  <c r="K1433" i="1"/>
  <c r="U1429" i="1"/>
  <c r="P1429" i="1"/>
  <c r="U1427" i="1"/>
  <c r="K1429" i="1"/>
  <c r="P1427" i="1"/>
  <c r="J1429" i="1"/>
  <c r="I1429" i="1"/>
  <c r="J1427" i="1"/>
  <c r="H1429" i="1"/>
  <c r="G1429" i="1"/>
  <c r="H1427" i="1"/>
  <c r="K1427" i="1"/>
  <c r="I1427" i="1"/>
  <c r="U1423" i="1"/>
  <c r="Z1421" i="1"/>
  <c r="Z1423" i="1"/>
  <c r="Z1489" i="1"/>
  <c r="Y1489" i="1"/>
  <c r="P1423" i="1"/>
  <c r="K1423" i="1"/>
  <c r="P1421" i="1"/>
  <c r="J1423" i="1"/>
  <c r="I1423" i="1"/>
  <c r="J1421" i="1"/>
  <c r="H1423" i="1"/>
  <c r="G1423" i="1"/>
  <c r="H1421" i="1"/>
  <c r="AG1422" i="1"/>
  <c r="AH1422" i="1"/>
  <c r="AI1422" i="1"/>
  <c r="AJ1422" i="1"/>
  <c r="AK1422" i="1"/>
  <c r="AL1422" i="1"/>
  <c r="AE1422" i="1"/>
  <c r="AF1422" i="1"/>
  <c r="U1421" i="1"/>
  <c r="K1421" i="1"/>
  <c r="I1421" i="1"/>
  <c r="U1412" i="1"/>
  <c r="Z1409" i="1"/>
  <c r="P1412" i="1"/>
  <c r="U1409" i="1"/>
  <c r="K1412" i="1"/>
  <c r="P1409" i="1"/>
  <c r="J1412" i="1"/>
  <c r="K1409" i="1"/>
  <c r="I1412" i="1"/>
  <c r="J1409" i="1"/>
  <c r="H1412" i="1"/>
  <c r="I1409" i="1"/>
  <c r="G1412" i="1"/>
  <c r="H1409" i="1"/>
  <c r="U1403" i="1"/>
  <c r="Z1400" i="1"/>
  <c r="P1403" i="1"/>
  <c r="U1400" i="1"/>
  <c r="K1403" i="1"/>
  <c r="J1403" i="1"/>
  <c r="K1400" i="1"/>
  <c r="I1403" i="1"/>
  <c r="J1400" i="1"/>
  <c r="H1403" i="1"/>
  <c r="G1403" i="1"/>
  <c r="AE1402" i="1"/>
  <c r="AF1402" i="1"/>
  <c r="AG1402" i="1"/>
  <c r="AH1402" i="1"/>
  <c r="AI1402" i="1"/>
  <c r="AJ1402" i="1"/>
  <c r="AK1402" i="1"/>
  <c r="AL1402" i="1"/>
  <c r="P1400" i="1"/>
  <c r="I1400" i="1"/>
  <c r="H1400" i="1"/>
  <c r="U1383" i="1"/>
  <c r="U1385" i="1"/>
  <c r="U1377" i="1"/>
  <c r="Z1375" i="1"/>
  <c r="P1377" i="1"/>
  <c r="K1377" i="1"/>
  <c r="J1377" i="1"/>
  <c r="I1377" i="1"/>
  <c r="H1377" i="1"/>
  <c r="AL1368" i="1"/>
  <c r="AK1368" i="1"/>
  <c r="AJ1368" i="1"/>
  <c r="AI1368" i="1"/>
  <c r="AH1368" i="1"/>
  <c r="AG1368" i="1"/>
  <c r="P1366" i="1"/>
  <c r="K1366" i="1"/>
  <c r="J1366" i="1"/>
  <c r="I1366" i="1"/>
  <c r="H1366" i="1"/>
  <c r="G1366" i="1"/>
  <c r="Z1364" i="1"/>
  <c r="U1364" i="1"/>
  <c r="P1364" i="1"/>
  <c r="P1365" i="1"/>
  <c r="K1364" i="1"/>
  <c r="J1364" i="1"/>
  <c r="I1364" i="1"/>
  <c r="H1364" i="1"/>
  <c r="U1358" i="1"/>
  <c r="P1358" i="1"/>
  <c r="K1358" i="1"/>
  <c r="J1358" i="1"/>
  <c r="K1356" i="1"/>
  <c r="K1357" i="1"/>
  <c r="I1358" i="1"/>
  <c r="H1358" i="1"/>
  <c r="I1356" i="1"/>
  <c r="G1358" i="1"/>
  <c r="H1356" i="1"/>
  <c r="P1356" i="1"/>
  <c r="U1349" i="1"/>
  <c r="Z1347" i="1"/>
  <c r="P1349" i="1"/>
  <c r="K1349" i="1"/>
  <c r="J1349" i="1"/>
  <c r="I1349" i="1"/>
  <c r="H1349" i="1"/>
  <c r="G1349" i="1"/>
  <c r="U1347" i="1"/>
  <c r="AE1343" i="1"/>
  <c r="Z1343" i="1"/>
  <c r="AG1342" i="1"/>
  <c r="AI1342" i="1"/>
  <c r="AF1342" i="1"/>
  <c r="AF1343" i="1"/>
  <c r="U1340" i="1"/>
  <c r="Z1338" i="1"/>
  <c r="P1340" i="1"/>
  <c r="K1340" i="1"/>
  <c r="K1339" i="1"/>
  <c r="J1340" i="1"/>
  <c r="I1340" i="1"/>
  <c r="H1340" i="1"/>
  <c r="G1340" i="1"/>
  <c r="H1338" i="1"/>
  <c r="K1338" i="1"/>
  <c r="J1338" i="1"/>
  <c r="J1339" i="1"/>
  <c r="I1338" i="1"/>
  <c r="G1293" i="1"/>
  <c r="AE1291" i="1"/>
  <c r="Z1291" i="1"/>
  <c r="X1291" i="1"/>
  <c r="T1291" i="1"/>
  <c r="U1291" i="1"/>
  <c r="O1291" i="1"/>
  <c r="AE1290" i="1"/>
  <c r="AB1290" i="1"/>
  <c r="AC1290" i="1"/>
  <c r="Z1290" i="1"/>
  <c r="Y1290" i="1"/>
  <c r="T1290" i="1"/>
  <c r="U1290" i="1"/>
  <c r="O1290" i="1"/>
  <c r="T1284" i="1"/>
  <c r="O1284" i="1"/>
  <c r="O1282" i="1"/>
  <c r="AE1281" i="1"/>
  <c r="AA1281" i="1"/>
  <c r="Y1281" i="1"/>
  <c r="W1277" i="1"/>
  <c r="V1277" i="1"/>
  <c r="Q1277" i="1"/>
  <c r="P1277" i="1"/>
  <c r="N1277" i="1"/>
  <c r="M1277" i="1"/>
  <c r="L1277" i="1"/>
  <c r="K1277" i="1"/>
  <c r="J1277" i="1"/>
  <c r="I1277" i="1"/>
  <c r="H1277" i="1"/>
  <c r="G1277" i="1"/>
  <c r="W1276" i="1"/>
  <c r="V1276" i="1"/>
  <c r="U1276" i="1"/>
  <c r="S1276" i="1"/>
  <c r="R1276" i="1"/>
  <c r="Q1276" i="1"/>
  <c r="P1276" i="1"/>
  <c r="N1276" i="1"/>
  <c r="M1276" i="1"/>
  <c r="L1276" i="1"/>
  <c r="K1276" i="1"/>
  <c r="J1276" i="1"/>
  <c r="I1276" i="1"/>
  <c r="H1276" i="1"/>
  <c r="G1276" i="1"/>
  <c r="W1275" i="1"/>
  <c r="V1275" i="1"/>
  <c r="U1275" i="1"/>
  <c r="S1275" i="1"/>
  <c r="R1275" i="1"/>
  <c r="Q1275" i="1"/>
  <c r="P1275" i="1"/>
  <c r="N1275" i="1"/>
  <c r="M1275" i="1"/>
  <c r="L1275" i="1"/>
  <c r="K1275" i="1"/>
  <c r="J1275" i="1"/>
  <c r="I1275" i="1"/>
  <c r="H1275" i="1"/>
  <c r="G1275" i="1"/>
  <c r="V1270" i="1"/>
  <c r="U1270" i="1"/>
  <c r="Q1270" i="1"/>
  <c r="P1270" i="1"/>
  <c r="N1270" i="1"/>
  <c r="M1270" i="1"/>
  <c r="L1270" i="1"/>
  <c r="K1270" i="1"/>
  <c r="J1270" i="1"/>
  <c r="I1270" i="1"/>
  <c r="H1270" i="1"/>
  <c r="G1270" i="1"/>
  <c r="W1309" i="1"/>
  <c r="V1269" i="1"/>
  <c r="U1269" i="1"/>
  <c r="S1269" i="1"/>
  <c r="S1309" i="1"/>
  <c r="R1269" i="1"/>
  <c r="R1309" i="1"/>
  <c r="Q1269" i="1"/>
  <c r="Q1309" i="1"/>
  <c r="P1269" i="1"/>
  <c r="P1309" i="1"/>
  <c r="N1269" i="1"/>
  <c r="N1309" i="1"/>
  <c r="M1269" i="1"/>
  <c r="M1309" i="1"/>
  <c r="L1269" i="1"/>
  <c r="L1309" i="1"/>
  <c r="K1269" i="1"/>
  <c r="J1269" i="1"/>
  <c r="I1269" i="1"/>
  <c r="H1269" i="1"/>
  <c r="H1309" i="1"/>
  <c r="G1269" i="1"/>
  <c r="G1309" i="1"/>
  <c r="T1268" i="1"/>
  <c r="O1268" i="1"/>
  <c r="T1267" i="1"/>
  <c r="O1267" i="1"/>
  <c r="T1266" i="1"/>
  <c r="O1266" i="1"/>
  <c r="T1265" i="1"/>
  <c r="O1265" i="1"/>
  <c r="W1255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J1255" i="1"/>
  <c r="I1255" i="1"/>
  <c r="H1255" i="1"/>
  <c r="G1255" i="1"/>
  <c r="Z1241" i="1"/>
  <c r="Y1241" i="1"/>
  <c r="T1241" i="1"/>
  <c r="S1241" i="1"/>
  <c r="O1241" i="1"/>
  <c r="AE1239" i="1"/>
  <c r="T1239" i="1"/>
  <c r="O1239" i="1"/>
  <c r="W1237" i="1"/>
  <c r="W1318" i="1"/>
  <c r="V1318" i="1"/>
  <c r="U1237" i="1"/>
  <c r="U1318" i="1"/>
  <c r="S1237" i="1"/>
  <c r="S1318" i="1"/>
  <c r="R1237" i="1"/>
  <c r="R1318" i="1"/>
  <c r="Q1237" i="1"/>
  <c r="Q1318" i="1"/>
  <c r="P1237" i="1"/>
  <c r="P1318" i="1"/>
  <c r="O1237" i="1"/>
  <c r="O1318" i="1"/>
  <c r="N1237" i="1"/>
  <c r="N1318" i="1"/>
  <c r="M1237" i="1"/>
  <c r="M1318" i="1"/>
  <c r="L1237" i="1"/>
  <c r="L1318" i="1"/>
  <c r="K1237" i="1"/>
  <c r="K1318" i="1"/>
  <c r="J1237" i="1"/>
  <c r="J1318" i="1"/>
  <c r="I1237" i="1"/>
  <c r="I1318" i="1"/>
  <c r="H1237" i="1"/>
  <c r="H1318" i="1"/>
  <c r="G1237" i="1"/>
  <c r="G1318" i="1"/>
  <c r="W1235" i="1"/>
  <c r="V1235" i="1"/>
  <c r="U1235" i="1"/>
  <c r="S1235" i="1"/>
  <c r="Q1235" i="1"/>
  <c r="P1235" i="1"/>
  <c r="N1235" i="1"/>
  <c r="M1235" i="1"/>
  <c r="L1235" i="1"/>
  <c r="K1235" i="1"/>
  <c r="J1235" i="1"/>
  <c r="I1235" i="1"/>
  <c r="H1235" i="1"/>
  <c r="G1235" i="1"/>
  <c r="R1234" i="1"/>
  <c r="O1234" i="1"/>
  <c r="AE1233" i="1"/>
  <c r="AA1233" i="1"/>
  <c r="T1233" i="1"/>
  <c r="O1233" i="1"/>
  <c r="AE1232" i="1"/>
  <c r="AF1232" i="1"/>
  <c r="AG1232" i="1"/>
  <c r="AH1232" i="1"/>
  <c r="AI1232" i="1"/>
  <c r="AJ1232" i="1"/>
  <c r="AK1232" i="1"/>
  <c r="AL1232" i="1"/>
  <c r="T1232" i="1"/>
  <c r="O1232" i="1"/>
  <c r="AE1231" i="1"/>
  <c r="AA1231" i="1"/>
  <c r="X1237" i="1"/>
  <c r="X1318" i="1"/>
  <c r="T1231" i="1"/>
  <c r="T1237" i="1"/>
  <c r="T1318" i="1"/>
  <c r="O1231" i="1"/>
  <c r="AE1230" i="1"/>
  <c r="AA1230" i="1"/>
  <c r="AB1230" i="1"/>
  <c r="T1230" i="1"/>
  <c r="O1230" i="1"/>
  <c r="W1183" i="1"/>
  <c r="V1183" i="1"/>
  <c r="U1183" i="1"/>
  <c r="T1183" i="1"/>
  <c r="S1183" i="1"/>
  <c r="R1183" i="1"/>
  <c r="Q1183" i="1"/>
  <c r="P1183" i="1"/>
  <c r="O1183" i="1"/>
  <c r="N1183" i="1"/>
  <c r="W1181" i="1"/>
  <c r="AE1180" i="1"/>
  <c r="AF1180" i="1"/>
  <c r="AG1180" i="1"/>
  <c r="AH1180" i="1"/>
  <c r="AI1180" i="1"/>
  <c r="AJ1180" i="1"/>
  <c r="AK1180" i="1"/>
  <c r="AL1180" i="1"/>
  <c r="AE1179" i="1"/>
  <c r="AF1179" i="1"/>
  <c r="AG1179" i="1"/>
  <c r="AC1179" i="1"/>
  <c r="V1179" i="1"/>
  <c r="AF1178" i="1"/>
  <c r="AG1178" i="1"/>
  <c r="AD1178" i="1"/>
  <c r="AC1178" i="1"/>
  <c r="AB1178" i="1"/>
  <c r="AA1178" i="1"/>
  <c r="V1178" i="1"/>
  <c r="M1173" i="1"/>
  <c r="M1183" i="1"/>
  <c r="M1172" i="1"/>
  <c r="AA1171" i="1"/>
  <c r="M1171" i="1"/>
  <c r="M1170" i="1"/>
  <c r="M1168" i="1"/>
  <c r="M1179" i="1"/>
  <c r="W1166" i="1"/>
  <c r="V1166" i="1"/>
  <c r="M1166" i="1"/>
  <c r="M1164" i="1"/>
  <c r="W1162" i="1"/>
  <c r="V1162" i="1"/>
  <c r="M1162" i="1"/>
  <c r="W1156" i="1"/>
  <c r="Z1156" i="1"/>
  <c r="M1156" i="1"/>
  <c r="W1154" i="1"/>
  <c r="V1154" i="1"/>
  <c r="V1159" i="1"/>
  <c r="V1177" i="1"/>
  <c r="M1154" i="1"/>
  <c r="X1144" i="1"/>
  <c r="Y1144" i="1"/>
  <c r="T1144" i="1"/>
  <c r="S1144" i="1"/>
  <c r="O1144" i="1"/>
  <c r="AE1133" i="1"/>
  <c r="U1133" i="1"/>
  <c r="S1133" i="1"/>
  <c r="R1133" i="1"/>
  <c r="Q1133" i="1"/>
  <c r="Q1545" i="1"/>
  <c r="Q1597" i="1"/>
  <c r="P1133" i="1"/>
  <c r="P1545" i="1"/>
  <c r="M1133" i="1"/>
  <c r="L1133" i="1"/>
  <c r="L1545" i="1"/>
  <c r="L1597" i="1"/>
  <c r="AF1132" i="1"/>
  <c r="AG1132" i="1"/>
  <c r="AH1132" i="1"/>
  <c r="AI1132" i="1"/>
  <c r="AJ1132" i="1"/>
  <c r="AK1132" i="1"/>
  <c r="AL1132" i="1"/>
  <c r="AA1132" i="1"/>
  <c r="W1132" i="1"/>
  <c r="T1132" i="1"/>
  <c r="AF1131" i="1"/>
  <c r="AG1131" i="1"/>
  <c r="AH1131" i="1"/>
  <c r="AI1131" i="1"/>
  <c r="AJ1131" i="1"/>
  <c r="AK1131" i="1"/>
  <c r="AL1131" i="1"/>
  <c r="AB1131" i="1"/>
  <c r="AC1131" i="1"/>
  <c r="AD1131" i="1"/>
  <c r="AA1131" i="1"/>
  <c r="W1131" i="1"/>
  <c r="X1131" i="1"/>
  <c r="Y1131" i="1"/>
  <c r="T1131" i="1"/>
  <c r="AG1130" i="1"/>
  <c r="AF1130" i="1"/>
  <c r="AA1130" i="1"/>
  <c r="AA1133" i="1"/>
  <c r="W1130" i="1"/>
  <c r="T1130" i="1"/>
  <c r="AA1113" i="1"/>
  <c r="T1113" i="1"/>
  <c r="T1276" i="1"/>
  <c r="O1113" i="1"/>
  <c r="T1112" i="1"/>
  <c r="T1275" i="1"/>
  <c r="O1112" i="1"/>
  <c r="AG1110" i="1"/>
  <c r="AH1110" i="1"/>
  <c r="AI1110" i="1"/>
  <c r="AJ1110" i="1"/>
  <c r="AK1110" i="1"/>
  <c r="AL1110" i="1"/>
  <c r="AF1110" i="1"/>
  <c r="AA1110" i="1"/>
  <c r="T1110" i="1"/>
  <c r="O1110" i="1"/>
  <c r="AE1109" i="1"/>
  <c r="AE1111" i="1"/>
  <c r="T1109" i="1"/>
  <c r="O1109" i="1"/>
  <c r="S1108" i="1"/>
  <c r="S1111" i="1"/>
  <c r="S1119" i="1"/>
  <c r="S1120" i="1"/>
  <c r="S1317" i="1"/>
  <c r="W1107" i="1"/>
  <c r="W1125" i="1"/>
  <c r="V1107" i="1"/>
  <c r="V1125" i="1"/>
  <c r="U1107" i="1"/>
  <c r="U1125" i="1"/>
  <c r="S1107" i="1"/>
  <c r="S1125" i="1"/>
  <c r="R1107" i="1"/>
  <c r="R1108" i="1"/>
  <c r="R1111" i="1"/>
  <c r="Q1107" i="1"/>
  <c r="Q1125" i="1"/>
  <c r="P1107" i="1"/>
  <c r="P1125" i="1"/>
  <c r="N1107" i="1"/>
  <c r="N1125" i="1"/>
  <c r="M1107" i="1"/>
  <c r="M1125" i="1"/>
  <c r="L1107" i="1"/>
  <c r="L1108" i="1"/>
  <c r="L1111" i="1"/>
  <c r="K1107" i="1"/>
  <c r="K1108" i="1"/>
  <c r="K1111" i="1"/>
  <c r="J1107" i="1"/>
  <c r="J1108" i="1"/>
  <c r="J1111" i="1"/>
  <c r="I1107" i="1"/>
  <c r="I1108" i="1"/>
  <c r="I1111" i="1"/>
  <c r="H1107" i="1"/>
  <c r="H1108" i="1"/>
  <c r="H1111" i="1"/>
  <c r="G1107" i="1"/>
  <c r="G1108" i="1"/>
  <c r="G1111" i="1"/>
  <c r="W1106" i="1"/>
  <c r="W1126" i="1"/>
  <c r="V1106" i="1"/>
  <c r="V1126" i="1"/>
  <c r="U1106" i="1"/>
  <c r="U1126" i="1"/>
  <c r="T1106" i="1"/>
  <c r="T1126" i="1"/>
  <c r="S1106" i="1"/>
  <c r="S1126" i="1"/>
  <c r="R1106" i="1"/>
  <c r="R1126" i="1"/>
  <c r="Q1106" i="1"/>
  <c r="Q1126" i="1"/>
  <c r="P1106" i="1"/>
  <c r="P1126" i="1"/>
  <c r="O1106" i="1"/>
  <c r="O1126" i="1"/>
  <c r="N1106" i="1"/>
  <c r="N1126" i="1"/>
  <c r="M1106" i="1"/>
  <c r="M1160" i="1"/>
  <c r="L1106" i="1"/>
  <c r="K1106" i="1"/>
  <c r="J1106" i="1"/>
  <c r="I1106" i="1"/>
  <c r="H1106" i="1"/>
  <c r="G1106" i="1"/>
  <c r="T1101" i="1"/>
  <c r="O1101" i="1"/>
  <c r="O1107" i="1"/>
  <c r="V1096" i="1"/>
  <c r="AG1095" i="1"/>
  <c r="AG1173" i="1"/>
  <c r="AF1095" i="1"/>
  <c r="AF1173" i="1"/>
  <c r="AF1103" i="1"/>
  <c r="AF1168" i="1"/>
  <c r="AE1095" i="1"/>
  <c r="AE1173" i="1"/>
  <c r="M1091" i="1"/>
  <c r="T1091" i="1"/>
  <c r="O1091" i="1"/>
  <c r="U1091" i="1"/>
  <c r="K1091" i="1"/>
  <c r="R1091" i="1"/>
  <c r="Q1091" i="1"/>
  <c r="L1091" i="1"/>
  <c r="S1091" i="1"/>
  <c r="V1091" i="1"/>
  <c r="Z1091" i="1" s="1"/>
  <c r="N1091" i="1"/>
  <c r="J1091" i="1"/>
  <c r="P1091" i="1"/>
  <c r="H1091" i="1"/>
  <c r="I1091" i="1"/>
  <c r="AK1342" i="1"/>
  <c r="AK1343" i="1"/>
  <c r="AI1343" i="1"/>
  <c r="R1125" i="1"/>
  <c r="P1338" i="1"/>
  <c r="P1339" i="1"/>
  <c r="AG1343" i="1"/>
  <c r="U1456" i="1"/>
  <c r="U1459" i="1"/>
  <c r="Z1456" i="1"/>
  <c r="S1522" i="1"/>
  <c r="L1513" i="1"/>
  <c r="L1522" i="1"/>
  <c r="V1568" i="1"/>
  <c r="N1609" i="1"/>
  <c r="W1512" i="1"/>
  <c r="W1513" i="1"/>
  <c r="W1522" i="1"/>
  <c r="Z1166" i="1"/>
  <c r="K1365" i="1"/>
  <c r="U1474" i="1"/>
  <c r="R1522" i="1"/>
  <c r="P1572" i="1"/>
  <c r="G1594" i="1"/>
  <c r="U1672" i="1"/>
  <c r="U1569" i="1"/>
  <c r="M1126" i="1"/>
  <c r="P1609" i="1"/>
  <c r="O1235" i="1"/>
  <c r="Y1291" i="1"/>
  <c r="AH1342" i="1"/>
  <c r="AJ1342" i="1"/>
  <c r="U1348" i="1"/>
  <c r="U1469" i="1"/>
  <c r="X1132" i="1"/>
  <c r="Y1132" i="1"/>
  <c r="X1290" i="1"/>
  <c r="I1339" i="1"/>
  <c r="AE1421" i="1"/>
  <c r="AE1423" i="1"/>
  <c r="AD1499" i="1"/>
  <c r="V1613" i="1"/>
  <c r="T1133" i="1"/>
  <c r="AF1490" i="1"/>
  <c r="W1532" i="1"/>
  <c r="U1693" i="1"/>
  <c r="U1607" i="1"/>
  <c r="U1609" i="1"/>
  <c r="AH1179" i="1"/>
  <c r="AG1103" i="1"/>
  <c r="AG1168" i="1"/>
  <c r="AB1179" i="1"/>
  <c r="AH1178" i="1"/>
  <c r="AG1100" i="1"/>
  <c r="AG1158" i="1"/>
  <c r="AF1109" i="1"/>
  <c r="AA1109" i="1"/>
  <c r="AB1109" i="1"/>
  <c r="AC1109" i="1"/>
  <c r="AA1599" i="1"/>
  <c r="AB1599" i="1"/>
  <c r="AC1599" i="1"/>
  <c r="AF1479" i="1"/>
  <c r="AG1479" i="1"/>
  <c r="AH1479" i="1"/>
  <c r="AI1479" i="1"/>
  <c r="AJ1479" i="1"/>
  <c r="AK1479" i="1"/>
  <c r="AL1479" i="1"/>
  <c r="AB1479" i="1"/>
  <c r="AC1479" i="1"/>
  <c r="AD1479" i="1"/>
  <c r="AF1230" i="1"/>
  <c r="AG1230" i="1"/>
  <c r="AH1230" i="1"/>
  <c r="AI1230" i="1"/>
  <c r="AJ1230" i="1"/>
  <c r="AK1230" i="1"/>
  <c r="AL1230" i="1"/>
  <c r="AB1231" i="1"/>
  <c r="AB1237" i="1"/>
  <c r="AB1318" i="1"/>
  <c r="I1119" i="1"/>
  <c r="I1120" i="1"/>
  <c r="I1317" i="1"/>
  <c r="I1114" i="1"/>
  <c r="K1114" i="1"/>
  <c r="K1119" i="1"/>
  <c r="K1120" i="1"/>
  <c r="K1317" i="1"/>
  <c r="L1119" i="1"/>
  <c r="L1120" i="1"/>
  <c r="L1317" i="1"/>
  <c r="L1114" i="1"/>
  <c r="W1133" i="1"/>
  <c r="X1130" i="1"/>
  <c r="X1133" i="1"/>
  <c r="T1107" i="1"/>
  <c r="AI1178" i="1"/>
  <c r="R1119" i="1"/>
  <c r="R1120" i="1"/>
  <c r="R1317" i="1"/>
  <c r="R1114" i="1"/>
  <c r="S1114" i="1"/>
  <c r="H1114" i="1"/>
  <c r="H1119" i="1"/>
  <c r="H1120" i="1"/>
  <c r="H1317" i="1"/>
  <c r="AG1133" i="1"/>
  <c r="AH1130" i="1"/>
  <c r="J1119" i="1"/>
  <c r="J1120" i="1"/>
  <c r="J1317" i="1"/>
  <c r="J1114" i="1"/>
  <c r="AB1113" i="1"/>
  <c r="AC1113" i="1"/>
  <c r="AF1100" i="1"/>
  <c r="AF1158" i="1"/>
  <c r="G1119" i="1"/>
  <c r="G1120" i="1"/>
  <c r="G1317" i="1"/>
  <c r="G1114" i="1"/>
  <c r="O1125" i="1"/>
  <c r="O1108" i="1"/>
  <c r="O1111" i="1"/>
  <c r="O1119" i="1"/>
  <c r="O1120" i="1"/>
  <c r="O1317" i="1"/>
  <c r="P1108" i="1"/>
  <c r="P1111" i="1"/>
  <c r="AG1109" i="1"/>
  <c r="AF1111" i="1"/>
  <c r="AB1110" i="1"/>
  <c r="AC1110" i="1"/>
  <c r="M1108" i="1"/>
  <c r="M1111" i="1"/>
  <c r="U1108" i="1"/>
  <c r="U1111" i="1"/>
  <c r="AB1132" i="1"/>
  <c r="AD1179" i="1"/>
  <c r="M1180" i="1"/>
  <c r="AC1230" i="1"/>
  <c r="AD1230" i="1"/>
  <c r="AE1241" i="1"/>
  <c r="W1241" i="1"/>
  <c r="X1241" i="1"/>
  <c r="AF1421" i="1"/>
  <c r="AF1423" i="1"/>
  <c r="AE1489" i="1"/>
  <c r="N1108" i="1"/>
  <c r="N1111" i="1"/>
  <c r="V1108" i="1"/>
  <c r="V1160" i="1"/>
  <c r="AA1237" i="1"/>
  <c r="AA1318" i="1"/>
  <c r="V1309" i="1"/>
  <c r="AC1291" i="1"/>
  <c r="AB1291" i="1"/>
  <c r="AF1291" i="1"/>
  <c r="AG1291" i="1"/>
  <c r="AH1291" i="1"/>
  <c r="AI1291" i="1"/>
  <c r="AJ1291" i="1"/>
  <c r="AK1291" i="1"/>
  <c r="AL1291" i="1"/>
  <c r="AD1291" i="1"/>
  <c r="U1356" i="1"/>
  <c r="P1357" i="1"/>
  <c r="W1108" i="1"/>
  <c r="W1111" i="1"/>
  <c r="AE1112" i="1"/>
  <c r="AB1130" i="1"/>
  <c r="W1160" i="1"/>
  <c r="W1164" i="1"/>
  <c r="W1170" i="1"/>
  <c r="W1188" i="1"/>
  <c r="AF1231" i="1"/>
  <c r="AF1133" i="1"/>
  <c r="AA1180" i="1"/>
  <c r="P1434" i="1"/>
  <c r="U1433" i="1"/>
  <c r="Q1108" i="1"/>
  <c r="Q1111" i="1"/>
  <c r="P1597" i="1"/>
  <c r="AE1144" i="1"/>
  <c r="AB1180" i="1"/>
  <c r="AE1237" i="1"/>
  <c r="AE1318" i="1"/>
  <c r="AA1239" i="1"/>
  <c r="AB1239" i="1"/>
  <c r="U1532" i="1"/>
  <c r="U1437" i="1"/>
  <c r="U1527" i="1"/>
  <c r="U1512" i="1"/>
  <c r="U1513" i="1"/>
  <c r="AA1179" i="1"/>
  <c r="AC1180" i="1"/>
  <c r="AA1232" i="1"/>
  <c r="R1235" i="1"/>
  <c r="T1234" i="1"/>
  <c r="T1277" i="1"/>
  <c r="R1277" i="1"/>
  <c r="AF1281" i="1"/>
  <c r="AC1281" i="1"/>
  <c r="AD1281" i="1"/>
  <c r="AB1281" i="1"/>
  <c r="AD1180" i="1"/>
  <c r="AB1233" i="1"/>
  <c r="AF1233" i="1"/>
  <c r="AG1233" i="1"/>
  <c r="AH1233" i="1"/>
  <c r="AI1233" i="1"/>
  <c r="AJ1233" i="1"/>
  <c r="AK1233" i="1"/>
  <c r="AL1233" i="1"/>
  <c r="AF1239" i="1"/>
  <c r="AG1239" i="1"/>
  <c r="AH1239" i="1"/>
  <c r="AI1239" i="1"/>
  <c r="AJ1239" i="1"/>
  <c r="AK1239" i="1"/>
  <c r="AL1239" i="1"/>
  <c r="I1309" i="1"/>
  <c r="M1532" i="1"/>
  <c r="M1522" i="1"/>
  <c r="Z1356" i="1"/>
  <c r="U1357" i="1"/>
  <c r="AA1508" i="1"/>
  <c r="AD1508" i="1"/>
  <c r="AC1508" i="1"/>
  <c r="AF1508" i="1"/>
  <c r="AG1508" i="1"/>
  <c r="AH1508" i="1"/>
  <c r="AI1508" i="1"/>
  <c r="AJ1508" i="1"/>
  <c r="AK1508" i="1"/>
  <c r="AL1508" i="1"/>
  <c r="Y1509" i="1"/>
  <c r="AE1509" i="1"/>
  <c r="J1309" i="1"/>
  <c r="AD1290" i="1"/>
  <c r="AF1290" i="1"/>
  <c r="AG1290" i="1"/>
  <c r="AH1290" i="1"/>
  <c r="AI1290" i="1"/>
  <c r="AJ1290" i="1"/>
  <c r="AK1290" i="1"/>
  <c r="AL1290" i="1"/>
  <c r="J1356" i="1"/>
  <c r="J1357" i="1"/>
  <c r="I1357" i="1"/>
  <c r="U1309" i="1"/>
  <c r="U1428" i="1"/>
  <c r="Z1427" i="1"/>
  <c r="Z1429" i="1"/>
  <c r="AD1496" i="1"/>
  <c r="AC1496" i="1"/>
  <c r="AB1496" i="1"/>
  <c r="AA1496" i="1"/>
  <c r="Q1532" i="1"/>
  <c r="AF1599" i="1"/>
  <c r="AG1490" i="1"/>
  <c r="AE1498" i="1"/>
  <c r="Y1498" i="1"/>
  <c r="AF1499" i="1"/>
  <c r="AG1499" i="1"/>
  <c r="AH1499" i="1"/>
  <c r="AI1499" i="1"/>
  <c r="AJ1499" i="1"/>
  <c r="AK1499" i="1"/>
  <c r="AL1499" i="1"/>
  <c r="AA1499" i="1"/>
  <c r="AC1499" i="1"/>
  <c r="AL1342" i="1"/>
  <c r="AJ1343" i="1"/>
  <c r="S1524" i="1"/>
  <c r="R1532" i="1"/>
  <c r="AH1343" i="1"/>
  <c r="U1338" i="1"/>
  <c r="U1339" i="1"/>
  <c r="U1524" i="1"/>
  <c r="N1522" i="1"/>
  <c r="N1532" i="1"/>
  <c r="K1309" i="1"/>
  <c r="H1339" i="1"/>
  <c r="AD1520" i="1"/>
  <c r="AB1520" i="1"/>
  <c r="AF1520" i="1"/>
  <c r="AG1520" i="1"/>
  <c r="AH1520" i="1"/>
  <c r="AI1520" i="1"/>
  <c r="AJ1520" i="1"/>
  <c r="AK1520" i="1"/>
  <c r="AL1520" i="1"/>
  <c r="V1532" i="1"/>
  <c r="V1527" i="1"/>
  <c r="V1512" i="1"/>
  <c r="V1513" i="1"/>
  <c r="V1522" i="1"/>
  <c r="AE1511" i="1"/>
  <c r="Q1513" i="1"/>
  <c r="Q1522" i="1"/>
  <c r="H1357" i="1"/>
  <c r="AE1518" i="1"/>
  <c r="Y1518" i="1"/>
  <c r="U1522" i="1"/>
  <c r="T1572" i="1"/>
  <c r="U1572" i="1"/>
  <c r="L1569" i="1"/>
  <c r="P1569" i="1"/>
  <c r="L1594" i="1"/>
  <c r="V1572" i="1"/>
  <c r="V1607" i="1"/>
  <c r="Z1606" i="1"/>
  <c r="T1606" i="1"/>
  <c r="T1609" i="1"/>
  <c r="AA1604" i="1"/>
  <c r="AB1604" i="1"/>
  <c r="Z1607" i="1"/>
  <c r="T1607" i="1"/>
  <c r="AE1600" i="1"/>
  <c r="Y1600" i="1"/>
  <c r="AE1491" i="1"/>
  <c r="W1493" i="1"/>
  <c r="W1524" i="1"/>
  <c r="W1601" i="1"/>
  <c r="W1568" i="1"/>
  <c r="T1600" i="1"/>
  <c r="AC1611" i="1"/>
  <c r="AD1611" i="1"/>
  <c r="J1594" i="1"/>
  <c r="K1594" i="1"/>
  <c r="K1569" i="1"/>
  <c r="Y1599" i="1"/>
  <c r="U1671" i="1"/>
  <c r="U1593" i="1"/>
  <c r="V1090" i="1"/>
  <c r="Z1090" i="1"/>
  <c r="AE1090" i="1"/>
  <c r="AA1090" i="1"/>
  <c r="AF1090" i="1"/>
  <c r="AK1090" i="1"/>
  <c r="U1090" i="1"/>
  <c r="T1090" i="1"/>
  <c r="S1090" i="1"/>
  <c r="R1090" i="1"/>
  <c r="Q1090" i="1"/>
  <c r="P1090" i="1"/>
  <c r="O1090" i="1"/>
  <c r="N1090" i="1"/>
  <c r="M1090" i="1"/>
  <c r="V1089" i="1"/>
  <c r="U1081" i="1"/>
  <c r="T1089" i="1"/>
  <c r="T1081" i="1"/>
  <c r="S1089" i="1"/>
  <c r="S1081" i="1"/>
  <c r="R1089" i="1"/>
  <c r="Q1089" i="1"/>
  <c r="Q1081" i="1"/>
  <c r="P1089" i="1"/>
  <c r="P1081" i="1"/>
  <c r="O1089" i="1"/>
  <c r="N1089" i="1"/>
  <c r="M1089" i="1"/>
  <c r="M1081" i="1"/>
  <c r="AH1085" i="1"/>
  <c r="AH1095" i="1"/>
  <c r="AA1085" i="1"/>
  <c r="AA1095" i="1"/>
  <c r="T1085" i="1"/>
  <c r="R1081" i="1"/>
  <c r="O1081" i="1"/>
  <c r="N1081" i="1"/>
  <c r="AF1074" i="1"/>
  <c r="AG1074" i="1"/>
  <c r="AH1074" i="1"/>
  <c r="AI1074" i="1"/>
  <c r="AJ1074" i="1"/>
  <c r="AK1074" i="1"/>
  <c r="AL1074" i="1"/>
  <c r="AD1074" i="1"/>
  <c r="AC1074" i="1"/>
  <c r="AB1074" i="1"/>
  <c r="AA1074" i="1"/>
  <c r="Y1074" i="1"/>
  <c r="AC1073" i="1"/>
  <c r="AA1073" i="1"/>
  <c r="AB1073" i="1"/>
  <c r="AD1073" i="1"/>
  <c r="AI1085" i="1"/>
  <c r="AI1095" i="1"/>
  <c r="V1164" i="1"/>
  <c r="Z1160" i="1"/>
  <c r="Z1089" i="1"/>
  <c r="V1081" i="1"/>
  <c r="AC1231" i="1"/>
  <c r="AI1179" i="1"/>
  <c r="AJ1179" i="1"/>
  <c r="AD1109" i="1"/>
  <c r="AD1090" i="1"/>
  <c r="AI1090" i="1"/>
  <c r="AB1090" i="1"/>
  <c r="AG1090" i="1"/>
  <c r="AL1090" i="1"/>
  <c r="AJ1090" i="1"/>
  <c r="AC1090" i="1"/>
  <c r="AH1090" i="1"/>
  <c r="AD1599" i="1"/>
  <c r="AC1239" i="1"/>
  <c r="AD1239" i="1"/>
  <c r="AD1233" i="1"/>
  <c r="AC1132" i="1"/>
  <c r="AD1132" i="1"/>
  <c r="AB1085" i="1"/>
  <c r="AB1095" i="1"/>
  <c r="AF1491" i="1"/>
  <c r="AG1491" i="1"/>
  <c r="AH1491" i="1"/>
  <c r="AI1491" i="1"/>
  <c r="AJ1491" i="1"/>
  <c r="AK1491" i="1"/>
  <c r="AL1491" i="1"/>
  <c r="AB1491" i="1"/>
  <c r="AA1491" i="1"/>
  <c r="AD1491" i="1"/>
  <c r="AC1491" i="1"/>
  <c r="X1606" i="1"/>
  <c r="Y1606" i="1"/>
  <c r="AE1606" i="1"/>
  <c r="AC1233" i="1"/>
  <c r="U1119" i="1"/>
  <c r="U1120" i="1"/>
  <c r="U1114" i="1"/>
  <c r="AD1113" i="1"/>
  <c r="AE1607" i="1"/>
  <c r="X1607" i="1"/>
  <c r="Y1607" i="1"/>
  <c r="AB1518" i="1"/>
  <c r="AC1518" i="1"/>
  <c r="AF1518" i="1"/>
  <c r="AG1518" i="1"/>
  <c r="AH1518" i="1"/>
  <c r="AI1518" i="1"/>
  <c r="AJ1518" i="1"/>
  <c r="AK1518" i="1"/>
  <c r="AL1518" i="1"/>
  <c r="AD1518" i="1"/>
  <c r="AA1518" i="1"/>
  <c r="AB1232" i="1"/>
  <c r="V1111" i="1"/>
  <c r="M1119" i="1"/>
  <c r="M1120" i="1"/>
  <c r="M1317" i="1"/>
  <c r="M1114" i="1"/>
  <c r="AD1110" i="1"/>
  <c r="Q1119" i="1"/>
  <c r="Q1120" i="1"/>
  <c r="Q1317" i="1"/>
  <c r="Q1114" i="1"/>
  <c r="AA1572" i="1"/>
  <c r="AB1509" i="1"/>
  <c r="AD1509" i="1"/>
  <c r="AF1509" i="1"/>
  <c r="AG1509" i="1"/>
  <c r="AH1509" i="1"/>
  <c r="AI1509" i="1"/>
  <c r="AJ1509" i="1"/>
  <c r="AK1509" i="1"/>
  <c r="AL1509" i="1"/>
  <c r="AA1509" i="1"/>
  <c r="AC1509" i="1"/>
  <c r="Y1235" i="1"/>
  <c r="Y1237" i="1"/>
  <c r="Y1318" i="1"/>
  <c r="AC1130" i="1"/>
  <c r="AC1133" i="1"/>
  <c r="AB1133" i="1"/>
  <c r="N1119" i="1"/>
  <c r="N1120" i="1"/>
  <c r="N1317" i="1"/>
  <c r="N1114" i="1"/>
  <c r="AC1241" i="1"/>
  <c r="AD1241" i="1"/>
  <c r="AF1241" i="1"/>
  <c r="AG1241" i="1"/>
  <c r="AH1241" i="1"/>
  <c r="AI1241" i="1"/>
  <c r="AJ1241" i="1"/>
  <c r="AK1241" i="1"/>
  <c r="AL1241" i="1"/>
  <c r="AB1241" i="1"/>
  <c r="AA1241" i="1"/>
  <c r="AH1109" i="1"/>
  <c r="AG1111" i="1"/>
  <c r="AK1179" i="1"/>
  <c r="AA1173" i="1"/>
  <c r="Z1506" i="1"/>
  <c r="AE1427" i="1"/>
  <c r="AE1429" i="1"/>
  <c r="AH1173" i="1"/>
  <c r="AH1103" i="1"/>
  <c r="T1593" i="1"/>
  <c r="Z1593" i="1"/>
  <c r="Y1593" i="1"/>
  <c r="AB1572" i="1"/>
  <c r="AB1498" i="1"/>
  <c r="AD1498" i="1"/>
  <c r="AA1498" i="1"/>
  <c r="AC1498" i="1"/>
  <c r="AF1498" i="1"/>
  <c r="AG1498" i="1"/>
  <c r="AH1498" i="1"/>
  <c r="AI1498" i="1"/>
  <c r="AJ1498" i="1"/>
  <c r="AK1498" i="1"/>
  <c r="AL1498" i="1"/>
  <c r="U1434" i="1"/>
  <c r="Z1433" i="1"/>
  <c r="Z1437" i="1"/>
  <c r="AF1112" i="1"/>
  <c r="AA1112" i="1"/>
  <c r="AB1112" i="1"/>
  <c r="T1235" i="1"/>
  <c r="P1119" i="1"/>
  <c r="P1120" i="1"/>
  <c r="P1317" i="1"/>
  <c r="P1114" i="1"/>
  <c r="AH1490" i="1"/>
  <c r="AH1599" i="1"/>
  <c r="AF1144" i="1"/>
  <c r="AG1144" i="1"/>
  <c r="AH1144" i="1"/>
  <c r="AI1144" i="1"/>
  <c r="AJ1144" i="1"/>
  <c r="AK1144" i="1"/>
  <c r="AL1144" i="1"/>
  <c r="AD1144" i="1"/>
  <c r="AC1144" i="1"/>
  <c r="AB1144" i="1"/>
  <c r="AA1144" i="1"/>
  <c r="AJ1178" i="1"/>
  <c r="AJ1085" i="1"/>
  <c r="AC1604" i="1"/>
  <c r="AL1343" i="1"/>
  <c r="V1524" i="1"/>
  <c r="AG1281" i="1"/>
  <c r="AA1103" i="1"/>
  <c r="AC1489" i="1"/>
  <c r="AB1489" i="1"/>
  <c r="AD1489" i="1"/>
  <c r="AA1489" i="1"/>
  <c r="Y1130" i="1"/>
  <c r="Y1133" i="1"/>
  <c r="AI1173" i="1"/>
  <c r="AI1100" i="1"/>
  <c r="AI1158" i="1"/>
  <c r="W1119" i="1"/>
  <c r="W1120" i="1"/>
  <c r="W1114" i="1"/>
  <c r="Y1081" i="1"/>
  <c r="AF1600" i="1"/>
  <c r="AG1600" i="1"/>
  <c r="AH1600" i="1"/>
  <c r="AI1600" i="1"/>
  <c r="AJ1600" i="1"/>
  <c r="AK1600" i="1"/>
  <c r="AL1600" i="1"/>
  <c r="AA1600" i="1"/>
  <c r="AB1600" i="1"/>
  <c r="AD1511" i="1"/>
  <c r="AF1511" i="1"/>
  <c r="AC1511" i="1"/>
  <c r="AB1511" i="1"/>
  <c r="AA1511" i="1"/>
  <c r="AG1599" i="1"/>
  <c r="AF1237" i="1"/>
  <c r="AG1231" i="1"/>
  <c r="AG1421" i="1"/>
  <c r="AG1423" i="1"/>
  <c r="AF1489" i="1"/>
  <c r="AH1133" i="1"/>
  <c r="AI1130" i="1"/>
  <c r="T1125" i="1"/>
  <c r="T1108" i="1"/>
  <c r="T1111" i="1"/>
  <c r="T1119" i="1"/>
  <c r="T1120" i="1"/>
  <c r="T1317" i="1"/>
  <c r="K1073" i="1"/>
  <c r="K1074" i="1" s="1"/>
  <c r="K1076" i="1" s="1"/>
  <c r="K1078" i="1" s="1"/>
  <c r="U1073" i="1"/>
  <c r="O1073" i="1"/>
  <c r="O1074" i="1" s="1"/>
  <c r="O1076" i="1" s="1"/>
  <c r="O1078" i="1" s="1"/>
  <c r="O1099" i="1" s="1"/>
  <c r="O1100" i="1" s="1"/>
  <c r="T1073" i="1"/>
  <c r="T1074" i="1" s="1"/>
  <c r="T1076" i="1" s="1"/>
  <c r="T1078" i="1" s="1"/>
  <c r="T1099" i="1" s="1"/>
  <c r="T1100" i="1" s="1"/>
  <c r="S1073" i="1"/>
  <c r="S1074" i="1" s="1"/>
  <c r="S1076" i="1" s="1"/>
  <c r="S1078" i="1" s="1"/>
  <c r="S1099" i="1" s="1"/>
  <c r="S1100" i="1" s="1"/>
  <c r="M1073" i="1"/>
  <c r="L1073" i="1"/>
  <c r="L1074" i="1" s="1"/>
  <c r="L1076" i="1" s="1"/>
  <c r="L1078" i="1" s="1"/>
  <c r="L1099" i="1" s="1"/>
  <c r="L1100" i="1" s="1"/>
  <c r="V1073" i="1"/>
  <c r="V1074" i="1" s="1"/>
  <c r="V1076" i="1" s="1"/>
  <c r="N1073" i="1"/>
  <c r="N1074" i="1" s="1"/>
  <c r="N1076" i="1" s="1"/>
  <c r="N1078" i="1" s="1"/>
  <c r="N1099" i="1" s="1"/>
  <c r="N1100" i="1" s="1"/>
  <c r="R1073" i="1"/>
  <c r="R1074" i="1" s="1"/>
  <c r="R1076" i="1" s="1"/>
  <c r="R1078" i="1" s="1"/>
  <c r="R1099" i="1" s="1"/>
  <c r="R1100" i="1" s="1"/>
  <c r="J1073" i="1"/>
  <c r="X1073" i="1"/>
  <c r="Y1073" i="1" s="1"/>
  <c r="Q1073" i="1"/>
  <c r="Q1074" i="1" s="1"/>
  <c r="Q1076" i="1" s="1"/>
  <c r="Q1078" i="1" s="1"/>
  <c r="Q1099" i="1" s="1"/>
  <c r="Q1100" i="1" s="1"/>
  <c r="W1073" i="1"/>
  <c r="G1073" i="1"/>
  <c r="P1073" i="1"/>
  <c r="P1074" i="1" s="1"/>
  <c r="P1076" i="1" s="1"/>
  <c r="P1078" i="1" s="1"/>
  <c r="P1099" i="1" s="1"/>
  <c r="P1100" i="1" s="1"/>
  <c r="I1073" i="1"/>
  <c r="H1073" i="1"/>
  <c r="V1170" i="1"/>
  <c r="AE1089" i="1"/>
  <c r="Z1096" i="1"/>
  <c r="Z1081" i="1"/>
  <c r="AC1085" i="1"/>
  <c r="AC1095" i="1"/>
  <c r="AC1173" i="1"/>
  <c r="AC1237" i="1"/>
  <c r="AC1318" i="1"/>
  <c r="AD1231" i="1"/>
  <c r="AD1237" i="1"/>
  <c r="AD1318" i="1"/>
  <c r="AH1281" i="1"/>
  <c r="Y1506" i="1"/>
  <c r="AH1111" i="1"/>
  <c r="AI1109" i="1"/>
  <c r="AF1606" i="1"/>
  <c r="AG1606" i="1"/>
  <c r="AH1606" i="1"/>
  <c r="AI1606" i="1"/>
  <c r="AJ1606" i="1"/>
  <c r="AK1606" i="1"/>
  <c r="AL1606" i="1"/>
  <c r="AA1606" i="1"/>
  <c r="AB1606" i="1"/>
  <c r="AC1606" i="1"/>
  <c r="AD1606" i="1"/>
  <c r="AB1173" i="1"/>
  <c r="AJ1095" i="1"/>
  <c r="AK1085" i="1"/>
  <c r="AA1100" i="1"/>
  <c r="V1119" i="1"/>
  <c r="V1120" i="1"/>
  <c r="V1114" i="1"/>
  <c r="AC1572" i="1"/>
  <c r="AD1604" i="1"/>
  <c r="AE1506" i="1"/>
  <c r="AF1427" i="1"/>
  <c r="AF1429" i="1"/>
  <c r="AH1421" i="1"/>
  <c r="AH1423" i="1"/>
  <c r="AG1489" i="1"/>
  <c r="T1114" i="1"/>
  <c r="AC1600" i="1"/>
  <c r="AD1600" i="1"/>
  <c r="AI1103" i="1"/>
  <c r="AI1168" i="1"/>
  <c r="AG1112" i="1"/>
  <c r="AH1112" i="1"/>
  <c r="AI1112" i="1"/>
  <c r="AJ1112" i="1"/>
  <c r="AK1112" i="1"/>
  <c r="AL1112" i="1"/>
  <c r="AC1112" i="1"/>
  <c r="AD1112" i="1"/>
  <c r="AC1232" i="1"/>
  <c r="U1317" i="1"/>
  <c r="U1122" i="1"/>
  <c r="AI1490" i="1"/>
  <c r="AI1599" i="1"/>
  <c r="W1317" i="1"/>
  <c r="W1122" i="1"/>
  <c r="AE1593" i="1"/>
  <c r="AG1511" i="1"/>
  <c r="AE1433" i="1"/>
  <c r="AE1437" i="1"/>
  <c r="Z1505" i="1"/>
  <c r="Y1505" i="1"/>
  <c r="Z1439" i="1"/>
  <c r="Z1436" i="1"/>
  <c r="AA1168" i="1"/>
  <c r="O1114" i="1"/>
  <c r="AH1100" i="1"/>
  <c r="AH1158" i="1"/>
  <c r="AH1168" i="1"/>
  <c r="AL1179" i="1"/>
  <c r="AA1607" i="1"/>
  <c r="AB1607" i="1"/>
  <c r="AC1607" i="1"/>
  <c r="AF1607" i="1"/>
  <c r="AG1607" i="1"/>
  <c r="AH1607" i="1"/>
  <c r="AI1607" i="1"/>
  <c r="AJ1607" i="1"/>
  <c r="AK1607" i="1"/>
  <c r="AL1607" i="1"/>
  <c r="AJ1130" i="1"/>
  <c r="AI1133" i="1"/>
  <c r="AG1237" i="1"/>
  <c r="AH1231" i="1"/>
  <c r="AD1130" i="1"/>
  <c r="AD1133" i="1"/>
  <c r="AK1178" i="1"/>
  <c r="AF1114" i="1"/>
  <c r="I1072" i="1"/>
  <c r="G1072" i="1"/>
  <c r="H1072" i="1"/>
  <c r="J1072" i="1"/>
  <c r="V1180" i="1"/>
  <c r="V1181" i="1"/>
  <c r="V1188" i="1"/>
  <c r="AJ1089" i="1"/>
  <c r="AJ1096" i="1"/>
  <c r="AB1089" i="1"/>
  <c r="AE1081" i="1"/>
  <c r="AD1089" i="1"/>
  <c r="AI1089" i="1"/>
  <c r="AA1089" i="1"/>
  <c r="AC1089" i="1"/>
  <c r="AH1089" i="1"/>
  <c r="AE1096" i="1"/>
  <c r="AC1096" i="1"/>
  <c r="AC1097" i="1"/>
  <c r="AD1085" i="1"/>
  <c r="AD1095" i="1"/>
  <c r="AG1114" i="1"/>
  <c r="AB1100" i="1"/>
  <c r="AB1158" i="1"/>
  <c r="AB1103" i="1"/>
  <c r="AI1281" i="1"/>
  <c r="AK1130" i="1"/>
  <c r="AJ1133" i="1"/>
  <c r="AL1178" i="1"/>
  <c r="Z1104" i="1"/>
  <c r="AC1104" i="1"/>
  <c r="Z1105" i="1"/>
  <c r="Z1183" i="1"/>
  <c r="AE1183" i="1"/>
  <c r="AH1511" i="1"/>
  <c r="V1317" i="1"/>
  <c r="V1122" i="1"/>
  <c r="AE1505" i="1"/>
  <c r="AF1433" i="1"/>
  <c r="AF1437" i="1"/>
  <c r="AE1439" i="1"/>
  <c r="AE1436" i="1"/>
  <c r="AD1607" i="1"/>
  <c r="AA1158" i="1"/>
  <c r="X1162" i="1"/>
  <c r="AA1593" i="1"/>
  <c r="AD1593" i="1"/>
  <c r="AB1593" i="1"/>
  <c r="AC1593" i="1"/>
  <c r="AF1593" i="1"/>
  <c r="AG1593" i="1"/>
  <c r="AH1593" i="1"/>
  <c r="AI1593" i="1"/>
  <c r="AJ1593" i="1"/>
  <c r="AK1593" i="1"/>
  <c r="AL1593" i="1"/>
  <c r="AA1506" i="1"/>
  <c r="AC1506" i="1"/>
  <c r="AD1506" i="1"/>
  <c r="AB1506" i="1"/>
  <c r="AJ1173" i="1"/>
  <c r="AI1111" i="1"/>
  <c r="AJ1109" i="1"/>
  <c r="AH1114" i="1"/>
  <c r="Z1604" i="1"/>
  <c r="AH1489" i="1"/>
  <c r="AI1421" i="1"/>
  <c r="AI1423" i="1"/>
  <c r="AC1100" i="1"/>
  <c r="AC1158" i="1"/>
  <c r="AC1103" i="1"/>
  <c r="AC1168" i="1"/>
  <c r="AJ1490" i="1"/>
  <c r="AG1427" i="1"/>
  <c r="AG1429" i="1"/>
  <c r="AF1506" i="1"/>
  <c r="AH1237" i="1"/>
  <c r="AI1231" i="1"/>
  <c r="AD1232" i="1"/>
  <c r="X1255" i="1"/>
  <c r="AD1572" i="1"/>
  <c r="AE1572" i="1"/>
  <c r="AK1095" i="1"/>
  <c r="AL1085" i="1"/>
  <c r="AL1095" i="1"/>
  <c r="V1059" i="1"/>
  <c r="U1059" i="1"/>
  <c r="S1059" i="1"/>
  <c r="R1059" i="1"/>
  <c r="Q1059" i="1"/>
  <c r="P1059" i="1"/>
  <c r="N1059" i="1"/>
  <c r="M1059" i="1"/>
  <c r="L1059" i="1"/>
  <c r="K1059" i="1"/>
  <c r="V1057" i="1"/>
  <c r="U1057" i="1"/>
  <c r="S1057" i="1"/>
  <c r="R1057" i="1"/>
  <c r="Q1057" i="1"/>
  <c r="P1057" i="1"/>
  <c r="N1057" i="1"/>
  <c r="M1057" i="1"/>
  <c r="L1057" i="1"/>
  <c r="K1057" i="1"/>
  <c r="T1047" i="1"/>
  <c r="O1047" i="1"/>
  <c r="T1045" i="1"/>
  <c r="O1045" i="1"/>
  <c r="T1044" i="1"/>
  <c r="O1044" i="1"/>
  <c r="T1043" i="1"/>
  <c r="O1043" i="1"/>
  <c r="W1039" i="1"/>
  <c r="V1039" i="1"/>
  <c r="U1039" i="1"/>
  <c r="T1039" i="1"/>
  <c r="S1039" i="1"/>
  <c r="R1039" i="1"/>
  <c r="Q1039" i="1"/>
  <c r="P1039" i="1"/>
  <c r="O1039" i="1"/>
  <c r="N1039" i="1"/>
  <c r="M1039" i="1"/>
  <c r="L1039" i="1"/>
  <c r="K1039" i="1"/>
  <c r="AE1033" i="1"/>
  <c r="T1033" i="1"/>
  <c r="T1057" i="1"/>
  <c r="O1033" i="1"/>
  <c r="O1057" i="1"/>
  <c r="AE1032" i="1"/>
  <c r="T1032" i="1"/>
  <c r="O1032" i="1"/>
  <c r="O1059" i="1"/>
  <c r="W1030" i="1"/>
  <c r="V1030" i="1"/>
  <c r="U1030" i="1"/>
  <c r="T1030" i="1"/>
  <c r="S1030" i="1"/>
  <c r="R1030" i="1"/>
  <c r="Q1030" i="1"/>
  <c r="P1030" i="1"/>
  <c r="O1030" i="1"/>
  <c r="N1030" i="1"/>
  <c r="M1030" i="1"/>
  <c r="L1030" i="1"/>
  <c r="K1030" i="1"/>
  <c r="X1029" i="1"/>
  <c r="W1029" i="1"/>
  <c r="V1029" i="1"/>
  <c r="U1029" i="1"/>
  <c r="T1029" i="1"/>
  <c r="S1029" i="1"/>
  <c r="R1029" i="1"/>
  <c r="Q1029" i="1"/>
  <c r="P1029" i="1"/>
  <c r="O1029" i="1"/>
  <c r="N1029" i="1"/>
  <c r="M1029" i="1"/>
  <c r="L1029" i="1"/>
  <c r="K1029" i="1"/>
  <c r="U1027" i="1"/>
  <c r="T1027" i="1"/>
  <c r="S1027" i="1"/>
  <c r="R1027" i="1"/>
  <c r="Q1027" i="1"/>
  <c r="P1027" i="1"/>
  <c r="P1034" i="1"/>
  <c r="O1027" i="1"/>
  <c r="N1027" i="1"/>
  <c r="M1027" i="1"/>
  <c r="L1027" i="1"/>
  <c r="K1027" i="1"/>
  <c r="T1018" i="1"/>
  <c r="S1018" i="1"/>
  <c r="O1018" i="1"/>
  <c r="V1012" i="1"/>
  <c r="Q1012" i="1"/>
  <c r="P1012" i="1"/>
  <c r="L1012" i="1"/>
  <c r="K1012" i="1"/>
  <c r="J1012" i="1"/>
  <c r="I1012" i="1"/>
  <c r="H1012" i="1"/>
  <c r="G1012" i="1"/>
  <c r="V1006" i="1"/>
  <c r="U1006" i="1"/>
  <c r="T1006" i="1"/>
  <c r="S1006" i="1"/>
  <c r="S1546" i="1"/>
  <c r="R1006" i="1"/>
  <c r="Q1006" i="1"/>
  <c r="P1006" i="1"/>
  <c r="O1006" i="1"/>
  <c r="N1006" i="1"/>
  <c r="N1546" i="1"/>
  <c r="M1006" i="1"/>
  <c r="L1006" i="1"/>
  <c r="K1006" i="1"/>
  <c r="J1006" i="1"/>
  <c r="I1006" i="1"/>
  <c r="H1006" i="1"/>
  <c r="G1006" i="1"/>
  <c r="AE1005" i="1"/>
  <c r="AF1005" i="1"/>
  <c r="AG1005" i="1"/>
  <c r="AH1005" i="1"/>
  <c r="AI1005" i="1"/>
  <c r="AJ1005" i="1"/>
  <c r="AK1005" i="1"/>
  <c r="AL1005" i="1"/>
  <c r="X1005" i="1"/>
  <c r="Y1005" i="1"/>
  <c r="Z1004" i="1"/>
  <c r="W1004" i="1"/>
  <c r="W1006" i="1"/>
  <c r="AE1003" i="1"/>
  <c r="AF1003" i="1"/>
  <c r="AG1003" i="1"/>
  <c r="AH1003" i="1"/>
  <c r="AI1003" i="1"/>
  <c r="AJ1003" i="1"/>
  <c r="AK1003" i="1"/>
  <c r="AL1003" i="1"/>
  <c r="X1003" i="1"/>
  <c r="Y1003" i="1"/>
  <c r="AE1002" i="1"/>
  <c r="AF1002" i="1"/>
  <c r="AG1002" i="1"/>
  <c r="AH1002" i="1"/>
  <c r="AI1002" i="1"/>
  <c r="AJ1002" i="1"/>
  <c r="AK1002" i="1"/>
  <c r="AL1002" i="1"/>
  <c r="AE1001" i="1"/>
  <c r="X1001" i="1"/>
  <c r="Y1001" i="1"/>
  <c r="U993" i="1"/>
  <c r="P993" i="1"/>
  <c r="K993" i="1"/>
  <c r="J993" i="1"/>
  <c r="I993" i="1"/>
  <c r="H993" i="1"/>
  <c r="AE980" i="1"/>
  <c r="AB980" i="1"/>
  <c r="Y980" i="1"/>
  <c r="W980" i="1"/>
  <c r="AE978" i="1"/>
  <c r="O978" i="1"/>
  <c r="AE977" i="1"/>
  <c r="AA977" i="1"/>
  <c r="X1275" i="1"/>
  <c r="O977" i="1"/>
  <c r="AF975" i="1"/>
  <c r="AG975" i="1"/>
  <c r="AH975" i="1"/>
  <c r="AI975" i="1"/>
  <c r="AJ975" i="1"/>
  <c r="AK975" i="1"/>
  <c r="AL975" i="1"/>
  <c r="AD975" i="1"/>
  <c r="AC975" i="1"/>
  <c r="AC1270" i="1"/>
  <c r="AB975" i="1"/>
  <c r="AB1270" i="1"/>
  <c r="AA975" i="1"/>
  <c r="R975" i="1"/>
  <c r="S975" i="1"/>
  <c r="O975" i="1"/>
  <c r="O974" i="1"/>
  <c r="L970" i="1"/>
  <c r="K970" i="1"/>
  <c r="W969" i="1"/>
  <c r="V969" i="1"/>
  <c r="U969" i="1"/>
  <c r="T969" i="1"/>
  <c r="S969" i="1"/>
  <c r="R969" i="1"/>
  <c r="Q969" i="1"/>
  <c r="P969" i="1"/>
  <c r="O969" i="1"/>
  <c r="N969" i="1"/>
  <c r="M969" i="1"/>
  <c r="L969" i="1"/>
  <c r="K969" i="1"/>
  <c r="J969" i="1"/>
  <c r="I969" i="1"/>
  <c r="H969" i="1"/>
  <c r="G969" i="1"/>
  <c r="W968" i="1"/>
  <c r="V968" i="1"/>
  <c r="U968" i="1"/>
  <c r="T968" i="1"/>
  <c r="S968" i="1"/>
  <c r="R968" i="1"/>
  <c r="Q968" i="1"/>
  <c r="P968" i="1"/>
  <c r="O968" i="1"/>
  <c r="N968" i="1"/>
  <c r="M968" i="1"/>
  <c r="L968" i="1"/>
  <c r="K968" i="1"/>
  <c r="J968" i="1"/>
  <c r="I968" i="1"/>
  <c r="H968" i="1"/>
  <c r="G968" i="1"/>
  <c r="W967" i="1"/>
  <c r="V967" i="1"/>
  <c r="U967" i="1"/>
  <c r="T967" i="1"/>
  <c r="S967" i="1"/>
  <c r="R967" i="1"/>
  <c r="Q967" i="1"/>
  <c r="P967" i="1"/>
  <c r="O967" i="1"/>
  <c r="N967" i="1"/>
  <c r="M967" i="1"/>
  <c r="L967" i="1"/>
  <c r="K967" i="1"/>
  <c r="J967" i="1"/>
  <c r="I967" i="1"/>
  <c r="H967" i="1"/>
  <c r="G967" i="1"/>
  <c r="V966" i="1"/>
  <c r="V1254" i="1"/>
  <c r="U966" i="1"/>
  <c r="T966" i="1"/>
  <c r="T1254" i="1"/>
  <c r="S966" i="1"/>
  <c r="R966" i="1"/>
  <c r="R1254" i="1"/>
  <c r="Q966" i="1"/>
  <c r="Q1254" i="1"/>
  <c r="P966" i="1"/>
  <c r="P1254" i="1"/>
  <c r="O966" i="1"/>
  <c r="O1254" i="1"/>
  <c r="N966" i="1"/>
  <c r="N1254" i="1"/>
  <c r="M966" i="1"/>
  <c r="L966" i="1"/>
  <c r="L1254" i="1"/>
  <c r="K966" i="1"/>
  <c r="J966" i="1"/>
  <c r="J1254" i="1"/>
  <c r="I966" i="1"/>
  <c r="I1254" i="1"/>
  <c r="H966" i="1"/>
  <c r="H1254" i="1"/>
  <c r="G966" i="1"/>
  <c r="G1254" i="1"/>
  <c r="X964" i="1"/>
  <c r="X1031" i="1"/>
  <c r="W964" i="1"/>
  <c r="W1040" i="1"/>
  <c r="V964" i="1"/>
  <c r="U964" i="1"/>
  <c r="T964" i="1"/>
  <c r="T1031" i="1"/>
  <c r="S964" i="1"/>
  <c r="R964" i="1"/>
  <c r="Q964" i="1"/>
  <c r="Q1031" i="1"/>
  <c r="P964" i="1"/>
  <c r="P1031" i="1"/>
  <c r="O964" i="1"/>
  <c r="O1040" i="1"/>
  <c r="N964" i="1"/>
  <c r="M964" i="1"/>
  <c r="L964" i="1"/>
  <c r="L1031" i="1"/>
  <c r="K964" i="1"/>
  <c r="J964" i="1"/>
  <c r="I964" i="1"/>
  <c r="H964" i="1"/>
  <c r="G964" i="1"/>
  <c r="X953" i="1"/>
  <c r="W953" i="1"/>
  <c r="V953" i="1"/>
  <c r="U953" i="1"/>
  <c r="T953" i="1"/>
  <c r="S953" i="1"/>
  <c r="R953" i="1"/>
  <c r="Q953" i="1"/>
  <c r="P953" i="1"/>
  <c r="O953" i="1"/>
  <c r="N953" i="1"/>
  <c r="M953" i="1"/>
  <c r="L953" i="1"/>
  <c r="K953" i="1"/>
  <c r="J953" i="1"/>
  <c r="I953" i="1"/>
  <c r="H953" i="1"/>
  <c r="G953" i="1"/>
  <c r="X952" i="1"/>
  <c r="W952" i="1"/>
  <c r="V952" i="1"/>
  <c r="U952" i="1"/>
  <c r="T952" i="1"/>
  <c r="S952" i="1"/>
  <c r="R952" i="1"/>
  <c r="Q952" i="1"/>
  <c r="P952" i="1"/>
  <c r="O952" i="1"/>
  <c r="N952" i="1"/>
  <c r="M952" i="1"/>
  <c r="L952" i="1"/>
  <c r="K952" i="1"/>
  <c r="J952" i="1"/>
  <c r="I952" i="1"/>
  <c r="H952" i="1"/>
  <c r="G952" i="1"/>
  <c r="X951" i="1"/>
  <c r="W951" i="1"/>
  <c r="V951" i="1"/>
  <c r="U951" i="1"/>
  <c r="T951" i="1"/>
  <c r="S951" i="1"/>
  <c r="R951" i="1"/>
  <c r="Q951" i="1"/>
  <c r="P951" i="1"/>
  <c r="O951" i="1"/>
  <c r="N951" i="1"/>
  <c r="M951" i="1"/>
  <c r="L951" i="1"/>
  <c r="K951" i="1"/>
  <c r="J951" i="1"/>
  <c r="I951" i="1"/>
  <c r="H951" i="1"/>
  <c r="G951" i="1"/>
  <c r="X950" i="1"/>
  <c r="W950" i="1"/>
  <c r="V950" i="1"/>
  <c r="U950" i="1"/>
  <c r="T950" i="1"/>
  <c r="S950" i="1"/>
  <c r="R950" i="1"/>
  <c r="Q950" i="1"/>
  <c r="P950" i="1"/>
  <c r="O950" i="1"/>
  <c r="N950" i="1"/>
  <c r="M950" i="1"/>
  <c r="L950" i="1"/>
  <c r="K950" i="1"/>
  <c r="J950" i="1"/>
  <c r="I950" i="1"/>
  <c r="H950" i="1"/>
  <c r="G950" i="1"/>
  <c r="X949" i="1"/>
  <c r="W949" i="1"/>
  <c r="V949" i="1"/>
  <c r="U949" i="1"/>
  <c r="T949" i="1"/>
  <c r="S949" i="1"/>
  <c r="R949" i="1"/>
  <c r="Q949" i="1"/>
  <c r="P949" i="1"/>
  <c r="O949" i="1"/>
  <c r="N949" i="1"/>
  <c r="M949" i="1"/>
  <c r="L949" i="1"/>
  <c r="K949" i="1"/>
  <c r="J949" i="1"/>
  <c r="I949" i="1"/>
  <c r="H949" i="1"/>
  <c r="G949" i="1"/>
  <c r="X948" i="1"/>
  <c r="W948" i="1"/>
  <c r="V948" i="1"/>
  <c r="U948" i="1"/>
  <c r="S948" i="1"/>
  <c r="R948" i="1"/>
  <c r="Q948" i="1"/>
  <c r="P948" i="1"/>
  <c r="P1052" i="1"/>
  <c r="O948" i="1"/>
  <c r="N948" i="1"/>
  <c r="M948" i="1"/>
  <c r="L948" i="1"/>
  <c r="K948" i="1"/>
  <c r="J948" i="1"/>
  <c r="I948" i="1"/>
  <c r="H948" i="1"/>
  <c r="G948" i="1"/>
  <c r="X944" i="1"/>
  <c r="W944" i="1"/>
  <c r="V944" i="1"/>
  <c r="U944" i="1"/>
  <c r="T944" i="1"/>
  <c r="S944" i="1"/>
  <c r="R944" i="1"/>
  <c r="Q944" i="1"/>
  <c r="P944" i="1"/>
  <c r="O944" i="1"/>
  <c r="N944" i="1"/>
  <c r="M944" i="1"/>
  <c r="L944" i="1"/>
  <c r="K944" i="1"/>
  <c r="J944" i="1"/>
  <c r="I944" i="1"/>
  <c r="H944" i="1"/>
  <c r="G944" i="1"/>
  <c r="X943" i="1"/>
  <c r="W943" i="1"/>
  <c r="V943" i="1"/>
  <c r="U943" i="1"/>
  <c r="T943" i="1"/>
  <c r="S943" i="1"/>
  <c r="R943" i="1"/>
  <c r="Q943" i="1"/>
  <c r="P943" i="1"/>
  <c r="O943" i="1"/>
  <c r="N943" i="1"/>
  <c r="M943" i="1"/>
  <c r="L943" i="1"/>
  <c r="K943" i="1"/>
  <c r="J943" i="1"/>
  <c r="I943" i="1"/>
  <c r="H943" i="1"/>
  <c r="G943" i="1"/>
  <c r="X942" i="1"/>
  <c r="W942" i="1"/>
  <c r="V942" i="1"/>
  <c r="U942" i="1"/>
  <c r="T942" i="1"/>
  <c r="S942" i="1"/>
  <c r="R942" i="1"/>
  <c r="Q942" i="1"/>
  <c r="P942" i="1"/>
  <c r="O942" i="1"/>
  <c r="N942" i="1"/>
  <c r="M942" i="1"/>
  <c r="L942" i="1"/>
  <c r="K942" i="1"/>
  <c r="J942" i="1"/>
  <c r="I942" i="1"/>
  <c r="H942" i="1"/>
  <c r="G942" i="1"/>
  <c r="X941" i="1"/>
  <c r="W941" i="1"/>
  <c r="V941" i="1"/>
  <c r="U941" i="1"/>
  <c r="T941" i="1"/>
  <c r="S941" i="1"/>
  <c r="R941" i="1"/>
  <c r="Q941" i="1"/>
  <c r="P941" i="1"/>
  <c r="O941" i="1"/>
  <c r="N941" i="1"/>
  <c r="M941" i="1"/>
  <c r="L941" i="1"/>
  <c r="K941" i="1"/>
  <c r="J941" i="1"/>
  <c r="J990" i="1"/>
  <c r="I941" i="1"/>
  <c r="I990" i="1"/>
  <c r="H941" i="1"/>
  <c r="G941" i="1"/>
  <c r="X940" i="1"/>
  <c r="W940" i="1"/>
  <c r="V940" i="1"/>
  <c r="U940" i="1"/>
  <c r="T940" i="1"/>
  <c r="S940" i="1"/>
  <c r="R940" i="1"/>
  <c r="Q940" i="1"/>
  <c r="P940" i="1"/>
  <c r="O940" i="1"/>
  <c r="N940" i="1"/>
  <c r="M940" i="1"/>
  <c r="L940" i="1"/>
  <c r="K940" i="1"/>
  <c r="J940" i="1"/>
  <c r="I940" i="1"/>
  <c r="H940" i="1"/>
  <c r="G940" i="1"/>
  <c r="X938" i="1"/>
  <c r="W938" i="1"/>
  <c r="T938" i="1"/>
  <c r="S938" i="1"/>
  <c r="R938" i="1"/>
  <c r="Q938" i="1"/>
  <c r="P938" i="1"/>
  <c r="O938" i="1"/>
  <c r="N938" i="1"/>
  <c r="M938" i="1"/>
  <c r="L938" i="1"/>
  <c r="K938" i="1"/>
  <c r="J938" i="1"/>
  <c r="J991" i="1"/>
  <c r="I938" i="1"/>
  <c r="H938" i="1"/>
  <c r="G938" i="1"/>
  <c r="P928" i="1"/>
  <c r="K928" i="1"/>
  <c r="J928" i="1"/>
  <c r="I928" i="1"/>
  <c r="H928" i="1"/>
  <c r="G928" i="1"/>
  <c r="AE926" i="1"/>
  <c r="Z926" i="1"/>
  <c r="P926" i="1"/>
  <c r="K926" i="1"/>
  <c r="J926" i="1"/>
  <c r="I926" i="1"/>
  <c r="H926" i="1"/>
  <c r="G926" i="1"/>
  <c r="G939" i="1"/>
  <c r="S920" i="1"/>
  <c r="S970" i="1"/>
  <c r="R920" i="1"/>
  <c r="R970" i="1"/>
  <c r="Q920" i="1"/>
  <c r="Q970" i="1"/>
  <c r="P920" i="1"/>
  <c r="P970" i="1"/>
  <c r="O920" i="1"/>
  <c r="O970" i="1"/>
  <c r="N920" i="1"/>
  <c r="N970" i="1"/>
  <c r="M920" i="1"/>
  <c r="M970" i="1"/>
  <c r="L920" i="1"/>
  <c r="K920" i="1"/>
  <c r="J920" i="1"/>
  <c r="J970" i="1"/>
  <c r="I920" i="1"/>
  <c r="I970" i="1"/>
  <c r="H920" i="1"/>
  <c r="H970" i="1"/>
  <c r="G920" i="1"/>
  <c r="G970" i="1"/>
  <c r="V970" i="1"/>
  <c r="U919" i="1"/>
  <c r="U920" i="1"/>
  <c r="U970" i="1"/>
  <c r="W918" i="1"/>
  <c r="R918" i="1"/>
  <c r="Q918" i="1"/>
  <c r="P918" i="1"/>
  <c r="O918" i="1"/>
  <c r="N918" i="1"/>
  <c r="M918" i="1"/>
  <c r="L918" i="1"/>
  <c r="J918" i="1"/>
  <c r="I918" i="1"/>
  <c r="H918" i="1"/>
  <c r="G918" i="1"/>
  <c r="AE917" i="1"/>
  <c r="AF917" i="1"/>
  <c r="AG917" i="1"/>
  <c r="AH917" i="1"/>
  <c r="AI917" i="1"/>
  <c r="AJ917" i="1"/>
  <c r="AK917" i="1"/>
  <c r="AL917" i="1"/>
  <c r="AA1039" i="1"/>
  <c r="AE916" i="1"/>
  <c r="T907" i="1"/>
  <c r="R907" i="1"/>
  <c r="Q906" i="1"/>
  <c r="O906" i="1"/>
  <c r="U905" i="1"/>
  <c r="P905" i="1"/>
  <c r="K905" i="1"/>
  <c r="J905" i="1"/>
  <c r="U904" i="1"/>
  <c r="P904" i="1"/>
  <c r="K904" i="1"/>
  <c r="J904" i="1"/>
  <c r="O898" i="1"/>
  <c r="L898" i="1"/>
  <c r="I898" i="1"/>
  <c r="N894" i="1"/>
  <c r="N899" i="1"/>
  <c r="K894" i="1"/>
  <c r="K899" i="1"/>
  <c r="H894" i="1"/>
  <c r="W893" i="1"/>
  <c r="W894" i="1"/>
  <c r="V893" i="1"/>
  <c r="V894" i="1"/>
  <c r="U893" i="1"/>
  <c r="U894" i="1"/>
  <c r="U899" i="1"/>
  <c r="S893" i="1"/>
  <c r="S894" i="1"/>
  <c r="S899" i="1"/>
  <c r="R893" i="1"/>
  <c r="R894" i="1"/>
  <c r="R899" i="1"/>
  <c r="Q893" i="1"/>
  <c r="Q894" i="1"/>
  <c r="Q899" i="1"/>
  <c r="P893" i="1"/>
  <c r="P894" i="1"/>
  <c r="P899" i="1"/>
  <c r="O893" i="1"/>
  <c r="O894" i="1"/>
  <c r="O899" i="1"/>
  <c r="N893" i="1"/>
  <c r="M893" i="1"/>
  <c r="M894" i="1"/>
  <c r="M899" i="1"/>
  <c r="L893" i="1"/>
  <c r="L894" i="1"/>
  <c r="L899" i="1"/>
  <c r="K893" i="1"/>
  <c r="J893" i="1"/>
  <c r="J894" i="1"/>
  <c r="J899" i="1"/>
  <c r="I893" i="1"/>
  <c r="I894" i="1"/>
  <c r="I899" i="1"/>
  <c r="H893" i="1"/>
  <c r="G893" i="1"/>
  <c r="G894" i="1"/>
  <c r="W892" i="1"/>
  <c r="V892" i="1"/>
  <c r="U892" i="1"/>
  <c r="U898" i="1"/>
  <c r="T892" i="1"/>
  <c r="T898" i="1"/>
  <c r="S892" i="1"/>
  <c r="S898" i="1"/>
  <c r="R892" i="1"/>
  <c r="R898" i="1"/>
  <c r="Q892" i="1"/>
  <c r="Q898" i="1"/>
  <c r="P892" i="1"/>
  <c r="P898" i="1"/>
  <c r="O892" i="1"/>
  <c r="N892" i="1"/>
  <c r="N898" i="1"/>
  <c r="M892" i="1"/>
  <c r="M898" i="1"/>
  <c r="L892" i="1"/>
  <c r="K892" i="1"/>
  <c r="K898" i="1"/>
  <c r="J892" i="1"/>
  <c r="J898" i="1"/>
  <c r="I892" i="1"/>
  <c r="H892" i="1"/>
  <c r="G892" i="1"/>
  <c r="H891" i="1"/>
  <c r="G891" i="1"/>
  <c r="S887" i="1"/>
  <c r="O887" i="1"/>
  <c r="L887" i="1"/>
  <c r="W886" i="1"/>
  <c r="W887" i="1"/>
  <c r="V886" i="1"/>
  <c r="V887" i="1"/>
  <c r="U886" i="1"/>
  <c r="U887" i="1"/>
  <c r="T886" i="1"/>
  <c r="T906" i="1"/>
  <c r="S886" i="1"/>
  <c r="S906" i="1"/>
  <c r="R886" i="1"/>
  <c r="R887" i="1"/>
  <c r="Q886" i="1"/>
  <c r="Q887" i="1"/>
  <c r="P886" i="1"/>
  <c r="P906" i="1"/>
  <c r="O886" i="1"/>
  <c r="N886" i="1"/>
  <c r="N906" i="1"/>
  <c r="M886" i="1"/>
  <c r="M906" i="1"/>
  <c r="L886" i="1"/>
  <c r="L906" i="1"/>
  <c r="K886" i="1"/>
  <c r="K906" i="1"/>
  <c r="J886" i="1"/>
  <c r="J887" i="1"/>
  <c r="I886" i="1"/>
  <c r="I887" i="1"/>
  <c r="H886" i="1"/>
  <c r="H887" i="1"/>
  <c r="G886" i="1"/>
  <c r="G887" i="1"/>
  <c r="W885" i="1"/>
  <c r="V885" i="1"/>
  <c r="U885" i="1"/>
  <c r="U907" i="1"/>
  <c r="T885" i="1"/>
  <c r="S885" i="1"/>
  <c r="S907" i="1"/>
  <c r="R885" i="1"/>
  <c r="Q885" i="1"/>
  <c r="Q907" i="1"/>
  <c r="P885" i="1"/>
  <c r="P907" i="1"/>
  <c r="O885" i="1"/>
  <c r="O907" i="1"/>
  <c r="N885" i="1"/>
  <c r="N907" i="1"/>
  <c r="M885" i="1"/>
  <c r="M907" i="1"/>
  <c r="L885" i="1"/>
  <c r="L907" i="1"/>
  <c r="K885" i="1"/>
  <c r="K907" i="1"/>
  <c r="J885" i="1"/>
  <c r="J907" i="1"/>
  <c r="I885" i="1"/>
  <c r="I907" i="1"/>
  <c r="H885" i="1"/>
  <c r="G885" i="1"/>
  <c r="Y874" i="1"/>
  <c r="X874" i="1"/>
  <c r="W874" i="1"/>
  <c r="J872" i="1"/>
  <c r="U871" i="1"/>
  <c r="P871" i="1"/>
  <c r="K871" i="1"/>
  <c r="J871" i="1"/>
  <c r="I871" i="1"/>
  <c r="H871" i="1"/>
  <c r="G871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T869" i="1"/>
  <c r="G869" i="1"/>
  <c r="U868" i="1"/>
  <c r="U869" i="1"/>
  <c r="T868" i="1"/>
  <c r="S868" i="1"/>
  <c r="S869" i="1"/>
  <c r="R868" i="1"/>
  <c r="R869" i="1"/>
  <c r="Q868" i="1"/>
  <c r="Q869" i="1"/>
  <c r="P868" i="1"/>
  <c r="P869" i="1"/>
  <c r="O868" i="1"/>
  <c r="O869" i="1"/>
  <c r="N868" i="1"/>
  <c r="N869" i="1"/>
  <c r="M868" i="1"/>
  <c r="M869" i="1"/>
  <c r="L868" i="1"/>
  <c r="L869" i="1"/>
  <c r="K868" i="1"/>
  <c r="K869" i="1"/>
  <c r="J868" i="1"/>
  <c r="J869" i="1"/>
  <c r="I868" i="1"/>
  <c r="I869" i="1"/>
  <c r="H868" i="1"/>
  <c r="H869" i="1"/>
  <c r="G868" i="1"/>
  <c r="Y864" i="1"/>
  <c r="X864" i="1"/>
  <c r="W864" i="1"/>
  <c r="W878" i="1"/>
  <c r="W879" i="1"/>
  <c r="V860" i="1"/>
  <c r="U860" i="1"/>
  <c r="S860" i="1"/>
  <c r="R860" i="1"/>
  <c r="Q860" i="1"/>
  <c r="P860" i="1"/>
  <c r="O860" i="1"/>
  <c r="N860" i="1"/>
  <c r="M860" i="1"/>
  <c r="L860" i="1"/>
  <c r="K860" i="1"/>
  <c r="J860" i="1"/>
  <c r="I860" i="1"/>
  <c r="H860" i="1"/>
  <c r="G860" i="1"/>
  <c r="R859" i="1"/>
  <c r="J859" i="1"/>
  <c r="U858" i="1"/>
  <c r="U859" i="1"/>
  <c r="T858" i="1"/>
  <c r="S858" i="1"/>
  <c r="S859" i="1"/>
  <c r="R858" i="1"/>
  <c r="Q858" i="1"/>
  <c r="Q859" i="1"/>
  <c r="P858" i="1"/>
  <c r="P859" i="1"/>
  <c r="O858" i="1"/>
  <c r="O859" i="1"/>
  <c r="N858" i="1"/>
  <c r="N859" i="1"/>
  <c r="M858" i="1"/>
  <c r="M859" i="1"/>
  <c r="L858" i="1"/>
  <c r="L859" i="1"/>
  <c r="K858" i="1"/>
  <c r="K859" i="1"/>
  <c r="J858" i="1"/>
  <c r="I858" i="1"/>
  <c r="I859" i="1"/>
  <c r="H858" i="1"/>
  <c r="H859" i="1"/>
  <c r="G858" i="1"/>
  <c r="G859" i="1"/>
  <c r="U853" i="1"/>
  <c r="S853" i="1"/>
  <c r="R853" i="1"/>
  <c r="Q853" i="1"/>
  <c r="P853" i="1"/>
  <c r="O853" i="1"/>
  <c r="N853" i="1"/>
  <c r="M853" i="1"/>
  <c r="L853" i="1"/>
  <c r="K853" i="1"/>
  <c r="J853" i="1"/>
  <c r="I853" i="1"/>
  <c r="H853" i="1"/>
  <c r="G853" i="1"/>
  <c r="AF849" i="1"/>
  <c r="AE849" i="1"/>
  <c r="Z849" i="1"/>
  <c r="T849" i="1"/>
  <c r="T948" i="1"/>
  <c r="U818" i="1"/>
  <c r="P818" i="1"/>
  <c r="K818" i="1"/>
  <c r="J818" i="1"/>
  <c r="I818" i="1"/>
  <c r="H818" i="1"/>
  <c r="AE817" i="1"/>
  <c r="Z817" i="1"/>
  <c r="U817" i="1"/>
  <c r="P817" i="1"/>
  <c r="K817" i="1"/>
  <c r="J817" i="1"/>
  <c r="I817" i="1"/>
  <c r="H817" i="1"/>
  <c r="T816" i="1"/>
  <c r="S816" i="1"/>
  <c r="R816" i="1"/>
  <c r="Q816" i="1"/>
  <c r="O816" i="1"/>
  <c r="N816" i="1"/>
  <c r="M816" i="1"/>
  <c r="L816" i="1"/>
  <c r="T815" i="1"/>
  <c r="S815" i="1"/>
  <c r="R815" i="1"/>
  <c r="Q815" i="1"/>
  <c r="O815" i="1"/>
  <c r="N815" i="1"/>
  <c r="M815" i="1"/>
  <c r="L815" i="1"/>
  <c r="AD814" i="1"/>
  <c r="AD754" i="1"/>
  <c r="W814" i="1"/>
  <c r="V814" i="1"/>
  <c r="T814" i="1"/>
  <c r="S814" i="1"/>
  <c r="R814" i="1"/>
  <c r="Q814" i="1"/>
  <c r="O814" i="1"/>
  <c r="N814" i="1"/>
  <c r="M814" i="1"/>
  <c r="L814" i="1"/>
  <c r="AD813" i="1"/>
  <c r="AD753" i="1"/>
  <c r="W813" i="1"/>
  <c r="V813" i="1"/>
  <c r="T813" i="1"/>
  <c r="S813" i="1"/>
  <c r="R813" i="1"/>
  <c r="Q813" i="1"/>
  <c r="O813" i="1"/>
  <c r="N813" i="1"/>
  <c r="M813" i="1"/>
  <c r="L813" i="1"/>
  <c r="N810" i="1"/>
  <c r="M810" i="1"/>
  <c r="J810" i="1"/>
  <c r="O809" i="1"/>
  <c r="N809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H806" i="1"/>
  <c r="K802" i="1"/>
  <c r="K807" i="1"/>
  <c r="X801" i="1"/>
  <c r="W801" i="1"/>
  <c r="W802" i="1"/>
  <c r="W807" i="1"/>
  <c r="V801" i="1"/>
  <c r="V802" i="1"/>
  <c r="U801" i="1"/>
  <c r="U802" i="1"/>
  <c r="U807" i="1"/>
  <c r="T801" i="1"/>
  <c r="T802" i="1"/>
  <c r="T807" i="1"/>
  <c r="S801" i="1"/>
  <c r="S810" i="1"/>
  <c r="R801" i="1"/>
  <c r="R802" i="1"/>
  <c r="R807" i="1"/>
  <c r="Q801" i="1"/>
  <c r="Q809" i="1"/>
  <c r="P801" i="1"/>
  <c r="P809" i="1"/>
  <c r="O801" i="1"/>
  <c r="O802" i="1"/>
  <c r="O807" i="1"/>
  <c r="N801" i="1"/>
  <c r="N802" i="1"/>
  <c r="N807" i="1"/>
  <c r="M801" i="1"/>
  <c r="M802" i="1"/>
  <c r="M807" i="1"/>
  <c r="L801" i="1"/>
  <c r="L810" i="1"/>
  <c r="K801" i="1"/>
  <c r="K810" i="1"/>
  <c r="J801" i="1"/>
  <c r="J802" i="1"/>
  <c r="J807" i="1"/>
  <c r="I801" i="1"/>
  <c r="I809" i="1"/>
  <c r="H801" i="1"/>
  <c r="H809" i="1"/>
  <c r="G801" i="1"/>
  <c r="G802" i="1"/>
  <c r="G807" i="1"/>
  <c r="X800" i="1"/>
  <c r="W800" i="1"/>
  <c r="W806" i="1"/>
  <c r="V806" i="1"/>
  <c r="U800" i="1"/>
  <c r="U806" i="1"/>
  <c r="T800" i="1"/>
  <c r="T806" i="1"/>
  <c r="S800" i="1"/>
  <c r="S806" i="1"/>
  <c r="R800" i="1"/>
  <c r="R806" i="1"/>
  <c r="Q800" i="1"/>
  <c r="Q806" i="1"/>
  <c r="P800" i="1"/>
  <c r="P806" i="1"/>
  <c r="O800" i="1"/>
  <c r="O806" i="1"/>
  <c r="N800" i="1"/>
  <c r="N806" i="1"/>
  <c r="M800" i="1"/>
  <c r="M806" i="1"/>
  <c r="L800" i="1"/>
  <c r="L806" i="1"/>
  <c r="K800" i="1"/>
  <c r="K806" i="1"/>
  <c r="J800" i="1"/>
  <c r="J806" i="1"/>
  <c r="I800" i="1"/>
  <c r="I806" i="1"/>
  <c r="H800" i="1"/>
  <c r="G800" i="1"/>
  <c r="G806" i="1"/>
  <c r="N793" i="1"/>
  <c r="J793" i="1"/>
  <c r="I793" i="1"/>
  <c r="W792" i="1"/>
  <c r="W819" i="1"/>
  <c r="V792" i="1"/>
  <c r="V819" i="1"/>
  <c r="U792" i="1"/>
  <c r="U793" i="1"/>
  <c r="T792" i="1"/>
  <c r="T819" i="1"/>
  <c r="S792" i="1"/>
  <c r="S819" i="1"/>
  <c r="R792" i="1"/>
  <c r="R819" i="1"/>
  <c r="Q792" i="1"/>
  <c r="Q819" i="1"/>
  <c r="P792" i="1"/>
  <c r="P793" i="1"/>
  <c r="O792" i="1"/>
  <c r="O819" i="1"/>
  <c r="N792" i="1"/>
  <c r="N819" i="1"/>
  <c r="M792" i="1"/>
  <c r="M793" i="1"/>
  <c r="L792" i="1"/>
  <c r="L819" i="1"/>
  <c r="K792" i="1"/>
  <c r="K819" i="1"/>
  <c r="J792" i="1"/>
  <c r="J819" i="1"/>
  <c r="I792" i="1"/>
  <c r="I819" i="1"/>
  <c r="H792" i="1"/>
  <c r="H793" i="1"/>
  <c r="G792" i="1"/>
  <c r="G793" i="1"/>
  <c r="W791" i="1"/>
  <c r="W820" i="1"/>
  <c r="V791" i="1"/>
  <c r="V820" i="1"/>
  <c r="U791" i="1"/>
  <c r="U820" i="1"/>
  <c r="T791" i="1"/>
  <c r="T820" i="1"/>
  <c r="S791" i="1"/>
  <c r="S820" i="1"/>
  <c r="R791" i="1"/>
  <c r="R820" i="1"/>
  <c r="Q791" i="1"/>
  <c r="Q820" i="1"/>
  <c r="P791" i="1"/>
  <c r="P820" i="1"/>
  <c r="O791" i="1"/>
  <c r="O820" i="1"/>
  <c r="N791" i="1"/>
  <c r="N820" i="1"/>
  <c r="M791" i="1"/>
  <c r="M820" i="1"/>
  <c r="L791" i="1"/>
  <c r="L820" i="1"/>
  <c r="K791" i="1"/>
  <c r="K820" i="1"/>
  <c r="J791" i="1"/>
  <c r="J820" i="1"/>
  <c r="I791" i="1"/>
  <c r="I820" i="1"/>
  <c r="H791" i="1"/>
  <c r="H820" i="1"/>
  <c r="G791" i="1"/>
  <c r="AL779" i="1"/>
  <c r="AK779" i="1"/>
  <c r="AJ779" i="1"/>
  <c r="AI779" i="1"/>
  <c r="AH779" i="1"/>
  <c r="AG779" i="1"/>
  <c r="AF779" i="1"/>
  <c r="U779" i="1"/>
  <c r="U780" i="1"/>
  <c r="P779" i="1"/>
  <c r="K779" i="1"/>
  <c r="J779" i="1"/>
  <c r="I779" i="1"/>
  <c r="H779" i="1"/>
  <c r="G779" i="1"/>
  <c r="G780" i="1"/>
  <c r="X778" i="1"/>
  <c r="W778" i="1"/>
  <c r="V778" i="1"/>
  <c r="U778" i="1"/>
  <c r="T778" i="1"/>
  <c r="S778" i="1"/>
  <c r="R778" i="1"/>
  <c r="Q778" i="1"/>
  <c r="P778" i="1"/>
  <c r="O778" i="1"/>
  <c r="N778" i="1"/>
  <c r="M778" i="1"/>
  <c r="L778" i="1"/>
  <c r="K778" i="1"/>
  <c r="J778" i="1"/>
  <c r="I778" i="1"/>
  <c r="H778" i="1"/>
  <c r="G778" i="1"/>
  <c r="L777" i="1"/>
  <c r="G777" i="1"/>
  <c r="AL776" i="1"/>
  <c r="AK776" i="1"/>
  <c r="AJ776" i="1"/>
  <c r="AI776" i="1"/>
  <c r="AH776" i="1"/>
  <c r="AG776" i="1"/>
  <c r="AF776" i="1"/>
  <c r="AE776" i="1"/>
  <c r="Z776" i="1"/>
  <c r="U776" i="1"/>
  <c r="U777" i="1"/>
  <c r="T776" i="1"/>
  <c r="T777" i="1"/>
  <c r="S776" i="1"/>
  <c r="S777" i="1"/>
  <c r="R776" i="1"/>
  <c r="R777" i="1"/>
  <c r="Q776" i="1"/>
  <c r="Q777" i="1"/>
  <c r="P776" i="1"/>
  <c r="P777" i="1"/>
  <c r="O776" i="1"/>
  <c r="O777" i="1"/>
  <c r="N776" i="1"/>
  <c r="N777" i="1"/>
  <c r="M776" i="1"/>
  <c r="M777" i="1"/>
  <c r="L776" i="1"/>
  <c r="K776" i="1"/>
  <c r="K777" i="1"/>
  <c r="J776" i="1"/>
  <c r="J777" i="1"/>
  <c r="I776" i="1"/>
  <c r="I777" i="1"/>
  <c r="H776" i="1"/>
  <c r="H777" i="1"/>
  <c r="G776" i="1"/>
  <c r="X768" i="1"/>
  <c r="W768" i="1"/>
  <c r="V768" i="1"/>
  <c r="U768" i="1"/>
  <c r="T768" i="1"/>
  <c r="S768" i="1"/>
  <c r="R768" i="1"/>
  <c r="Q768" i="1"/>
  <c r="P768" i="1"/>
  <c r="O768" i="1"/>
  <c r="N768" i="1"/>
  <c r="M768" i="1"/>
  <c r="L768" i="1"/>
  <c r="K768" i="1"/>
  <c r="J768" i="1"/>
  <c r="I768" i="1"/>
  <c r="H768" i="1"/>
  <c r="G768" i="1"/>
  <c r="P767" i="1"/>
  <c r="O767" i="1"/>
  <c r="L767" i="1"/>
  <c r="K767" i="1"/>
  <c r="AL766" i="1"/>
  <c r="AK766" i="1"/>
  <c r="AJ766" i="1"/>
  <c r="AI766" i="1"/>
  <c r="AH766" i="1"/>
  <c r="AG766" i="1"/>
  <c r="AF766" i="1"/>
  <c r="AE766" i="1"/>
  <c r="Z766" i="1"/>
  <c r="U766" i="1"/>
  <c r="U767" i="1"/>
  <c r="T766" i="1"/>
  <c r="T767" i="1"/>
  <c r="S766" i="1"/>
  <c r="S767" i="1"/>
  <c r="R766" i="1"/>
  <c r="R767" i="1"/>
  <c r="Q766" i="1"/>
  <c r="Q767" i="1"/>
  <c r="P766" i="1"/>
  <c r="O766" i="1"/>
  <c r="N766" i="1"/>
  <c r="N767" i="1"/>
  <c r="M766" i="1"/>
  <c r="M767" i="1"/>
  <c r="L766" i="1"/>
  <c r="K766" i="1"/>
  <c r="J766" i="1"/>
  <c r="J767" i="1"/>
  <c r="I766" i="1"/>
  <c r="I767" i="1"/>
  <c r="H766" i="1"/>
  <c r="H767" i="1"/>
  <c r="G766" i="1"/>
  <c r="G767" i="1"/>
  <c r="U761" i="1"/>
  <c r="T761" i="1"/>
  <c r="S761" i="1"/>
  <c r="R761" i="1"/>
  <c r="Q761" i="1"/>
  <c r="P761" i="1"/>
  <c r="O761" i="1"/>
  <c r="N761" i="1"/>
  <c r="M761" i="1"/>
  <c r="L761" i="1"/>
  <c r="K761" i="1"/>
  <c r="J761" i="1"/>
  <c r="I761" i="1"/>
  <c r="H761" i="1"/>
  <c r="G761" i="1"/>
  <c r="AE758" i="1"/>
  <c r="AB816" i="1"/>
  <c r="AE757" i="1"/>
  <c r="AB815" i="1"/>
  <c r="AF754" i="1"/>
  <c r="AC754" i="1"/>
  <c r="AC940" i="1"/>
  <c r="AA940" i="1"/>
  <c r="AF753" i="1"/>
  <c r="AC753" i="1"/>
  <c r="AC938" i="1"/>
  <c r="AB938" i="1"/>
  <c r="AE747" i="1"/>
  <c r="AD743" i="1"/>
  <c r="AC743" i="1"/>
  <c r="AE742" i="1"/>
  <c r="AB800" i="1"/>
  <c r="AB806" i="1"/>
  <c r="V724" i="1"/>
  <c r="U724" i="1"/>
  <c r="T724" i="1"/>
  <c r="S724" i="1"/>
  <c r="R724" i="1"/>
  <c r="Q724" i="1"/>
  <c r="P724" i="1"/>
  <c r="O724" i="1"/>
  <c r="N724" i="1"/>
  <c r="M724" i="1"/>
  <c r="L724" i="1"/>
  <c r="K724" i="1"/>
  <c r="J724" i="1"/>
  <c r="I724" i="1"/>
  <c r="H724" i="1"/>
  <c r="G724" i="1"/>
  <c r="I719" i="1"/>
  <c r="H719" i="1"/>
  <c r="P719" i="1"/>
  <c r="J719" i="1"/>
  <c r="O719" i="1"/>
  <c r="G719" i="1"/>
  <c r="R719" i="1"/>
  <c r="V719" i="1"/>
  <c r="S719" i="1"/>
  <c r="K719" i="1"/>
  <c r="N719" i="1"/>
  <c r="L719" i="1"/>
  <c r="M719" i="1"/>
  <c r="U719" i="1"/>
  <c r="Q719" i="1"/>
  <c r="T719" i="1"/>
  <c r="AA1270" i="1"/>
  <c r="Y975" i="1"/>
  <c r="Q802" i="1"/>
  <c r="Q807" i="1"/>
  <c r="G872" i="1"/>
  <c r="AC1172" i="1"/>
  <c r="AG1089" i="1"/>
  <c r="AB1096" i="1"/>
  <c r="AB1081" i="1"/>
  <c r="I780" i="1"/>
  <c r="H872" i="1"/>
  <c r="R906" i="1"/>
  <c r="K939" i="1"/>
  <c r="S802" i="1"/>
  <c r="S807" i="1"/>
  <c r="R810" i="1"/>
  <c r="H819" i="1"/>
  <c r="I872" i="1"/>
  <c r="T887" i="1"/>
  <c r="U906" i="1"/>
  <c r="R971" i="1"/>
  <c r="R1036" i="1"/>
  <c r="N972" i="1"/>
  <c r="N973" i="1"/>
  <c r="N976" i="1"/>
  <c r="AJ1081" i="1"/>
  <c r="R809" i="1"/>
  <c r="AC757" i="1"/>
  <c r="K780" i="1"/>
  <c r="G809" i="1"/>
  <c r="V809" i="1"/>
  <c r="U810" i="1"/>
  <c r="M819" i="1"/>
  <c r="Z918" i="1"/>
  <c r="W919" i="1"/>
  <c r="J939" i="1"/>
  <c r="Q972" i="1"/>
  <c r="Q973" i="1"/>
  <c r="Q976" i="1"/>
  <c r="AE1172" i="1"/>
  <c r="AE1097" i="1"/>
  <c r="AE1171" i="1"/>
  <c r="P780" i="1"/>
  <c r="J809" i="1"/>
  <c r="W809" i="1"/>
  <c r="V810" i="1"/>
  <c r="P819" i="1"/>
  <c r="T919" i="1"/>
  <c r="H939" i="1"/>
  <c r="P939" i="1"/>
  <c r="U990" i="1"/>
  <c r="P1040" i="1"/>
  <c r="AH1081" i="1"/>
  <c r="AH1096" i="1"/>
  <c r="S809" i="1"/>
  <c r="K809" i="1"/>
  <c r="U819" i="1"/>
  <c r="P872" i="1"/>
  <c r="I906" i="1"/>
  <c r="I939" i="1"/>
  <c r="I972" i="1"/>
  <c r="I973" i="1"/>
  <c r="I976" i="1"/>
  <c r="I1011" i="1"/>
  <c r="I1013" i="1"/>
  <c r="Q971" i="1"/>
  <c r="Q1036" i="1"/>
  <c r="Q1040" i="1"/>
  <c r="AF1089" i="1"/>
  <c r="AA1096" i="1"/>
  <c r="AA1081" i="1"/>
  <c r="J780" i="1"/>
  <c r="R793" i="1"/>
  <c r="H780" i="1"/>
  <c r="L809" i="1"/>
  <c r="U872" i="1"/>
  <c r="K887" i="1"/>
  <c r="J906" i="1"/>
  <c r="H990" i="1"/>
  <c r="H992" i="1"/>
  <c r="H991" i="1"/>
  <c r="X1040" i="1"/>
  <c r="T1059" i="1"/>
  <c r="AC1183" i="1"/>
  <c r="AA1183" i="1"/>
  <c r="AJ1183" i="1"/>
  <c r="AB1183" i="1"/>
  <c r="AD1183" i="1"/>
  <c r="AI1183" i="1"/>
  <c r="AI1105" i="1"/>
  <c r="AI1162" i="1"/>
  <c r="AC1081" i="1"/>
  <c r="AI1096" i="1"/>
  <c r="AI1081" i="1"/>
  <c r="AD1081" i="1"/>
  <c r="AD1173" i="1"/>
  <c r="AD1096" i="1"/>
  <c r="AC747" i="1"/>
  <c r="AA948" i="1"/>
  <c r="AA815" i="1"/>
  <c r="AD815" i="1"/>
  <c r="AD757" i="1"/>
  <c r="AD948" i="1"/>
  <c r="V971" i="1"/>
  <c r="V1036" i="1"/>
  <c r="AA1003" i="1"/>
  <c r="AA1005" i="1"/>
  <c r="AB1005" i="1"/>
  <c r="AC1005" i="1"/>
  <c r="AC980" i="1"/>
  <c r="AD980" i="1"/>
  <c r="AA980" i="1"/>
  <c r="X980" i="1"/>
  <c r="AF980" i="1"/>
  <c r="AG980" i="1"/>
  <c r="AH980" i="1"/>
  <c r="AI980" i="1"/>
  <c r="AJ980" i="1"/>
  <c r="AK980" i="1"/>
  <c r="AL980" i="1"/>
  <c r="AB1039" i="1"/>
  <c r="Y938" i="1"/>
  <c r="Z938" i="1"/>
  <c r="Z991" i="1"/>
  <c r="Y800" i="1"/>
  <c r="Y806" i="1"/>
  <c r="Z719" i="1"/>
  <c r="AE719" i="1"/>
  <c r="AF719" i="1"/>
  <c r="AF940" i="1"/>
  <c r="AG754" i="1"/>
  <c r="AF747" i="1"/>
  <c r="AF758" i="1"/>
  <c r="AC758" i="1"/>
  <c r="AD742" i="1"/>
  <c r="AD800" i="1"/>
  <c r="AD938" i="1"/>
  <c r="AC948" i="1"/>
  <c r="AC801" i="1"/>
  <c r="AC768" i="1"/>
  <c r="Y940" i="1"/>
  <c r="Z940" i="1"/>
  <c r="AB940" i="1"/>
  <c r="AD747" i="1"/>
  <c r="AD940" i="1"/>
  <c r="AE940" i="1"/>
  <c r="AF938" i="1"/>
  <c r="AF757" i="1"/>
  <c r="AF742" i="1"/>
  <c r="AF800" i="1"/>
  <c r="AF799" i="1"/>
  <c r="AF817" i="1"/>
  <c r="V793" i="1"/>
  <c r="V807" i="1"/>
  <c r="H810" i="1"/>
  <c r="S971" i="1"/>
  <c r="S1036" i="1"/>
  <c r="AG753" i="1"/>
  <c r="W793" i="1"/>
  <c r="I810" i="1"/>
  <c r="H802" i="1"/>
  <c r="H807" i="1"/>
  <c r="X802" i="1"/>
  <c r="U991" i="1"/>
  <c r="U992" i="1"/>
  <c r="P990" i="1"/>
  <c r="P992" i="1"/>
  <c r="K990" i="1"/>
  <c r="I802" i="1"/>
  <c r="I807" i="1"/>
  <c r="N971" i="1"/>
  <c r="N1036" i="1"/>
  <c r="AF916" i="1"/>
  <c r="AG916" i="1"/>
  <c r="AH916" i="1"/>
  <c r="AI916" i="1"/>
  <c r="AJ916" i="1"/>
  <c r="AK916" i="1"/>
  <c r="AL916" i="1"/>
  <c r="AA1030" i="1"/>
  <c r="AC742" i="1"/>
  <c r="AC800" i="1"/>
  <c r="AC799" i="1"/>
  <c r="O793" i="1"/>
  <c r="L802" i="1"/>
  <c r="L807" i="1"/>
  <c r="P810" i="1"/>
  <c r="K872" i="1"/>
  <c r="AA938" i="1"/>
  <c r="Q793" i="1"/>
  <c r="T810" i="1"/>
  <c r="T809" i="1"/>
  <c r="P802" i="1"/>
  <c r="P807" i="1"/>
  <c r="Q810" i="1"/>
  <c r="I979" i="1"/>
  <c r="I985" i="1"/>
  <c r="I986" i="1"/>
  <c r="I1316" i="1"/>
  <c r="R1040" i="1"/>
  <c r="R1031" i="1"/>
  <c r="Q1011" i="1"/>
  <c r="Q1013" i="1"/>
  <c r="Q979" i="1"/>
  <c r="Q985" i="1"/>
  <c r="Q986" i="1"/>
  <c r="Q1316" i="1"/>
  <c r="AE1004" i="1"/>
  <c r="AA1001" i="1"/>
  <c r="AF1001" i="1"/>
  <c r="Y1018" i="1"/>
  <c r="X1018" i="1"/>
  <c r="AE1018" i="1"/>
  <c r="Q1034" i="1"/>
  <c r="L1034" i="1"/>
  <c r="T1034" i="1"/>
  <c r="Z800" i="1"/>
  <c r="M809" i="1"/>
  <c r="U809" i="1"/>
  <c r="O810" i="1"/>
  <c r="W810" i="1"/>
  <c r="T859" i="1"/>
  <c r="T860" i="1"/>
  <c r="M887" i="1"/>
  <c r="K1040" i="1"/>
  <c r="K1031" i="1"/>
  <c r="K1034" i="1"/>
  <c r="S1040" i="1"/>
  <c r="S1031" i="1"/>
  <c r="S1034" i="1"/>
  <c r="I971" i="1"/>
  <c r="R972" i="1"/>
  <c r="R973" i="1"/>
  <c r="R976" i="1"/>
  <c r="AB977" i="1"/>
  <c r="AC977" i="1"/>
  <c r="AD977" i="1"/>
  <c r="AF977" i="1"/>
  <c r="AG977" i="1"/>
  <c r="AH977" i="1"/>
  <c r="AI977" i="1"/>
  <c r="AJ977" i="1"/>
  <c r="AK977" i="1"/>
  <c r="AL977" i="1"/>
  <c r="X1004" i="1"/>
  <c r="X1006" i="1"/>
  <c r="Y1004" i="1"/>
  <c r="R1034" i="1"/>
  <c r="T1040" i="1"/>
  <c r="N887" i="1"/>
  <c r="T893" i="1"/>
  <c r="T894" i="1"/>
  <c r="T899" i="1"/>
  <c r="J971" i="1"/>
  <c r="T972" i="1"/>
  <c r="X1030" i="1"/>
  <c r="K1052" i="1"/>
  <c r="M1031" i="1"/>
  <c r="M1034" i="1"/>
  <c r="M1040" i="1"/>
  <c r="U1031" i="1"/>
  <c r="U1034" i="1"/>
  <c r="U1040" i="1"/>
  <c r="K1254" i="1"/>
  <c r="K972" i="1"/>
  <c r="K973" i="1"/>
  <c r="K976" i="1"/>
  <c r="S1254" i="1"/>
  <c r="S972" i="1"/>
  <c r="S973" i="1"/>
  <c r="S976" i="1"/>
  <c r="K971" i="1"/>
  <c r="K1036" i="1"/>
  <c r="K793" i="1"/>
  <c r="S793" i="1"/>
  <c r="P887" i="1"/>
  <c r="N1031" i="1"/>
  <c r="N1034" i="1"/>
  <c r="N1040" i="1"/>
  <c r="V1031" i="1"/>
  <c r="V1040" i="1"/>
  <c r="L971" i="1"/>
  <c r="L1036" i="1"/>
  <c r="AA978" i="1"/>
  <c r="AF978" i="1"/>
  <c r="AG978" i="1"/>
  <c r="AH978" i="1"/>
  <c r="AI978" i="1"/>
  <c r="AJ978" i="1"/>
  <c r="AK978" i="1"/>
  <c r="AL978" i="1"/>
  <c r="O1031" i="1"/>
  <c r="O1034" i="1"/>
  <c r="AJ1421" i="1"/>
  <c r="AJ1423" i="1"/>
  <c r="AI1489" i="1"/>
  <c r="T793" i="1"/>
  <c r="AE921" i="1"/>
  <c r="P991" i="1"/>
  <c r="K991" i="1"/>
  <c r="M1254" i="1"/>
  <c r="M972" i="1"/>
  <c r="M973" i="1"/>
  <c r="M976" i="1"/>
  <c r="M971" i="1"/>
  <c r="M1036" i="1"/>
  <c r="U1254" i="1"/>
  <c r="U972" i="1"/>
  <c r="U973" i="1"/>
  <c r="U976" i="1"/>
  <c r="U971" i="1"/>
  <c r="U1036" i="1"/>
  <c r="J972" i="1"/>
  <c r="J973" i="1"/>
  <c r="J976" i="1"/>
  <c r="W1031" i="1"/>
  <c r="L793" i="1"/>
  <c r="X1039" i="1"/>
  <c r="Y1039" i="1"/>
  <c r="J992" i="1"/>
  <c r="L972" i="1"/>
  <c r="L973" i="1"/>
  <c r="L976" i="1"/>
  <c r="L1040" i="1"/>
  <c r="AK1490" i="1"/>
  <c r="AK1599" i="1"/>
  <c r="AJ1599" i="1"/>
  <c r="G971" i="1"/>
  <c r="O971" i="1"/>
  <c r="O1036" i="1"/>
  <c r="G972" i="1"/>
  <c r="G973" i="1"/>
  <c r="G976" i="1"/>
  <c r="O972" i="1"/>
  <c r="O973" i="1"/>
  <c r="O976" i="1"/>
  <c r="X1276" i="1"/>
  <c r="I991" i="1"/>
  <c r="I992" i="1"/>
  <c r="AB1003" i="1"/>
  <c r="AC1003" i="1"/>
  <c r="AD1005" i="1"/>
  <c r="AK1109" i="1"/>
  <c r="AJ1111" i="1"/>
  <c r="AB1168" i="1"/>
  <c r="H971" i="1"/>
  <c r="P971" i="1"/>
  <c r="P1036" i="1"/>
  <c r="H972" i="1"/>
  <c r="H973" i="1"/>
  <c r="H976" i="1"/>
  <c r="P972" i="1"/>
  <c r="P973" i="1"/>
  <c r="P976" i="1"/>
  <c r="AA1002" i="1"/>
  <c r="AB1002" i="1"/>
  <c r="Z1103" i="1"/>
  <c r="X1527" i="1"/>
  <c r="AI1114" i="1"/>
  <c r="AI1119" i="1"/>
  <c r="AC1171" i="1"/>
  <c r="AI1511" i="1"/>
  <c r="AI1237" i="1"/>
  <c r="AJ1231" i="1"/>
  <c r="AJ1172" i="1"/>
  <c r="AJ1104" i="1"/>
  <c r="AL1130" i="1"/>
  <c r="AL1133" i="1"/>
  <c r="AK1133" i="1"/>
  <c r="AL1173" i="1"/>
  <c r="AJ1105" i="1"/>
  <c r="AJ1103" i="1"/>
  <c r="AJ1168" i="1"/>
  <c r="AJ1100" i="1"/>
  <c r="AJ1158" i="1"/>
  <c r="Y1255" i="1"/>
  <c r="Z1255" i="1"/>
  <c r="AJ1281" i="1"/>
  <c r="AK1173" i="1"/>
  <c r="Y1527" i="1"/>
  <c r="AJ1097" i="1"/>
  <c r="AF1505" i="1"/>
  <c r="AG1433" i="1"/>
  <c r="AG1437" i="1"/>
  <c r="AF1439" i="1"/>
  <c r="AF1436" i="1"/>
  <c r="Y1162" i="1"/>
  <c r="Y1164" i="1"/>
  <c r="Z1164" i="1"/>
  <c r="AG1506" i="1"/>
  <c r="AH1427" i="1"/>
  <c r="AH1429" i="1"/>
  <c r="Y1604" i="1"/>
  <c r="X1604" i="1"/>
  <c r="AD1505" i="1"/>
  <c r="AB1505" i="1"/>
  <c r="AA1505" i="1"/>
  <c r="AC1505" i="1"/>
  <c r="AC1255" i="1"/>
  <c r="AC1166" i="1"/>
  <c r="AC1156" i="1"/>
  <c r="H718" i="1"/>
  <c r="V718" i="1"/>
  <c r="Q718" i="1"/>
  <c r="U718" i="1"/>
  <c r="G718" i="1"/>
  <c r="M718" i="1"/>
  <c r="K718" i="1"/>
  <c r="L718" i="1"/>
  <c r="T718" i="1"/>
  <c r="N718" i="1"/>
  <c r="S718" i="1"/>
  <c r="I718" i="1"/>
  <c r="R718" i="1"/>
  <c r="J718" i="1"/>
  <c r="P718" i="1"/>
  <c r="O718" i="1"/>
  <c r="AG1183" i="1"/>
  <c r="AB1105" i="1"/>
  <c r="AB1162" i="1"/>
  <c r="AF1183" i="1"/>
  <c r="AA1105" i="1"/>
  <c r="AA1162" i="1"/>
  <c r="T920" i="1"/>
  <c r="T970" i="1"/>
  <c r="T971" i="1"/>
  <c r="T1036" i="1"/>
  <c r="T918" i="1"/>
  <c r="U918" i="1"/>
  <c r="AH1183" i="1"/>
  <c r="AH1105" i="1"/>
  <c r="AC1105" i="1"/>
  <c r="AC1162" i="1"/>
  <c r="AH1097" i="1"/>
  <c r="AH1171" i="1"/>
  <c r="AH1104" i="1"/>
  <c r="AH1172" i="1"/>
  <c r="AI1097" i="1"/>
  <c r="AI1171" i="1"/>
  <c r="AI1104" i="1"/>
  <c r="AI1172" i="1"/>
  <c r="AA1104" i="1"/>
  <c r="AA1172" i="1"/>
  <c r="Z1162" i="1"/>
  <c r="AB1097" i="1"/>
  <c r="AB1171" i="1"/>
  <c r="AB1172" i="1"/>
  <c r="AB1104" i="1"/>
  <c r="K992" i="1"/>
  <c r="AF1081" i="1"/>
  <c r="AF1096" i="1"/>
  <c r="AK1089" i="1"/>
  <c r="Z919" i="1"/>
  <c r="W920" i="1"/>
  <c r="AG1096" i="1"/>
  <c r="AG1081" i="1"/>
  <c r="AL1089" i="1"/>
  <c r="AD801" i="1"/>
  <c r="AD768" i="1"/>
  <c r="AD1172" i="1"/>
  <c r="AD1104" i="1"/>
  <c r="AD1097" i="1"/>
  <c r="AD1171" i="1"/>
  <c r="AD1103" i="1"/>
  <c r="AD1105" i="1"/>
  <c r="AD1100" i="1"/>
  <c r="AC917" i="1"/>
  <c r="AC1039" i="1"/>
  <c r="AA1004" i="1"/>
  <c r="AA1006" i="1"/>
  <c r="Z1039" i="1"/>
  <c r="AF718" i="1"/>
  <c r="AE718" i="1"/>
  <c r="Z718" i="1"/>
  <c r="AK1103" i="1"/>
  <c r="AK1168" i="1"/>
  <c r="AK1100" i="1"/>
  <c r="AK1158" i="1"/>
  <c r="AL1103" i="1"/>
  <c r="AL1168" i="1"/>
  <c r="Q981" i="1"/>
  <c r="Q982" i="1"/>
  <c r="R1011" i="1"/>
  <c r="R979" i="1"/>
  <c r="R985" i="1"/>
  <c r="R986" i="1"/>
  <c r="R1316" i="1"/>
  <c r="AB948" i="1"/>
  <c r="AB801" i="1"/>
  <c r="AB768" i="1"/>
  <c r="AE768" i="1"/>
  <c r="AH1506" i="1"/>
  <c r="AI1427" i="1"/>
  <c r="AI1429" i="1"/>
  <c r="K1011" i="1"/>
  <c r="K1013" i="1"/>
  <c r="K979" i="1"/>
  <c r="K985" i="1"/>
  <c r="K986" i="1"/>
  <c r="K1316" i="1"/>
  <c r="I981" i="1"/>
  <c r="I982" i="1"/>
  <c r="AE938" i="1"/>
  <c r="AE991" i="1"/>
  <c r="AK1281" i="1"/>
  <c r="AJ1237" i="1"/>
  <c r="AK1231" i="1"/>
  <c r="H1011" i="1"/>
  <c r="H1013" i="1"/>
  <c r="H979" i="1"/>
  <c r="H985" i="1"/>
  <c r="H986" i="1"/>
  <c r="H1316" i="1"/>
  <c r="AL1100" i="1"/>
  <c r="AL1158" i="1"/>
  <c r="AE919" i="1"/>
  <c r="AB1001" i="1"/>
  <c r="AB1004" i="1"/>
  <c r="AB1006" i="1"/>
  <c r="AC949" i="1"/>
  <c r="AC778" i="1"/>
  <c r="S1011" i="1"/>
  <c r="S979" i="1"/>
  <c r="S985" i="1"/>
  <c r="S986" i="1"/>
  <c r="S1316" i="1"/>
  <c r="AB1030" i="1"/>
  <c r="AJ1171" i="1"/>
  <c r="AD1003" i="1"/>
  <c r="M979" i="1"/>
  <c r="M985" i="1"/>
  <c r="M986" i="1"/>
  <c r="M1316" i="1"/>
  <c r="M1011" i="1"/>
  <c r="P1011" i="1"/>
  <c r="P1013" i="1"/>
  <c r="P979" i="1"/>
  <c r="P985" i="1"/>
  <c r="P986" i="1"/>
  <c r="L1011" i="1"/>
  <c r="L1013" i="1"/>
  <c r="L979" i="1"/>
  <c r="L985" i="1"/>
  <c r="L986" i="1"/>
  <c r="L1316" i="1"/>
  <c r="AE1006" i="1"/>
  <c r="AD802" i="1"/>
  <c r="AF949" i="1"/>
  <c r="AF777" i="1"/>
  <c r="AF778" i="1"/>
  <c r="AF780" i="1"/>
  <c r="X1572" i="1"/>
  <c r="O985" i="1"/>
  <c r="O986" i="1"/>
  <c r="O1316" i="1"/>
  <c r="O1011" i="1"/>
  <c r="O979" i="1"/>
  <c r="J1011" i="1"/>
  <c r="J1013" i="1"/>
  <c r="J979" i="1"/>
  <c r="J985" i="1"/>
  <c r="J986" i="1"/>
  <c r="J1316" i="1"/>
  <c r="AB978" i="1"/>
  <c r="AC978" i="1"/>
  <c r="Y1030" i="1"/>
  <c r="Z1030" i="1"/>
  <c r="N979" i="1"/>
  <c r="N985" i="1"/>
  <c r="N986" i="1"/>
  <c r="N1316" i="1"/>
  <c r="N1011" i="1"/>
  <c r="AD799" i="1"/>
  <c r="AE799" i="1"/>
  <c r="AB949" i="1"/>
  <c r="AB778" i="1"/>
  <c r="AG940" i="1"/>
  <c r="AG747" i="1"/>
  <c r="AH754" i="1"/>
  <c r="AG758" i="1"/>
  <c r="AJ1162" i="1"/>
  <c r="AJ1489" i="1"/>
  <c r="AK1421" i="1"/>
  <c r="AK1423" i="1"/>
  <c r="AF1004" i="1"/>
  <c r="AG1001" i="1"/>
  <c r="AE918" i="1"/>
  <c r="Y1572" i="1"/>
  <c r="AI1317" i="1"/>
  <c r="AI1120" i="1"/>
  <c r="AJ1114" i="1"/>
  <c r="AJ1119" i="1"/>
  <c r="G985" i="1"/>
  <c r="G986" i="1"/>
  <c r="G1316" i="1"/>
  <c r="G1011" i="1"/>
  <c r="G1013" i="1"/>
  <c r="G979" i="1"/>
  <c r="AF921" i="1"/>
  <c r="AG921" i="1"/>
  <c r="AH921" i="1"/>
  <c r="AI921" i="1"/>
  <c r="AJ921" i="1"/>
  <c r="AK921" i="1"/>
  <c r="AL921" i="1"/>
  <c r="AF1018" i="1"/>
  <c r="AG1018" i="1"/>
  <c r="AH1018" i="1"/>
  <c r="AI1018" i="1"/>
  <c r="AJ1018" i="1"/>
  <c r="AK1018" i="1"/>
  <c r="AL1018" i="1"/>
  <c r="AD1018" i="1"/>
  <c r="AC1018" i="1"/>
  <c r="AB1018" i="1"/>
  <c r="AA1018" i="1"/>
  <c r="AJ1511" i="1"/>
  <c r="AC1002" i="1"/>
  <c r="AD1002" i="1"/>
  <c r="AL1109" i="1"/>
  <c r="AL1111" i="1"/>
  <c r="AK1111" i="1"/>
  <c r="AL1490" i="1"/>
  <c r="AL1599" i="1"/>
  <c r="U979" i="1"/>
  <c r="U985" i="1"/>
  <c r="U986" i="1"/>
  <c r="U1011" i="1"/>
  <c r="W970" i="1"/>
  <c r="AC802" i="1"/>
  <c r="AG1505" i="1"/>
  <c r="AG1439" i="1"/>
  <c r="AG1436" i="1"/>
  <c r="AH1433" i="1"/>
  <c r="AH1437" i="1"/>
  <c r="AJ1255" i="1"/>
  <c r="AJ1166" i="1"/>
  <c r="AJ1156" i="1"/>
  <c r="AF1512" i="1"/>
  <c r="AE800" i="1"/>
  <c r="AG938" i="1"/>
  <c r="AH753" i="1"/>
  <c r="AG757" i="1"/>
  <c r="AG742" i="1"/>
  <c r="AG800" i="1"/>
  <c r="AG799" i="1"/>
  <c r="AF948" i="1"/>
  <c r="AF801" i="1"/>
  <c r="AF767" i="1"/>
  <c r="AF768" i="1"/>
  <c r="P717" i="1"/>
  <c r="H717" i="1"/>
  <c r="N717" i="1"/>
  <c r="S717" i="1"/>
  <c r="M717" i="1"/>
  <c r="U717" i="1"/>
  <c r="I717" i="1"/>
  <c r="Q717" i="1"/>
  <c r="V717" i="1"/>
  <c r="O717" i="1"/>
  <c r="R717" i="1"/>
  <c r="L717" i="1"/>
  <c r="J717" i="1"/>
  <c r="K717" i="1"/>
  <c r="G717" i="1"/>
  <c r="T717" i="1"/>
  <c r="AI1255" i="1"/>
  <c r="AI1156" i="1"/>
  <c r="AI1166" i="1"/>
  <c r="AH1166" i="1"/>
  <c r="AH1255" i="1"/>
  <c r="AH1156" i="1"/>
  <c r="AB1166" i="1"/>
  <c r="AB1255" i="1"/>
  <c r="AB1156" i="1"/>
  <c r="AK1183" i="1"/>
  <c r="AK1105" i="1"/>
  <c r="AF1105" i="1"/>
  <c r="AK1096" i="1"/>
  <c r="AK1081" i="1"/>
  <c r="T973" i="1"/>
  <c r="T976" i="1"/>
  <c r="AF1097" i="1"/>
  <c r="AF1171" i="1"/>
  <c r="AF1104" i="1"/>
  <c r="AF1172" i="1"/>
  <c r="AB809" i="1"/>
  <c r="AB810" i="1"/>
  <c r="AH1119" i="1"/>
  <c r="AH1162" i="1"/>
  <c r="AL1096" i="1"/>
  <c r="AL1081" i="1"/>
  <c r="AA1255" i="1"/>
  <c r="AA1156" i="1"/>
  <c r="AA1166" i="1"/>
  <c r="AD978" i="1"/>
  <c r="AG1104" i="1"/>
  <c r="AG1172" i="1"/>
  <c r="AG1097" i="1"/>
  <c r="AG1171" i="1"/>
  <c r="AL1183" i="1"/>
  <c r="AL1105" i="1"/>
  <c r="AG1105" i="1"/>
  <c r="AD917" i="1"/>
  <c r="AD1039" i="1"/>
  <c r="AE1039" i="1"/>
  <c r="AD1158" i="1"/>
  <c r="AE1100" i="1"/>
  <c r="AE1158" i="1"/>
  <c r="AD1168" i="1"/>
  <c r="AE1103" i="1"/>
  <c r="AE1168" i="1"/>
  <c r="AE1105" i="1"/>
  <c r="AE1162" i="1"/>
  <c r="AD1162" i="1"/>
  <c r="AE1104" i="1"/>
  <c r="AD1156" i="1"/>
  <c r="AD1166" i="1"/>
  <c r="AD1255" i="1"/>
  <c r="AE1255" i="1"/>
  <c r="AC916" i="1"/>
  <c r="AC1030" i="1"/>
  <c r="AE717" i="1"/>
  <c r="Z717" i="1"/>
  <c r="AF717" i="1"/>
  <c r="AH938" i="1"/>
  <c r="AH757" i="1"/>
  <c r="AH742" i="1"/>
  <c r="AH800" i="1"/>
  <c r="AH799" i="1"/>
  <c r="AI753" i="1"/>
  <c r="AG1512" i="1"/>
  <c r="AJ1317" i="1"/>
  <c r="AJ1120" i="1"/>
  <c r="AG1004" i="1"/>
  <c r="AG1006" i="1"/>
  <c r="AH1001" i="1"/>
  <c r="M981" i="1"/>
  <c r="M982" i="1"/>
  <c r="AG949" i="1"/>
  <c r="AG778" i="1"/>
  <c r="AG780" i="1"/>
  <c r="AG777" i="1"/>
  <c r="AE948" i="1"/>
  <c r="AK1489" i="1"/>
  <c r="AL1421" i="1"/>
  <c r="AL1423" i="1"/>
  <c r="AL1489" i="1"/>
  <c r="AH940" i="1"/>
  <c r="AH758" i="1"/>
  <c r="AI754" i="1"/>
  <c r="AH747" i="1"/>
  <c r="AF918" i="1"/>
  <c r="AG918" i="1"/>
  <c r="AH918" i="1"/>
  <c r="AI918" i="1"/>
  <c r="AJ918" i="1"/>
  <c r="AK918" i="1"/>
  <c r="AL918" i="1"/>
  <c r="P981" i="1"/>
  <c r="P982" i="1"/>
  <c r="H981" i="1"/>
  <c r="H982" i="1"/>
  <c r="AH1505" i="1"/>
  <c r="AH1439" i="1"/>
  <c r="AH1436" i="1"/>
  <c r="AI1433" i="1"/>
  <c r="AI1437" i="1"/>
  <c r="AL1119" i="1"/>
  <c r="AL1114" i="1"/>
  <c r="G981" i="1"/>
  <c r="G982" i="1"/>
  <c r="N981" i="1"/>
  <c r="N982" i="1"/>
  <c r="J981" i="1"/>
  <c r="J982" i="1"/>
  <c r="AF919" i="1"/>
  <c r="AG919" i="1"/>
  <c r="AH919" i="1"/>
  <c r="AI919" i="1"/>
  <c r="AJ919" i="1"/>
  <c r="AK919" i="1"/>
  <c r="AL919" i="1"/>
  <c r="AF991" i="1"/>
  <c r="U1316" i="1"/>
  <c r="U996" i="1"/>
  <c r="U998" i="1"/>
  <c r="O981" i="1"/>
  <c r="O982" i="1"/>
  <c r="S981" i="1"/>
  <c r="S982" i="1"/>
  <c r="AB802" i="1"/>
  <c r="AB807" i="1"/>
  <c r="AK1511" i="1"/>
  <c r="AF1006" i="1"/>
  <c r="AL1281" i="1"/>
  <c r="AF802" i="1"/>
  <c r="P1316" i="1"/>
  <c r="P996" i="1"/>
  <c r="AE801" i="1"/>
  <c r="R981" i="1"/>
  <c r="R982" i="1"/>
  <c r="AL1162" i="1"/>
  <c r="AK1119" i="1"/>
  <c r="AK1114" i="1"/>
  <c r="Z1572" i="1"/>
  <c r="AI1506" i="1"/>
  <c r="AJ1427" i="1"/>
  <c r="AJ1429" i="1"/>
  <c r="AG948" i="1"/>
  <c r="AG767" i="1"/>
  <c r="AG768" i="1"/>
  <c r="AG801" i="1"/>
  <c r="AC1001" i="1"/>
  <c r="AL1231" i="1"/>
  <c r="AK1237" i="1"/>
  <c r="K982" i="1"/>
  <c r="K981" i="1"/>
  <c r="AK1162" i="1"/>
  <c r="U981" i="1"/>
  <c r="U982" i="1"/>
  <c r="L981" i="1"/>
  <c r="L982" i="1"/>
  <c r="AF716" i="1"/>
  <c r="AE716" i="1"/>
  <c r="Z716" i="1"/>
  <c r="O716" i="1"/>
  <c r="M716" i="1"/>
  <c r="L716" i="1"/>
  <c r="R716" i="1"/>
  <c r="P716" i="1"/>
  <c r="I716" i="1"/>
  <c r="G716" i="1"/>
  <c r="U716" i="1"/>
  <c r="Q716" i="1"/>
  <c r="N716" i="1"/>
  <c r="J716" i="1"/>
  <c r="T716" i="1"/>
  <c r="V716" i="1"/>
  <c r="H716" i="1"/>
  <c r="S716" i="1"/>
  <c r="K716" i="1"/>
  <c r="AG1162" i="1"/>
  <c r="AG1119" i="1"/>
  <c r="AK1097" i="1"/>
  <c r="AK1171" i="1"/>
  <c r="AK1172" i="1"/>
  <c r="AK1104" i="1"/>
  <c r="AF1162" i="1"/>
  <c r="AF1119" i="1"/>
  <c r="AF1156" i="1"/>
  <c r="AF1255" i="1"/>
  <c r="AF1166" i="1"/>
  <c r="AL1097" i="1"/>
  <c r="AL1171" i="1"/>
  <c r="AL1172" i="1"/>
  <c r="AL1104" i="1"/>
  <c r="AG1255" i="1"/>
  <c r="AG1166" i="1"/>
  <c r="AG1156" i="1"/>
  <c r="AH1120" i="1"/>
  <c r="AH1317" i="1"/>
  <c r="T1011" i="1"/>
  <c r="T979" i="1"/>
  <c r="T981" i="1"/>
  <c r="T982" i="1"/>
  <c r="T985" i="1"/>
  <c r="T986" i="1"/>
  <c r="T1316" i="1"/>
  <c r="AE802" i="1"/>
  <c r="AE1166" i="1"/>
  <c r="AE1156" i="1"/>
  <c r="AD916" i="1"/>
  <c r="AD1030" i="1"/>
  <c r="AE1030" i="1"/>
  <c r="AJ1506" i="1"/>
  <c r="AK1427" i="1"/>
  <c r="AK1429" i="1"/>
  <c r="AH1512" i="1"/>
  <c r="AL1511" i="1"/>
  <c r="AG802" i="1"/>
  <c r="AL1317" i="1"/>
  <c r="AL1120" i="1"/>
  <c r="AI940" i="1"/>
  <c r="AJ754" i="1"/>
  <c r="AI747" i="1"/>
  <c r="AI758" i="1"/>
  <c r="AC1004" i="1"/>
  <c r="AC1006" i="1"/>
  <c r="AD1001" i="1"/>
  <c r="AD1004" i="1"/>
  <c r="AD1006" i="1"/>
  <c r="AH778" i="1"/>
  <c r="AH780" i="1"/>
  <c r="AH777" i="1"/>
  <c r="AH949" i="1"/>
  <c r="AB919" i="1"/>
  <c r="AL1237" i="1"/>
  <c r="AI938" i="1"/>
  <c r="AI757" i="1"/>
  <c r="AI742" i="1"/>
  <c r="AI800" i="1"/>
  <c r="AI799" i="1"/>
  <c r="AJ753" i="1"/>
  <c r="AH1004" i="1"/>
  <c r="AH1006" i="1"/>
  <c r="AI1001" i="1"/>
  <c r="AH768" i="1"/>
  <c r="AH767" i="1"/>
  <c r="AH801" i="1"/>
  <c r="AH948" i="1"/>
  <c r="AK1317" i="1"/>
  <c r="AK1120" i="1"/>
  <c r="AI1505" i="1"/>
  <c r="AI1439" i="1"/>
  <c r="AI1436" i="1"/>
  <c r="AJ1433" i="1"/>
  <c r="AJ1437" i="1"/>
  <c r="AF710" i="1"/>
  <c r="AE710" i="1"/>
  <c r="Z710" i="1"/>
  <c r="V708" i="1"/>
  <c r="U708" i="1"/>
  <c r="T708" i="1"/>
  <c r="S708" i="1"/>
  <c r="R708" i="1"/>
  <c r="Q708" i="1"/>
  <c r="P708" i="1"/>
  <c r="O708" i="1"/>
  <c r="N708" i="1"/>
  <c r="M708" i="1"/>
  <c r="L708" i="1"/>
  <c r="K708" i="1"/>
  <c r="J708" i="1"/>
  <c r="I708" i="1"/>
  <c r="H708" i="1"/>
  <c r="G708" i="1"/>
  <c r="V707" i="1"/>
  <c r="U707" i="1"/>
  <c r="T707" i="1"/>
  <c r="S707" i="1"/>
  <c r="R707" i="1"/>
  <c r="Q707" i="1"/>
  <c r="P707" i="1"/>
  <c r="O707" i="1"/>
  <c r="N707" i="1"/>
  <c r="M707" i="1"/>
  <c r="L707" i="1"/>
  <c r="K707" i="1"/>
  <c r="J707" i="1"/>
  <c r="I707" i="1"/>
  <c r="H707" i="1"/>
  <c r="G707" i="1"/>
  <c r="V706" i="1"/>
  <c r="U706" i="1"/>
  <c r="T706" i="1"/>
  <c r="S706" i="1"/>
  <c r="R706" i="1"/>
  <c r="Q706" i="1"/>
  <c r="P706" i="1"/>
  <c r="O706" i="1"/>
  <c r="N706" i="1"/>
  <c r="M706" i="1"/>
  <c r="L706" i="1"/>
  <c r="K706" i="1"/>
  <c r="J706" i="1"/>
  <c r="I706" i="1"/>
  <c r="H706" i="1"/>
  <c r="G706" i="1"/>
  <c r="V705" i="1"/>
  <c r="U705" i="1"/>
  <c r="U709" i="1"/>
  <c r="U710" i="1"/>
  <c r="U711" i="1"/>
  <c r="T705" i="1"/>
  <c r="S705" i="1"/>
  <c r="R705" i="1"/>
  <c r="Q705" i="1"/>
  <c r="P705" i="1"/>
  <c r="O705" i="1"/>
  <c r="N705" i="1"/>
  <c r="M705" i="1"/>
  <c r="L705" i="1"/>
  <c r="K705" i="1"/>
  <c r="J705" i="1"/>
  <c r="I705" i="1"/>
  <c r="H705" i="1"/>
  <c r="G705" i="1"/>
  <c r="N696" i="1"/>
  <c r="L695" i="1"/>
  <c r="AD694" i="1"/>
  <c r="AD611" i="1"/>
  <c r="AD941" i="1"/>
  <c r="X694" i="1"/>
  <c r="W694" i="1"/>
  <c r="V694" i="1"/>
  <c r="T694" i="1"/>
  <c r="S694" i="1"/>
  <c r="R694" i="1"/>
  <c r="Q694" i="1"/>
  <c r="O694" i="1"/>
  <c r="N694" i="1"/>
  <c r="M694" i="1"/>
  <c r="L694" i="1"/>
  <c r="X689" i="1"/>
  <c r="W689" i="1"/>
  <c r="V689" i="1"/>
  <c r="U689" i="1"/>
  <c r="T689" i="1"/>
  <c r="S689" i="1"/>
  <c r="R689" i="1"/>
  <c r="Q689" i="1"/>
  <c r="P689" i="1"/>
  <c r="O689" i="1"/>
  <c r="N689" i="1"/>
  <c r="M689" i="1"/>
  <c r="L689" i="1"/>
  <c r="K689" i="1"/>
  <c r="J689" i="1"/>
  <c r="I689" i="1"/>
  <c r="H689" i="1"/>
  <c r="G689" i="1"/>
  <c r="W688" i="1"/>
  <c r="V688" i="1"/>
  <c r="U688" i="1"/>
  <c r="T688" i="1"/>
  <c r="S688" i="1"/>
  <c r="R688" i="1"/>
  <c r="Q688" i="1"/>
  <c r="P688" i="1"/>
  <c r="O688" i="1"/>
  <c r="N688" i="1"/>
  <c r="M688" i="1"/>
  <c r="L688" i="1"/>
  <c r="K688" i="1"/>
  <c r="J688" i="1"/>
  <c r="I688" i="1"/>
  <c r="H688" i="1"/>
  <c r="G688" i="1"/>
  <c r="W687" i="1"/>
  <c r="V687" i="1"/>
  <c r="U687" i="1"/>
  <c r="T687" i="1"/>
  <c r="S687" i="1"/>
  <c r="R687" i="1"/>
  <c r="Q687" i="1"/>
  <c r="P687" i="1"/>
  <c r="O687" i="1"/>
  <c r="N687" i="1"/>
  <c r="M687" i="1"/>
  <c r="L687" i="1"/>
  <c r="K687" i="1"/>
  <c r="J687" i="1"/>
  <c r="I687" i="1"/>
  <c r="H687" i="1"/>
  <c r="G687" i="1"/>
  <c r="X682" i="1"/>
  <c r="W682" i="1"/>
  <c r="W683" i="1"/>
  <c r="V682" i="1"/>
  <c r="V683" i="1"/>
  <c r="U682" i="1"/>
  <c r="U683" i="1"/>
  <c r="T682" i="1"/>
  <c r="T683" i="1"/>
  <c r="S682" i="1"/>
  <c r="S695" i="1"/>
  <c r="R682" i="1"/>
  <c r="R683" i="1"/>
  <c r="Q682" i="1"/>
  <c r="Q683" i="1"/>
  <c r="P682" i="1"/>
  <c r="P683" i="1"/>
  <c r="O682" i="1"/>
  <c r="O683" i="1"/>
  <c r="N682" i="1"/>
  <c r="N683" i="1"/>
  <c r="M682" i="1"/>
  <c r="M683" i="1"/>
  <c r="L682" i="1"/>
  <c r="L683" i="1"/>
  <c r="K682" i="1"/>
  <c r="K695" i="1"/>
  <c r="J682" i="1"/>
  <c r="J683" i="1"/>
  <c r="I682" i="1"/>
  <c r="I683" i="1"/>
  <c r="H682" i="1"/>
  <c r="H683" i="1"/>
  <c r="G682" i="1"/>
  <c r="G683" i="1"/>
  <c r="X681" i="1"/>
  <c r="X1038" i="1"/>
  <c r="W681" i="1"/>
  <c r="W1038" i="1"/>
  <c r="V681" i="1"/>
  <c r="V1038" i="1"/>
  <c r="U681" i="1"/>
  <c r="U1038" i="1"/>
  <c r="U1041" i="1"/>
  <c r="U1048" i="1"/>
  <c r="U1056" i="1"/>
  <c r="T681" i="1"/>
  <c r="T1038" i="1"/>
  <c r="T1041" i="1"/>
  <c r="T1048" i="1"/>
  <c r="T1056" i="1"/>
  <c r="T1058" i="1"/>
  <c r="T1060" i="1"/>
  <c r="S681" i="1"/>
  <c r="S1038" i="1"/>
  <c r="S1041" i="1"/>
  <c r="S1048" i="1"/>
  <c r="S1056" i="1"/>
  <c r="S1058" i="1"/>
  <c r="S1060" i="1"/>
  <c r="R681" i="1"/>
  <c r="R1038" i="1"/>
  <c r="R1041" i="1"/>
  <c r="R1048" i="1"/>
  <c r="R1056" i="1"/>
  <c r="R1058" i="1"/>
  <c r="R1060" i="1"/>
  <c r="Q681" i="1"/>
  <c r="Q1038" i="1"/>
  <c r="Q1041" i="1"/>
  <c r="Q1048" i="1"/>
  <c r="Q1056" i="1"/>
  <c r="Q1058" i="1"/>
  <c r="Q1060" i="1"/>
  <c r="P681" i="1"/>
  <c r="P1038" i="1"/>
  <c r="P1041" i="1"/>
  <c r="P1048" i="1"/>
  <c r="P1056" i="1"/>
  <c r="P1058" i="1"/>
  <c r="P1060" i="1"/>
  <c r="O681" i="1"/>
  <c r="O1038" i="1"/>
  <c r="O1041" i="1"/>
  <c r="O1048" i="1"/>
  <c r="O1056" i="1"/>
  <c r="O1058" i="1"/>
  <c r="O1060" i="1"/>
  <c r="N681" i="1"/>
  <c r="N1038" i="1"/>
  <c r="N1041" i="1"/>
  <c r="N1048" i="1"/>
  <c r="N1056" i="1"/>
  <c r="N1058" i="1"/>
  <c r="N1060" i="1"/>
  <c r="M681" i="1"/>
  <c r="M1038" i="1"/>
  <c r="M1041" i="1"/>
  <c r="M1048" i="1"/>
  <c r="M1056" i="1"/>
  <c r="M1058" i="1"/>
  <c r="M1060" i="1"/>
  <c r="L681" i="1"/>
  <c r="L1038" i="1"/>
  <c r="L1041" i="1"/>
  <c r="L1048" i="1"/>
  <c r="L1056" i="1"/>
  <c r="L1058" i="1"/>
  <c r="L1060" i="1"/>
  <c r="K681" i="1"/>
  <c r="K1038" i="1"/>
  <c r="K1041" i="1"/>
  <c r="K1048" i="1"/>
  <c r="K1056" i="1"/>
  <c r="K1058" i="1"/>
  <c r="K1060" i="1"/>
  <c r="J681" i="1"/>
  <c r="J696" i="1"/>
  <c r="I681" i="1"/>
  <c r="I696" i="1"/>
  <c r="H681" i="1"/>
  <c r="H696" i="1"/>
  <c r="G681" i="1"/>
  <c r="W676" i="1"/>
  <c r="W966" i="1"/>
  <c r="W971" i="1"/>
  <c r="K672" i="1"/>
  <c r="P665" i="1"/>
  <c r="P672" i="1"/>
  <c r="K665" i="1"/>
  <c r="U664" i="1"/>
  <c r="U671" i="1"/>
  <c r="P664" i="1"/>
  <c r="P671" i="1"/>
  <c r="K664" i="1"/>
  <c r="K671" i="1"/>
  <c r="U644" i="1"/>
  <c r="U665" i="1"/>
  <c r="U672" i="1"/>
  <c r="U642" i="1"/>
  <c r="P642" i="1"/>
  <c r="K642" i="1"/>
  <c r="U641" i="1"/>
  <c r="P641" i="1"/>
  <c r="K641" i="1"/>
  <c r="U623" i="1"/>
  <c r="U648" i="1"/>
  <c r="T623" i="1"/>
  <c r="T630" i="1"/>
  <c r="S623" i="1"/>
  <c r="S630" i="1"/>
  <c r="R623" i="1"/>
  <c r="R630" i="1"/>
  <c r="Q623" i="1"/>
  <c r="Q630" i="1"/>
  <c r="P623" i="1"/>
  <c r="P630" i="1"/>
  <c r="O623" i="1"/>
  <c r="O630" i="1"/>
  <c r="N623" i="1"/>
  <c r="N630" i="1"/>
  <c r="M623" i="1"/>
  <c r="M630" i="1"/>
  <c r="L623" i="1"/>
  <c r="L630" i="1"/>
  <c r="K623" i="1"/>
  <c r="K648" i="1"/>
  <c r="K662" i="1"/>
  <c r="J623" i="1"/>
  <c r="J630" i="1"/>
  <c r="I623" i="1"/>
  <c r="I630" i="1"/>
  <c r="H623" i="1"/>
  <c r="H630" i="1"/>
  <c r="G623" i="1"/>
  <c r="G630" i="1"/>
  <c r="Z707" i="1"/>
  <c r="Z708" i="1"/>
  <c r="Z706" i="1"/>
  <c r="Z705" i="1"/>
  <c r="AE614" i="1"/>
  <c r="AC614" i="1"/>
  <c r="AE613" i="1"/>
  <c r="AF613" i="1"/>
  <c r="AE612" i="1"/>
  <c r="AF612" i="1"/>
  <c r="AF942" i="1"/>
  <c r="AF611" i="1"/>
  <c r="P589" i="1"/>
  <c r="I589" i="1"/>
  <c r="G589" i="1"/>
  <c r="J589" i="1"/>
  <c r="H589" i="1"/>
  <c r="K589" i="1"/>
  <c r="M696" i="1"/>
  <c r="R709" i="1"/>
  <c r="R710" i="1"/>
  <c r="R711" i="1"/>
  <c r="W696" i="1"/>
  <c r="W695" i="1"/>
  <c r="M695" i="1"/>
  <c r="O696" i="1"/>
  <c r="K709" i="1"/>
  <c r="K710" i="1"/>
  <c r="K711" i="1"/>
  <c r="AK1166" i="1"/>
  <c r="AK1156" i="1"/>
  <c r="AK1255" i="1"/>
  <c r="N695" i="1"/>
  <c r="U696" i="1"/>
  <c r="L709" i="1"/>
  <c r="L710" i="1"/>
  <c r="L711" i="1"/>
  <c r="T709" i="1"/>
  <c r="T710" i="1"/>
  <c r="T711" i="1"/>
  <c r="AC919" i="1"/>
  <c r="AD919" i="1"/>
  <c r="AB918" i="1"/>
  <c r="AC918" i="1"/>
  <c r="AD918" i="1"/>
  <c r="AL1166" i="1"/>
  <c r="AL1255" i="1"/>
  <c r="AL1156" i="1"/>
  <c r="AC612" i="1"/>
  <c r="AC942" i="1"/>
  <c r="O695" i="1"/>
  <c r="V696" i="1"/>
  <c r="U695" i="1"/>
  <c r="AF1317" i="1"/>
  <c r="AF1120" i="1"/>
  <c r="AG1120" i="1"/>
  <c r="AG1317" i="1"/>
  <c r="V695" i="1"/>
  <c r="AD613" i="1"/>
  <c r="AD943" i="1"/>
  <c r="M709" i="1"/>
  <c r="M710" i="1"/>
  <c r="M711" i="1"/>
  <c r="G709" i="1"/>
  <c r="G710" i="1"/>
  <c r="G711" i="1"/>
  <c r="P709" i="1"/>
  <c r="P710" i="1"/>
  <c r="P711" i="1"/>
  <c r="AD612" i="1"/>
  <c r="AD942" i="1"/>
  <c r="O709" i="1"/>
  <c r="O710" i="1"/>
  <c r="O711" i="1"/>
  <c r="T695" i="1"/>
  <c r="AC611" i="1"/>
  <c r="AC941" i="1"/>
  <c r="AB943" i="1"/>
  <c r="Z709" i="1"/>
  <c r="AD614" i="1"/>
  <c r="AD944" i="1"/>
  <c r="AC613" i="1"/>
  <c r="AB952" i="1"/>
  <c r="AE619" i="1"/>
  <c r="AE708" i="1"/>
  <c r="AD619" i="1"/>
  <c r="AD952" i="1"/>
  <c r="AA943" i="1"/>
  <c r="AC618" i="1"/>
  <c r="AC951" i="1"/>
  <c r="AE618" i="1"/>
  <c r="AE706" i="1"/>
  <c r="S709" i="1"/>
  <c r="S710" i="1"/>
  <c r="S711" i="1"/>
  <c r="J709" i="1"/>
  <c r="J710" i="1"/>
  <c r="J711" i="1"/>
  <c r="V709" i="1"/>
  <c r="V710" i="1"/>
  <c r="V711" i="1"/>
  <c r="N709" i="1"/>
  <c r="N710" i="1"/>
  <c r="N711" i="1"/>
  <c r="H709" i="1"/>
  <c r="H710" i="1"/>
  <c r="H711" i="1"/>
  <c r="I709" i="1"/>
  <c r="I710" i="1"/>
  <c r="I711" i="1"/>
  <c r="Q709" i="1"/>
  <c r="Q710" i="1"/>
  <c r="Q711" i="1"/>
  <c r="AF941" i="1"/>
  <c r="AF617" i="1"/>
  <c r="AG611" i="1"/>
  <c r="AF943" i="1"/>
  <c r="AF619" i="1"/>
  <c r="AG613" i="1"/>
  <c r="U662" i="1"/>
  <c r="K669" i="1"/>
  <c r="AC944" i="1"/>
  <c r="AC620" i="1"/>
  <c r="AF614" i="1"/>
  <c r="K683" i="1"/>
  <c r="H695" i="1"/>
  <c r="P695" i="1"/>
  <c r="Q696" i="1"/>
  <c r="AJ1439" i="1"/>
  <c r="AJ1436" i="1"/>
  <c r="AJ1505" i="1"/>
  <c r="AK1433" i="1"/>
  <c r="AK1437" i="1"/>
  <c r="AC617" i="1"/>
  <c r="I695" i="1"/>
  <c r="AD617" i="1"/>
  <c r="AF618" i="1"/>
  <c r="P648" i="1"/>
  <c r="P662" i="1"/>
  <c r="V1041" i="1"/>
  <c r="J695" i="1"/>
  <c r="R695" i="1"/>
  <c r="K696" i="1"/>
  <c r="S696" i="1"/>
  <c r="AI1512" i="1"/>
  <c r="AI949" i="1"/>
  <c r="AI778" i="1"/>
  <c r="AI780" i="1"/>
  <c r="AI777" i="1"/>
  <c r="AE620" i="1"/>
  <c r="AE707" i="1"/>
  <c r="S683" i="1"/>
  <c r="X695" i="1"/>
  <c r="K630" i="1"/>
  <c r="U1058" i="1"/>
  <c r="U1062" i="1"/>
  <c r="Q695" i="1"/>
  <c r="R696" i="1"/>
  <c r="AE617" i="1"/>
  <c r="AE705" i="1"/>
  <c r="U630" i="1"/>
  <c r="W1254" i="1"/>
  <c r="W1036" i="1"/>
  <c r="L696" i="1"/>
  <c r="T696" i="1"/>
  <c r="AH802" i="1"/>
  <c r="AJ938" i="1"/>
  <c r="AK753" i="1"/>
  <c r="AJ757" i="1"/>
  <c r="AJ742" i="1"/>
  <c r="AJ800" i="1"/>
  <c r="AJ799" i="1"/>
  <c r="AL1427" i="1"/>
  <c r="AL1429" i="1"/>
  <c r="AL1506" i="1"/>
  <c r="AK1506" i="1"/>
  <c r="X1254" i="1"/>
  <c r="X683" i="1"/>
  <c r="AJ940" i="1"/>
  <c r="AK754" i="1"/>
  <c r="AJ758" i="1"/>
  <c r="AJ747" i="1"/>
  <c r="AG612" i="1"/>
  <c r="AI948" i="1"/>
  <c r="AI767" i="1"/>
  <c r="AI768" i="1"/>
  <c r="AI801" i="1"/>
  <c r="AJ1001" i="1"/>
  <c r="AI1004" i="1"/>
  <c r="AI1006" i="1"/>
  <c r="P696" i="1"/>
  <c r="X696" i="1"/>
  <c r="V584" i="1"/>
  <c r="U584" i="1"/>
  <c r="S584" i="1"/>
  <c r="R584" i="1"/>
  <c r="Q584" i="1"/>
  <c r="P584" i="1"/>
  <c r="O584" i="1"/>
  <c r="N584" i="1"/>
  <c r="M584" i="1"/>
  <c r="L584" i="1"/>
  <c r="V582" i="1"/>
  <c r="U582" i="1"/>
  <c r="S582" i="1"/>
  <c r="R582" i="1"/>
  <c r="Q582" i="1"/>
  <c r="P582" i="1"/>
  <c r="O582" i="1"/>
  <c r="N582" i="1"/>
  <c r="M582" i="1"/>
  <c r="L582" i="1"/>
  <c r="T578" i="1"/>
  <c r="T574" i="1"/>
  <c r="T573" i="1"/>
  <c r="T571" i="1"/>
  <c r="T566" i="1"/>
  <c r="T582" i="1"/>
  <c r="T565" i="1"/>
  <c r="T584" i="1"/>
  <c r="T558" i="1"/>
  <c r="S558" i="1"/>
  <c r="S557" i="1"/>
  <c r="V553" i="1"/>
  <c r="Q553" i="1"/>
  <c r="P553" i="1"/>
  <c r="L553" i="1"/>
  <c r="K553" i="1"/>
  <c r="J553" i="1"/>
  <c r="I553" i="1"/>
  <c r="H553" i="1"/>
  <c r="G553" i="1"/>
  <c r="V548" i="1"/>
  <c r="Q548" i="1"/>
  <c r="P548" i="1"/>
  <c r="O548" i="1"/>
  <c r="L548" i="1"/>
  <c r="K548" i="1"/>
  <c r="J548" i="1"/>
  <c r="I548" i="1"/>
  <c r="H548" i="1"/>
  <c r="G548" i="1"/>
  <c r="X547" i="1"/>
  <c r="W546" i="1"/>
  <c r="U546" i="1"/>
  <c r="S546" i="1"/>
  <c r="S547" i="1"/>
  <c r="T547" i="1"/>
  <c r="R546" i="1"/>
  <c r="R1545" i="1"/>
  <c r="N546" i="1"/>
  <c r="N547" i="1"/>
  <c r="M546" i="1"/>
  <c r="M1545" i="1"/>
  <c r="AH545" i="1"/>
  <c r="AI545" i="1"/>
  <c r="AJ545" i="1"/>
  <c r="AK545" i="1"/>
  <c r="AL545" i="1"/>
  <c r="X545" i="1"/>
  <c r="Y545" i="1"/>
  <c r="AF544" i="1"/>
  <c r="AG544" i="1"/>
  <c r="AH544" i="1"/>
  <c r="AI544" i="1"/>
  <c r="AJ544" i="1"/>
  <c r="AK544" i="1"/>
  <c r="AL544" i="1"/>
  <c r="AE544" i="1"/>
  <c r="X544" i="1"/>
  <c r="Y544" i="1"/>
  <c r="T544" i="1"/>
  <c r="AF543" i="1"/>
  <c r="AG543" i="1"/>
  <c r="AH543" i="1"/>
  <c r="AI543" i="1"/>
  <c r="AJ543" i="1"/>
  <c r="AK543" i="1"/>
  <c r="AL543" i="1"/>
  <c r="AE543" i="1"/>
  <c r="T543" i="1"/>
  <c r="AE542" i="1"/>
  <c r="X542" i="1"/>
  <c r="T542" i="1"/>
  <c r="T546" i="1"/>
  <c r="AF522" i="1"/>
  <c r="AL522" i="1"/>
  <c r="AE522" i="1"/>
  <c r="AD522" i="1"/>
  <c r="AJ522" i="1"/>
  <c r="AC522" i="1"/>
  <c r="AI522" i="1"/>
  <c r="AG522" i="1"/>
  <c r="S522" i="1"/>
  <c r="T522" i="1"/>
  <c r="R522" i="1"/>
  <c r="AF520" i="1"/>
  <c r="Y1277" i="1"/>
  <c r="U520" i="1"/>
  <c r="U1277" i="1"/>
  <c r="O520" i="1"/>
  <c r="O1277" i="1"/>
  <c r="O519" i="1"/>
  <c r="O1276" i="1"/>
  <c r="AF518" i="1"/>
  <c r="AL518" i="1"/>
  <c r="O518" i="1"/>
  <c r="O1275" i="1"/>
  <c r="AI516" i="1"/>
  <c r="AH516" i="1"/>
  <c r="AG516" i="1"/>
  <c r="R516" i="1"/>
  <c r="R1270" i="1"/>
  <c r="O516" i="1"/>
  <c r="O1270" i="1"/>
  <c r="T515" i="1"/>
  <c r="T1269" i="1"/>
  <c r="T1309" i="1"/>
  <c r="O515" i="1"/>
  <c r="O1269" i="1"/>
  <c r="O1309" i="1"/>
  <c r="AA510" i="1"/>
  <c r="X510" i="1"/>
  <c r="W510" i="1"/>
  <c r="W1258" i="1"/>
  <c r="V510" i="1"/>
  <c r="V1258" i="1"/>
  <c r="U510" i="1"/>
  <c r="U1258" i="1"/>
  <c r="T510" i="1"/>
  <c r="T1258" i="1"/>
  <c r="S510" i="1"/>
  <c r="S1258" i="1"/>
  <c r="R510" i="1"/>
  <c r="R1258" i="1"/>
  <c r="Q510" i="1"/>
  <c r="Q1258" i="1"/>
  <c r="P510" i="1"/>
  <c r="P1258" i="1"/>
  <c r="O510" i="1"/>
  <c r="O1258" i="1"/>
  <c r="N510" i="1"/>
  <c r="N1258" i="1"/>
  <c r="M510" i="1"/>
  <c r="M1258" i="1"/>
  <c r="L510" i="1"/>
  <c r="L1258" i="1"/>
  <c r="K510" i="1"/>
  <c r="K1258" i="1"/>
  <c r="J510" i="1"/>
  <c r="J1258" i="1"/>
  <c r="I510" i="1"/>
  <c r="I1258" i="1"/>
  <c r="H510" i="1"/>
  <c r="H1258" i="1"/>
  <c r="G510" i="1"/>
  <c r="G1258" i="1"/>
  <c r="X509" i="1"/>
  <c r="W509" i="1"/>
  <c r="W1257" i="1"/>
  <c r="V509" i="1"/>
  <c r="V1257" i="1"/>
  <c r="U509" i="1"/>
  <c r="U1257" i="1"/>
  <c r="T509" i="1"/>
  <c r="T1257" i="1"/>
  <c r="S509" i="1"/>
  <c r="S1257" i="1"/>
  <c r="R509" i="1"/>
  <c r="R1257" i="1"/>
  <c r="Q509" i="1"/>
  <c r="Q1257" i="1"/>
  <c r="P509" i="1"/>
  <c r="P1257" i="1"/>
  <c r="O509" i="1"/>
  <c r="O1257" i="1"/>
  <c r="N509" i="1"/>
  <c r="N1257" i="1"/>
  <c r="M509" i="1"/>
  <c r="M1257" i="1"/>
  <c r="L509" i="1"/>
  <c r="L1257" i="1"/>
  <c r="K509" i="1"/>
  <c r="K1257" i="1"/>
  <c r="J509" i="1"/>
  <c r="J1257" i="1"/>
  <c r="I509" i="1"/>
  <c r="I1257" i="1"/>
  <c r="H509" i="1"/>
  <c r="H1257" i="1"/>
  <c r="G509" i="1"/>
  <c r="G1257" i="1"/>
  <c r="X508" i="1"/>
  <c r="W508" i="1"/>
  <c r="V508" i="1"/>
  <c r="V1256" i="1"/>
  <c r="U508" i="1"/>
  <c r="U1256" i="1"/>
  <c r="T508" i="1"/>
  <c r="T1256" i="1"/>
  <c r="S508" i="1"/>
  <c r="S1256" i="1"/>
  <c r="R508" i="1"/>
  <c r="R1256" i="1"/>
  <c r="Q508" i="1"/>
  <c r="Q1256" i="1"/>
  <c r="P508" i="1"/>
  <c r="P1256" i="1"/>
  <c r="O508" i="1"/>
  <c r="O1256" i="1"/>
  <c r="N508" i="1"/>
  <c r="N1256" i="1"/>
  <c r="M508" i="1"/>
  <c r="M1256" i="1"/>
  <c r="L508" i="1"/>
  <c r="L1256" i="1"/>
  <c r="K508" i="1"/>
  <c r="K1256" i="1"/>
  <c r="J508" i="1"/>
  <c r="J1256" i="1"/>
  <c r="I508" i="1"/>
  <c r="I1256" i="1"/>
  <c r="H508" i="1"/>
  <c r="H1256" i="1"/>
  <c r="G508" i="1"/>
  <c r="G1256" i="1"/>
  <c r="X507" i="1"/>
  <c r="W507" i="1"/>
  <c r="W564" i="1"/>
  <c r="W567" i="1"/>
  <c r="V507" i="1"/>
  <c r="V564" i="1"/>
  <c r="V567" i="1"/>
  <c r="U507" i="1"/>
  <c r="U1253" i="1"/>
  <c r="T507" i="1"/>
  <c r="T564" i="1"/>
  <c r="S507" i="1"/>
  <c r="R507" i="1"/>
  <c r="Q507" i="1"/>
  <c r="Q1253" i="1"/>
  <c r="P507" i="1"/>
  <c r="O507" i="1"/>
  <c r="O1253" i="1"/>
  <c r="N507" i="1"/>
  <c r="N1253" i="1"/>
  <c r="M507" i="1"/>
  <c r="M1253" i="1"/>
  <c r="L507" i="1"/>
  <c r="K507" i="1"/>
  <c r="J507" i="1"/>
  <c r="I507" i="1"/>
  <c r="I1253" i="1"/>
  <c r="H507" i="1"/>
  <c r="G507" i="1"/>
  <c r="G1253" i="1"/>
  <c r="X501" i="1"/>
  <c r="W501" i="1"/>
  <c r="V501" i="1"/>
  <c r="U501" i="1"/>
  <c r="T501" i="1"/>
  <c r="S501" i="1"/>
  <c r="R501" i="1"/>
  <c r="Q501" i="1"/>
  <c r="P501" i="1"/>
  <c r="O501" i="1"/>
  <c r="N501" i="1"/>
  <c r="M501" i="1"/>
  <c r="L501" i="1"/>
  <c r="K501" i="1"/>
  <c r="J501" i="1"/>
  <c r="I501" i="1"/>
  <c r="H501" i="1"/>
  <c r="G501" i="1"/>
  <c r="P500" i="1"/>
  <c r="K500" i="1"/>
  <c r="K502" i="1"/>
  <c r="J500" i="1"/>
  <c r="J502" i="1"/>
  <c r="I500" i="1"/>
  <c r="I532" i="1"/>
  <c r="H500" i="1"/>
  <c r="H502" i="1"/>
  <c r="G500" i="1"/>
  <c r="G502" i="1"/>
  <c r="AE495" i="1"/>
  <c r="Z495" i="1"/>
  <c r="X495" i="1"/>
  <c r="W495" i="1"/>
  <c r="V495" i="1"/>
  <c r="U495" i="1"/>
  <c r="T495" i="1"/>
  <c r="S495" i="1"/>
  <c r="R495" i="1"/>
  <c r="Q495" i="1"/>
  <c r="P495" i="1"/>
  <c r="O495" i="1"/>
  <c r="N495" i="1"/>
  <c r="M495" i="1"/>
  <c r="L495" i="1"/>
  <c r="K495" i="1"/>
  <c r="J495" i="1"/>
  <c r="I495" i="1"/>
  <c r="H495" i="1"/>
  <c r="G495" i="1"/>
  <c r="AE494" i="1"/>
  <c r="Z494" i="1"/>
  <c r="P494" i="1"/>
  <c r="P496" i="1"/>
  <c r="U486" i="1"/>
  <c r="T486" i="1"/>
  <c r="P486" i="1"/>
  <c r="S485" i="1"/>
  <c r="R485" i="1"/>
  <c r="Q485" i="1"/>
  <c r="N485" i="1"/>
  <c r="M485" i="1"/>
  <c r="L485" i="1"/>
  <c r="K485" i="1"/>
  <c r="J485" i="1"/>
  <c r="I485" i="1"/>
  <c r="H485" i="1"/>
  <c r="G485" i="1"/>
  <c r="G511" i="1"/>
  <c r="G1259" i="1"/>
  <c r="G1416" i="1"/>
  <c r="U483" i="1"/>
  <c r="T483" i="1"/>
  <c r="S483" i="1"/>
  <c r="R483" i="1"/>
  <c r="Q483" i="1"/>
  <c r="P483" i="1"/>
  <c r="N483" i="1"/>
  <c r="M483" i="1"/>
  <c r="L483" i="1"/>
  <c r="K483" i="1"/>
  <c r="J483" i="1"/>
  <c r="I483" i="1"/>
  <c r="H483" i="1"/>
  <c r="G483" i="1"/>
  <c r="G473" i="1"/>
  <c r="AF472" i="1"/>
  <c r="AE472" i="1"/>
  <c r="Z472" i="1"/>
  <c r="Y472" i="1"/>
  <c r="X472" i="1"/>
  <c r="X511" i="1"/>
  <c r="W472" i="1"/>
  <c r="W511" i="1"/>
  <c r="W1259" i="1"/>
  <c r="W1591" i="1"/>
  <c r="V472" i="1"/>
  <c r="V511" i="1"/>
  <c r="U472" i="1"/>
  <c r="U511" i="1"/>
  <c r="T472" i="1"/>
  <c r="T511" i="1"/>
  <c r="S472" i="1"/>
  <c r="R472" i="1"/>
  <c r="R511" i="1"/>
  <c r="Q472" i="1"/>
  <c r="Q511" i="1"/>
  <c r="P472" i="1"/>
  <c r="P511" i="1"/>
  <c r="P1259" i="1"/>
  <c r="P1416" i="1"/>
  <c r="O472" i="1"/>
  <c r="O511" i="1"/>
  <c r="N472" i="1"/>
  <c r="N511" i="1"/>
  <c r="N1259" i="1"/>
  <c r="M472" i="1"/>
  <c r="L472" i="1"/>
  <c r="L511" i="1"/>
  <c r="K472" i="1"/>
  <c r="J472" i="1"/>
  <c r="J511" i="1"/>
  <c r="J1259" i="1"/>
  <c r="J1416" i="1"/>
  <c r="I472" i="1"/>
  <c r="H472" i="1"/>
  <c r="AF470" i="1"/>
  <c r="AE470" i="1"/>
  <c r="Z470" i="1"/>
  <c r="Y470" i="1"/>
  <c r="X470" i="1"/>
  <c r="W470" i="1"/>
  <c r="V470" i="1"/>
  <c r="U470" i="1"/>
  <c r="T470" i="1"/>
  <c r="S470" i="1"/>
  <c r="R470" i="1"/>
  <c r="Q470" i="1"/>
  <c r="P470" i="1"/>
  <c r="O470" i="1"/>
  <c r="N470" i="1"/>
  <c r="M470" i="1"/>
  <c r="L470" i="1"/>
  <c r="K470" i="1"/>
  <c r="J470" i="1"/>
  <c r="I470" i="1"/>
  <c r="H470" i="1"/>
  <c r="H460" i="1"/>
  <c r="G470" i="1"/>
  <c r="G460" i="1"/>
  <c r="I464" i="1"/>
  <c r="H464" i="1"/>
  <c r="G464" i="1"/>
  <c r="I460" i="1"/>
  <c r="V449" i="1"/>
  <c r="U449" i="1"/>
  <c r="N449" i="1"/>
  <c r="M448" i="1"/>
  <c r="AD410" i="1"/>
  <c r="X447" i="1"/>
  <c r="W447" i="1"/>
  <c r="V447" i="1"/>
  <c r="T447" i="1"/>
  <c r="S447" i="1"/>
  <c r="R447" i="1"/>
  <c r="Q447" i="1"/>
  <c r="O447" i="1"/>
  <c r="N447" i="1"/>
  <c r="M447" i="1"/>
  <c r="L447" i="1"/>
  <c r="X442" i="1"/>
  <c r="W442" i="1"/>
  <c r="V442" i="1"/>
  <c r="U442" i="1"/>
  <c r="T442" i="1"/>
  <c r="S442" i="1"/>
  <c r="R442" i="1"/>
  <c r="Q442" i="1"/>
  <c r="P442" i="1"/>
  <c r="O442" i="1"/>
  <c r="N442" i="1"/>
  <c r="M442" i="1"/>
  <c r="L442" i="1"/>
  <c r="K442" i="1"/>
  <c r="J442" i="1"/>
  <c r="I442" i="1"/>
  <c r="H442" i="1"/>
  <c r="G442" i="1"/>
  <c r="W441" i="1"/>
  <c r="V441" i="1"/>
  <c r="U441" i="1"/>
  <c r="T441" i="1"/>
  <c r="S441" i="1"/>
  <c r="R441" i="1"/>
  <c r="Q441" i="1"/>
  <c r="P441" i="1"/>
  <c r="O441" i="1"/>
  <c r="N441" i="1"/>
  <c r="M441" i="1"/>
  <c r="L441" i="1"/>
  <c r="K441" i="1"/>
  <c r="J441" i="1"/>
  <c r="I441" i="1"/>
  <c r="H441" i="1"/>
  <c r="G441" i="1"/>
  <c r="AF440" i="1"/>
  <c r="AG440" i="1"/>
  <c r="AD440" i="1"/>
  <c r="AC440" i="1"/>
  <c r="X440" i="1"/>
  <c r="W440" i="1"/>
  <c r="V440" i="1"/>
  <c r="U440" i="1"/>
  <c r="T440" i="1"/>
  <c r="S440" i="1"/>
  <c r="R440" i="1"/>
  <c r="Q440" i="1"/>
  <c r="P440" i="1"/>
  <c r="O440" i="1"/>
  <c r="N440" i="1"/>
  <c r="M440" i="1"/>
  <c r="L440" i="1"/>
  <c r="K440" i="1"/>
  <c r="J440" i="1"/>
  <c r="I440" i="1"/>
  <c r="H440" i="1"/>
  <c r="G440" i="1"/>
  <c r="W436" i="1"/>
  <c r="J436" i="1"/>
  <c r="X435" i="1"/>
  <c r="W435" i="1"/>
  <c r="V435" i="1"/>
  <c r="V436" i="1"/>
  <c r="U435" i="1"/>
  <c r="U436" i="1"/>
  <c r="T435" i="1"/>
  <c r="T448" i="1"/>
  <c r="S435" i="1"/>
  <c r="R435" i="1"/>
  <c r="R448" i="1"/>
  <c r="Q435" i="1"/>
  <c r="Q436" i="1"/>
  <c r="P435" i="1"/>
  <c r="P436" i="1"/>
  <c r="O435" i="1"/>
  <c r="O436" i="1"/>
  <c r="N435" i="1"/>
  <c r="N436" i="1"/>
  <c r="M435" i="1"/>
  <c r="M436" i="1"/>
  <c r="L435" i="1"/>
  <c r="L448" i="1"/>
  <c r="K435" i="1"/>
  <c r="J435" i="1"/>
  <c r="J448" i="1"/>
  <c r="I435" i="1"/>
  <c r="I436" i="1"/>
  <c r="H435" i="1"/>
  <c r="G435" i="1"/>
  <c r="G436" i="1"/>
  <c r="X434" i="1"/>
  <c r="X449" i="1"/>
  <c r="W434" i="1"/>
  <c r="W449" i="1"/>
  <c r="T434" i="1"/>
  <c r="T449" i="1"/>
  <c r="S434" i="1"/>
  <c r="S449" i="1"/>
  <c r="R434" i="1"/>
  <c r="R449" i="1"/>
  <c r="Q434" i="1"/>
  <c r="Q449" i="1"/>
  <c r="P434" i="1"/>
  <c r="P449" i="1"/>
  <c r="O434" i="1"/>
  <c r="O449" i="1"/>
  <c r="N434" i="1"/>
  <c r="M434" i="1"/>
  <c r="M449" i="1"/>
  <c r="L434" i="1"/>
  <c r="L449" i="1"/>
  <c r="K434" i="1"/>
  <c r="K449" i="1"/>
  <c r="J434" i="1"/>
  <c r="J449" i="1"/>
  <c r="I434" i="1"/>
  <c r="I449" i="1"/>
  <c r="H434" i="1"/>
  <c r="H449" i="1"/>
  <c r="G434" i="1"/>
  <c r="AF431" i="1"/>
  <c r="U417" i="1"/>
  <c r="U423" i="1"/>
  <c r="T417" i="1"/>
  <c r="T423" i="1"/>
  <c r="S417" i="1"/>
  <c r="S423" i="1"/>
  <c r="R417" i="1"/>
  <c r="R423" i="1"/>
  <c r="Q417" i="1"/>
  <c r="Q423" i="1"/>
  <c r="P417" i="1"/>
  <c r="P423" i="1"/>
  <c r="O417" i="1"/>
  <c r="O423" i="1"/>
  <c r="N417" i="1"/>
  <c r="N423" i="1"/>
  <c r="M417" i="1"/>
  <c r="M423" i="1"/>
  <c r="L417" i="1"/>
  <c r="L423" i="1"/>
  <c r="K417" i="1"/>
  <c r="K423" i="1"/>
  <c r="J417" i="1"/>
  <c r="J423" i="1"/>
  <c r="I417" i="1"/>
  <c r="I423" i="1"/>
  <c r="H417" i="1"/>
  <c r="H423" i="1"/>
  <c r="G417" i="1"/>
  <c r="G423" i="1"/>
  <c r="AL413" i="1"/>
  <c r="AK413" i="1"/>
  <c r="AJ413" i="1"/>
  <c r="AI413" i="1"/>
  <c r="AH413" i="1"/>
  <c r="AG413" i="1"/>
  <c r="AF413" i="1"/>
  <c r="AE413" i="1"/>
  <c r="AC410" i="1"/>
  <c r="S400" i="1"/>
  <c r="AD398" i="1"/>
  <c r="AD339" i="1"/>
  <c r="AD344" i="1"/>
  <c r="X398" i="1"/>
  <c r="W398" i="1"/>
  <c r="V398" i="1"/>
  <c r="T398" i="1"/>
  <c r="S398" i="1"/>
  <c r="R398" i="1"/>
  <c r="Q398" i="1"/>
  <c r="O398" i="1"/>
  <c r="N398" i="1"/>
  <c r="M398" i="1"/>
  <c r="L398" i="1"/>
  <c r="AE391" i="1"/>
  <c r="AC391" i="1"/>
  <c r="X391" i="1"/>
  <c r="W391" i="1"/>
  <c r="V391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V389" i="1"/>
  <c r="Q389" i="1"/>
  <c r="V385" i="1"/>
  <c r="R385" i="1"/>
  <c r="R393" i="1"/>
  <c r="N385" i="1"/>
  <c r="N392" i="1"/>
  <c r="X384" i="1"/>
  <c r="X385" i="1"/>
  <c r="W384" i="1"/>
  <c r="W385" i="1"/>
  <c r="U384" i="1"/>
  <c r="U385" i="1"/>
  <c r="T384" i="1"/>
  <c r="T385" i="1"/>
  <c r="S384" i="1"/>
  <c r="S385" i="1"/>
  <c r="R384" i="1"/>
  <c r="Q384" i="1"/>
  <c r="Q385" i="1"/>
  <c r="P384" i="1"/>
  <c r="P385" i="1"/>
  <c r="O384" i="1"/>
  <c r="O385" i="1"/>
  <c r="N384" i="1"/>
  <c r="M384" i="1"/>
  <c r="M385" i="1"/>
  <c r="M392" i="1"/>
  <c r="L384" i="1"/>
  <c r="L385" i="1"/>
  <c r="K384" i="1"/>
  <c r="K385" i="1"/>
  <c r="J384" i="1"/>
  <c r="J385" i="1"/>
  <c r="I384" i="1"/>
  <c r="I385" i="1"/>
  <c r="H384" i="1"/>
  <c r="H385" i="1"/>
  <c r="G384" i="1"/>
  <c r="G385" i="1"/>
  <c r="X383" i="1"/>
  <c r="X389" i="1"/>
  <c r="W383" i="1"/>
  <c r="W389" i="1"/>
  <c r="V383" i="1"/>
  <c r="U383" i="1"/>
  <c r="U389" i="1"/>
  <c r="T383" i="1"/>
  <c r="T389" i="1"/>
  <c r="S383" i="1"/>
  <c r="S389" i="1"/>
  <c r="R383" i="1"/>
  <c r="R389" i="1"/>
  <c r="Q383" i="1"/>
  <c r="P383" i="1"/>
  <c r="P389" i="1"/>
  <c r="O383" i="1"/>
  <c r="O389" i="1"/>
  <c r="N383" i="1"/>
  <c r="N389" i="1"/>
  <c r="M383" i="1"/>
  <c r="M389" i="1"/>
  <c r="L383" i="1"/>
  <c r="L389" i="1"/>
  <c r="K383" i="1"/>
  <c r="K389" i="1"/>
  <c r="J383" i="1"/>
  <c r="J389" i="1"/>
  <c r="I383" i="1"/>
  <c r="I389" i="1"/>
  <c r="H383" i="1"/>
  <c r="H389" i="1"/>
  <c r="G383" i="1"/>
  <c r="G389" i="1"/>
  <c r="AC382" i="1"/>
  <c r="AE382" i="1"/>
  <c r="AF382" i="1"/>
  <c r="AG382" i="1"/>
  <c r="AH382" i="1"/>
  <c r="AI382" i="1"/>
  <c r="AJ382" i="1"/>
  <c r="AK382" i="1"/>
  <c r="AL382" i="1"/>
  <c r="AD382" i="1"/>
  <c r="H374" i="1"/>
  <c r="X373" i="1"/>
  <c r="X399" i="1"/>
  <c r="W373" i="1"/>
  <c r="W399" i="1"/>
  <c r="V373" i="1"/>
  <c r="U373" i="1"/>
  <c r="U399" i="1"/>
  <c r="T373" i="1"/>
  <c r="T399" i="1"/>
  <c r="S373" i="1"/>
  <c r="S399" i="1"/>
  <c r="R373" i="1"/>
  <c r="R399" i="1"/>
  <c r="Q373" i="1"/>
  <c r="P373" i="1"/>
  <c r="P399" i="1"/>
  <c r="O373" i="1"/>
  <c r="O399" i="1"/>
  <c r="N373" i="1"/>
  <c r="N374" i="1"/>
  <c r="M373" i="1"/>
  <c r="M374" i="1"/>
  <c r="L373" i="1"/>
  <c r="L399" i="1"/>
  <c r="K373" i="1"/>
  <c r="K399" i="1"/>
  <c r="J373" i="1"/>
  <c r="I373" i="1"/>
  <c r="H373" i="1"/>
  <c r="H399" i="1"/>
  <c r="G373" i="1"/>
  <c r="G374" i="1"/>
  <c r="X372" i="1"/>
  <c r="W372" i="1"/>
  <c r="W400" i="1"/>
  <c r="V372" i="1"/>
  <c r="V400" i="1"/>
  <c r="U372" i="1"/>
  <c r="U400" i="1"/>
  <c r="T372" i="1"/>
  <c r="T400" i="1"/>
  <c r="S372" i="1"/>
  <c r="R372" i="1"/>
  <c r="R400" i="1"/>
  <c r="Q372" i="1"/>
  <c r="Q400" i="1"/>
  <c r="P372" i="1"/>
  <c r="P400" i="1"/>
  <c r="O372" i="1"/>
  <c r="O400" i="1"/>
  <c r="N372" i="1"/>
  <c r="N400" i="1"/>
  <c r="M372" i="1"/>
  <c r="M400" i="1"/>
  <c r="L372" i="1"/>
  <c r="L400" i="1"/>
  <c r="K372" i="1"/>
  <c r="K400" i="1"/>
  <c r="J372" i="1"/>
  <c r="J400" i="1"/>
  <c r="I372" i="1"/>
  <c r="I400" i="1"/>
  <c r="H372" i="1"/>
  <c r="H400" i="1"/>
  <c r="G372" i="1"/>
  <c r="AL355" i="1"/>
  <c r="AK355" i="1"/>
  <c r="AJ355" i="1"/>
  <c r="AI355" i="1"/>
  <c r="AH355" i="1"/>
  <c r="AG355" i="1"/>
  <c r="AF355" i="1"/>
  <c r="AE355" i="1"/>
  <c r="AB355" i="1"/>
  <c r="Z355" i="1"/>
  <c r="U355" i="1"/>
  <c r="P355" i="1"/>
  <c r="K355" i="1"/>
  <c r="J355" i="1"/>
  <c r="I355" i="1"/>
  <c r="H355" i="1"/>
  <c r="G355" i="1"/>
  <c r="G356" i="1"/>
  <c r="AL353" i="1"/>
  <c r="AK353" i="1"/>
  <c r="AJ353" i="1"/>
  <c r="AI353" i="1"/>
  <c r="AH353" i="1"/>
  <c r="AG353" i="1"/>
  <c r="AF353" i="1"/>
  <c r="AE353" i="1"/>
  <c r="Z353" i="1"/>
  <c r="U353" i="1"/>
  <c r="U354" i="1"/>
  <c r="U356" i="1"/>
  <c r="P353" i="1"/>
  <c r="P354" i="1"/>
  <c r="K353" i="1"/>
  <c r="K354" i="1"/>
  <c r="J353" i="1"/>
  <c r="J354" i="1"/>
  <c r="I353" i="1"/>
  <c r="I354" i="1"/>
  <c r="H353" i="1"/>
  <c r="H354" i="1"/>
  <c r="G353" i="1"/>
  <c r="G354" i="1"/>
  <c r="U348" i="1"/>
  <c r="U362" i="1"/>
  <c r="T348" i="1"/>
  <c r="T362" i="1"/>
  <c r="S348" i="1"/>
  <c r="S362" i="1"/>
  <c r="R348" i="1"/>
  <c r="R362" i="1"/>
  <c r="Q348" i="1"/>
  <c r="Q362" i="1"/>
  <c r="P348" i="1"/>
  <c r="P362" i="1"/>
  <c r="O348" i="1"/>
  <c r="O362" i="1"/>
  <c r="N348" i="1"/>
  <c r="N362" i="1"/>
  <c r="M348" i="1"/>
  <c r="M362" i="1"/>
  <c r="L348" i="1"/>
  <c r="L362" i="1"/>
  <c r="K348" i="1"/>
  <c r="K362" i="1"/>
  <c r="J348" i="1"/>
  <c r="J362" i="1"/>
  <c r="I348" i="1"/>
  <c r="I362" i="1"/>
  <c r="H348" i="1"/>
  <c r="H362" i="1"/>
  <c r="G348" i="1"/>
  <c r="G362" i="1"/>
  <c r="AC344" i="1"/>
  <c r="AF340" i="1"/>
  <c r="AF345" i="1"/>
  <c r="AC340" i="1"/>
  <c r="AC345" i="1"/>
  <c r="AF339" i="1"/>
  <c r="AF344" i="1"/>
  <c r="AC339" i="1"/>
  <c r="AB495" i="1"/>
  <c r="AA495" i="1"/>
  <c r="AF338" i="1"/>
  <c r="AG338" i="1"/>
  <c r="AC338" i="1"/>
  <c r="AE333" i="1"/>
  <c r="AE383" i="1"/>
  <c r="Z383" i="1"/>
  <c r="Z389" i="1"/>
  <c r="L320" i="1"/>
  <c r="X313" i="1"/>
  <c r="W313" i="1"/>
  <c r="V313" i="1"/>
  <c r="U313" i="1"/>
  <c r="AE313" i="1"/>
  <c r="AD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I312" i="1"/>
  <c r="M311" i="1"/>
  <c r="I311" i="1"/>
  <c r="AE306" i="1"/>
  <c r="AE307" i="1"/>
  <c r="P306" i="1"/>
  <c r="P307" i="1"/>
  <c r="P316" i="1"/>
  <c r="K306" i="1"/>
  <c r="K307" i="1"/>
  <c r="J306" i="1"/>
  <c r="J307" i="1"/>
  <c r="I306" i="1"/>
  <c r="I307" i="1"/>
  <c r="H306" i="1"/>
  <c r="H307" i="1"/>
  <c r="G306" i="1"/>
  <c r="G307" i="1"/>
  <c r="G316" i="1"/>
  <c r="X305" i="1"/>
  <c r="X311" i="1"/>
  <c r="W305" i="1"/>
  <c r="W311" i="1"/>
  <c r="V305" i="1"/>
  <c r="V311" i="1"/>
  <c r="U305" i="1"/>
  <c r="U311" i="1"/>
  <c r="T305" i="1"/>
  <c r="T311" i="1"/>
  <c r="S305" i="1"/>
  <c r="S311" i="1"/>
  <c r="R305" i="1"/>
  <c r="R311" i="1"/>
  <c r="Q305" i="1"/>
  <c r="Q311" i="1"/>
  <c r="P305" i="1"/>
  <c r="P311" i="1"/>
  <c r="O305" i="1"/>
  <c r="O311" i="1"/>
  <c r="N305" i="1"/>
  <c r="N311" i="1"/>
  <c r="M305" i="1"/>
  <c r="L305" i="1"/>
  <c r="L311" i="1"/>
  <c r="K305" i="1"/>
  <c r="K311" i="1"/>
  <c r="J305" i="1"/>
  <c r="J311" i="1"/>
  <c r="I305" i="1"/>
  <c r="H305" i="1"/>
  <c r="H311" i="1"/>
  <c r="G305" i="1"/>
  <c r="G311" i="1"/>
  <c r="AE304" i="1"/>
  <c r="AF304" i="1"/>
  <c r="AG304" i="1"/>
  <c r="AH304" i="1"/>
  <c r="AI304" i="1"/>
  <c r="AJ304" i="1"/>
  <c r="AK304" i="1"/>
  <c r="AL304" i="1"/>
  <c r="AD304" i="1"/>
  <c r="AC304" i="1"/>
  <c r="X297" i="1"/>
  <c r="X320" i="1"/>
  <c r="W297" i="1"/>
  <c r="W298" i="1"/>
  <c r="V297" i="1"/>
  <c r="V320" i="1"/>
  <c r="U297" i="1"/>
  <c r="U320" i="1"/>
  <c r="T297" i="1"/>
  <c r="T298" i="1"/>
  <c r="S297" i="1"/>
  <c r="R297" i="1"/>
  <c r="R298" i="1"/>
  <c r="Q297" i="1"/>
  <c r="Q320" i="1"/>
  <c r="P297" i="1"/>
  <c r="P320" i="1"/>
  <c r="O297" i="1"/>
  <c r="O320" i="1"/>
  <c r="N297" i="1"/>
  <c r="N320" i="1"/>
  <c r="M297" i="1"/>
  <c r="M298" i="1"/>
  <c r="L297" i="1"/>
  <c r="L298" i="1"/>
  <c r="K297" i="1"/>
  <c r="J297" i="1"/>
  <c r="I297" i="1"/>
  <c r="I298" i="1"/>
  <c r="H297" i="1"/>
  <c r="H320" i="1"/>
  <c r="G297" i="1"/>
  <c r="G298" i="1"/>
  <c r="AA296" i="1"/>
  <c r="AA321" i="1"/>
  <c r="X296" i="1"/>
  <c r="X321" i="1"/>
  <c r="W296" i="1"/>
  <c r="W321" i="1"/>
  <c r="V296" i="1"/>
  <c r="U296" i="1"/>
  <c r="U321" i="1"/>
  <c r="T296" i="1"/>
  <c r="T321" i="1"/>
  <c r="S296" i="1"/>
  <c r="S321" i="1"/>
  <c r="R296" i="1"/>
  <c r="R321" i="1"/>
  <c r="Q296" i="1"/>
  <c r="Q321" i="1"/>
  <c r="P296" i="1"/>
  <c r="P321" i="1"/>
  <c r="O296" i="1"/>
  <c r="O321" i="1"/>
  <c r="N296" i="1"/>
  <c r="N321" i="1"/>
  <c r="M296" i="1"/>
  <c r="M321" i="1"/>
  <c r="L296" i="1"/>
  <c r="L321" i="1"/>
  <c r="K296" i="1"/>
  <c r="K321" i="1"/>
  <c r="J296" i="1"/>
  <c r="J321" i="1"/>
  <c r="I296" i="1"/>
  <c r="I321" i="1"/>
  <c r="H296" i="1"/>
  <c r="H321" i="1"/>
  <c r="G296" i="1"/>
  <c r="L275" i="1"/>
  <c r="L276" i="1"/>
  <c r="AL274" i="1"/>
  <c r="AK274" i="1"/>
  <c r="AJ274" i="1"/>
  <c r="AI274" i="1"/>
  <c r="AH274" i="1"/>
  <c r="AG274" i="1"/>
  <c r="AF274" i="1"/>
  <c r="AE274" i="1"/>
  <c r="Z274" i="1"/>
  <c r="U274" i="1"/>
  <c r="T274" i="1"/>
  <c r="S274" i="1"/>
  <c r="R274" i="1"/>
  <c r="Q274" i="1"/>
  <c r="P274" i="1"/>
  <c r="P275" i="1"/>
  <c r="P276" i="1"/>
  <c r="O274" i="1"/>
  <c r="N274" i="1"/>
  <c r="M274" i="1"/>
  <c r="L274" i="1"/>
  <c r="K274" i="1"/>
  <c r="K275" i="1"/>
  <c r="K276" i="1"/>
  <c r="J274" i="1"/>
  <c r="J275" i="1"/>
  <c r="J276" i="1"/>
  <c r="I274" i="1"/>
  <c r="I275" i="1"/>
  <c r="I276" i="1"/>
  <c r="H274" i="1"/>
  <c r="H275" i="1"/>
  <c r="H276" i="1"/>
  <c r="G274" i="1"/>
  <c r="G275" i="1"/>
  <c r="G276" i="1"/>
  <c r="AL267" i="1"/>
  <c r="AK267" i="1"/>
  <c r="AJ267" i="1"/>
  <c r="AI267" i="1"/>
  <c r="AH267" i="1"/>
  <c r="AG267" i="1"/>
  <c r="AF267" i="1"/>
  <c r="AE267" i="1"/>
  <c r="Z267" i="1"/>
  <c r="U267" i="1"/>
  <c r="P267" i="1"/>
  <c r="K267" i="1"/>
  <c r="J267" i="1"/>
  <c r="I267" i="1"/>
  <c r="H267" i="1"/>
  <c r="G267" i="1"/>
  <c r="I266" i="1"/>
  <c r="AL265" i="1"/>
  <c r="AK265" i="1"/>
  <c r="AJ265" i="1"/>
  <c r="AI265" i="1"/>
  <c r="AH265" i="1"/>
  <c r="AG265" i="1"/>
  <c r="AF265" i="1"/>
  <c r="AE265" i="1"/>
  <c r="Z265" i="1"/>
  <c r="U265" i="1"/>
  <c r="P265" i="1"/>
  <c r="P266" i="1"/>
  <c r="K265" i="1"/>
  <c r="K266" i="1"/>
  <c r="J265" i="1"/>
  <c r="J266" i="1"/>
  <c r="I265" i="1"/>
  <c r="H265" i="1"/>
  <c r="H266" i="1"/>
  <c r="G265" i="1"/>
  <c r="G266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AE253" i="1"/>
  <c r="Z284" i="1"/>
  <c r="X253" i="1"/>
  <c r="X284" i="1"/>
  <c r="W253" i="1"/>
  <c r="V253" i="1"/>
  <c r="V284" i="1"/>
  <c r="T253" i="1"/>
  <c r="T284" i="1"/>
  <c r="S253" i="1"/>
  <c r="S284" i="1"/>
  <c r="R253" i="1"/>
  <c r="Q253" i="1"/>
  <c r="Q284" i="1"/>
  <c r="P253" i="1"/>
  <c r="P284" i="1"/>
  <c r="O253" i="1"/>
  <c r="N253" i="1"/>
  <c r="M253" i="1"/>
  <c r="L253" i="1"/>
  <c r="L284" i="1"/>
  <c r="K253" i="1"/>
  <c r="K284" i="1"/>
  <c r="J253" i="1"/>
  <c r="J284" i="1"/>
  <c r="I253" i="1"/>
  <c r="I284" i="1"/>
  <c r="H253" i="1"/>
  <c r="H284" i="1"/>
  <c r="G253" i="1"/>
  <c r="AE252" i="1"/>
  <c r="AE928" i="1"/>
  <c r="AE1052" i="1"/>
  <c r="AE1053" i="1"/>
  <c r="Z928" i="1"/>
  <c r="X252" i="1"/>
  <c r="X928" i="1"/>
  <c r="X1052" i="1"/>
  <c r="W252" i="1"/>
  <c r="W928" i="1"/>
  <c r="W1052" i="1"/>
  <c r="V252" i="1"/>
  <c r="V928" i="1"/>
  <c r="V1052" i="1"/>
  <c r="U928" i="1"/>
  <c r="U1052" i="1"/>
  <c r="T252" i="1"/>
  <c r="T928" i="1"/>
  <c r="T1052" i="1"/>
  <c r="S252" i="1"/>
  <c r="R252" i="1"/>
  <c r="R928" i="1"/>
  <c r="R1052" i="1"/>
  <c r="Q252" i="1"/>
  <c r="Q928" i="1"/>
  <c r="Q1052" i="1"/>
  <c r="O252" i="1"/>
  <c r="N252" i="1"/>
  <c r="N928" i="1"/>
  <c r="N1052" i="1"/>
  <c r="M252" i="1"/>
  <c r="M928" i="1"/>
  <c r="M1052" i="1"/>
  <c r="L252" i="1"/>
  <c r="L928" i="1"/>
  <c r="L1052" i="1"/>
  <c r="AE266" i="1"/>
  <c r="Z306" i="1"/>
  <c r="Z307" i="1"/>
  <c r="X251" i="1"/>
  <c r="X500" i="1"/>
  <c r="X577" i="1"/>
  <c r="W251" i="1"/>
  <c r="W500" i="1"/>
  <c r="R251" i="1"/>
  <c r="Q251" i="1"/>
  <c r="T251" i="1"/>
  <c r="O251" i="1"/>
  <c r="O306" i="1"/>
  <c r="O307" i="1"/>
  <c r="O316" i="1"/>
  <c r="N251" i="1"/>
  <c r="M251" i="1"/>
  <c r="M306" i="1"/>
  <c r="M307" i="1"/>
  <c r="L251" i="1"/>
  <c r="L500" i="1"/>
  <c r="AG240" i="1"/>
  <c r="AH240" i="1"/>
  <c r="AF240" i="1"/>
  <c r="AF253" i="1"/>
  <c r="AC240" i="1"/>
  <c r="AC235" i="1"/>
  <c r="AC247" i="1"/>
  <c r="AC253" i="1"/>
  <c r="X240" i="1"/>
  <c r="W240" i="1"/>
  <c r="V240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AF239" i="1"/>
  <c r="AF926" i="1"/>
  <c r="AF939" i="1"/>
  <c r="AC239" i="1"/>
  <c r="AC926" i="1"/>
  <c r="AC939" i="1"/>
  <c r="AB939" i="1"/>
  <c r="X239" i="1"/>
  <c r="X926" i="1"/>
  <c r="X939" i="1"/>
  <c r="W239" i="1"/>
  <c r="W926" i="1"/>
  <c r="W939" i="1"/>
  <c r="V239" i="1"/>
  <c r="V926" i="1"/>
  <c r="V939" i="1"/>
  <c r="U239" i="1"/>
  <c r="U926" i="1"/>
  <c r="U939" i="1"/>
  <c r="T239" i="1"/>
  <c r="T926" i="1"/>
  <c r="T939" i="1"/>
  <c r="S239" i="1"/>
  <c r="S926" i="1"/>
  <c r="S939" i="1"/>
  <c r="R239" i="1"/>
  <c r="R926" i="1"/>
  <c r="R939" i="1"/>
  <c r="Q239" i="1"/>
  <c r="Q926" i="1"/>
  <c r="Q939" i="1"/>
  <c r="O239" i="1"/>
  <c r="O926" i="1"/>
  <c r="O939" i="1"/>
  <c r="N239" i="1"/>
  <c r="N926" i="1"/>
  <c r="N939" i="1"/>
  <c r="M239" i="1"/>
  <c r="M926" i="1"/>
  <c r="M939" i="1"/>
  <c r="L239" i="1"/>
  <c r="L926" i="1"/>
  <c r="L939" i="1"/>
  <c r="AF238" i="1"/>
  <c r="AF251" i="1"/>
  <c r="AF266" i="1"/>
  <c r="AC238" i="1"/>
  <c r="AC233" i="1"/>
  <c r="X238" i="1"/>
  <c r="W494" i="1"/>
  <c r="W496" i="1"/>
  <c r="U238" i="1"/>
  <c r="U494" i="1"/>
  <c r="T238" i="1"/>
  <c r="T494" i="1"/>
  <c r="T496" i="1"/>
  <c r="S238" i="1"/>
  <c r="S494" i="1"/>
  <c r="S496" i="1"/>
  <c r="R238" i="1"/>
  <c r="R494" i="1"/>
  <c r="R496" i="1"/>
  <c r="Q238" i="1"/>
  <c r="O238" i="1"/>
  <c r="N238" i="1"/>
  <c r="M238" i="1"/>
  <c r="L238" i="1"/>
  <c r="L319" i="1"/>
  <c r="K238" i="1"/>
  <c r="K494" i="1"/>
  <c r="K531" i="1"/>
  <c r="J238" i="1"/>
  <c r="J494" i="1"/>
  <c r="J496" i="1"/>
  <c r="I238" i="1"/>
  <c r="I494" i="1"/>
  <c r="H238" i="1"/>
  <c r="H494" i="1"/>
  <c r="G238" i="1"/>
  <c r="G494" i="1"/>
  <c r="G496" i="1"/>
  <c r="AF235" i="1"/>
  <c r="AF247" i="1"/>
  <c r="AD209" i="1"/>
  <c r="T209" i="1"/>
  <c r="S209" i="1"/>
  <c r="R209" i="1"/>
  <c r="Q209" i="1"/>
  <c r="O209" i="1"/>
  <c r="N209" i="1"/>
  <c r="M209" i="1"/>
  <c r="L209" i="1"/>
  <c r="P209" i="1"/>
  <c r="AE204" i="1"/>
  <c r="AF204" i="1"/>
  <c r="AG204" i="1"/>
  <c r="AH204" i="1"/>
  <c r="AI204" i="1"/>
  <c r="AJ204" i="1"/>
  <c r="AK204" i="1"/>
  <c r="AL204" i="1"/>
  <c r="AD204" i="1"/>
  <c r="AC204" i="1"/>
  <c r="X204" i="1"/>
  <c r="W204" i="1"/>
  <c r="V204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X197" i="1"/>
  <c r="X206" i="1"/>
  <c r="W197" i="1"/>
  <c r="W206" i="1"/>
  <c r="V197" i="1"/>
  <c r="V206" i="1"/>
  <c r="U197" i="1"/>
  <c r="U206" i="1"/>
  <c r="T197" i="1"/>
  <c r="T206" i="1"/>
  <c r="S197" i="1"/>
  <c r="S198" i="1"/>
  <c r="S203" i="1"/>
  <c r="R197" i="1"/>
  <c r="R206" i="1"/>
  <c r="Q197" i="1"/>
  <c r="Q206" i="1"/>
  <c r="P197" i="1"/>
  <c r="P206" i="1"/>
  <c r="O197" i="1"/>
  <c r="O206" i="1"/>
  <c r="N197" i="1"/>
  <c r="N206" i="1"/>
  <c r="M197" i="1"/>
  <c r="M206" i="1"/>
  <c r="L197" i="1"/>
  <c r="L206" i="1"/>
  <c r="K197" i="1"/>
  <c r="K205" i="1"/>
  <c r="J197" i="1"/>
  <c r="J206" i="1"/>
  <c r="I197" i="1"/>
  <c r="I206" i="1"/>
  <c r="H197" i="1"/>
  <c r="H206" i="1"/>
  <c r="G197" i="1"/>
  <c r="G206" i="1"/>
  <c r="X196" i="1"/>
  <c r="X202" i="1"/>
  <c r="W196" i="1"/>
  <c r="W202" i="1"/>
  <c r="V196" i="1"/>
  <c r="V202" i="1"/>
  <c r="U196" i="1"/>
  <c r="U202" i="1"/>
  <c r="T196" i="1"/>
  <c r="T202" i="1"/>
  <c r="S196" i="1"/>
  <c r="S202" i="1"/>
  <c r="R196" i="1"/>
  <c r="R202" i="1"/>
  <c r="Q196" i="1"/>
  <c r="Q202" i="1"/>
  <c r="P196" i="1"/>
  <c r="P202" i="1"/>
  <c r="O196" i="1"/>
  <c r="O202" i="1"/>
  <c r="N196" i="1"/>
  <c r="N202" i="1"/>
  <c r="M196" i="1"/>
  <c r="M202" i="1"/>
  <c r="L196" i="1"/>
  <c r="L202" i="1"/>
  <c r="K196" i="1"/>
  <c r="K202" i="1"/>
  <c r="J196" i="1"/>
  <c r="J202" i="1"/>
  <c r="I196" i="1"/>
  <c r="I202" i="1"/>
  <c r="H196" i="1"/>
  <c r="H202" i="1"/>
  <c r="G196" i="1"/>
  <c r="G202" i="1"/>
  <c r="AE195" i="1"/>
  <c r="AF195" i="1"/>
  <c r="AG195" i="1"/>
  <c r="AH195" i="1"/>
  <c r="AI195" i="1"/>
  <c r="AJ195" i="1"/>
  <c r="AK195" i="1"/>
  <c r="AL195" i="1"/>
  <c r="AC195" i="1"/>
  <c r="AD195" i="1"/>
  <c r="V191" i="1"/>
  <c r="X190" i="1"/>
  <c r="X191" i="1"/>
  <c r="W190" i="1"/>
  <c r="U190" i="1"/>
  <c r="U191" i="1"/>
  <c r="T190" i="1"/>
  <c r="S190" i="1"/>
  <c r="R190" i="1"/>
  <c r="Q190" i="1"/>
  <c r="P190" i="1"/>
  <c r="P191" i="1"/>
  <c r="O190" i="1"/>
  <c r="N190" i="1"/>
  <c r="M190" i="1"/>
  <c r="M191" i="1"/>
  <c r="L190" i="1"/>
  <c r="K190" i="1"/>
  <c r="J190" i="1"/>
  <c r="I190" i="1"/>
  <c r="H190" i="1"/>
  <c r="H191" i="1"/>
  <c r="G190" i="1"/>
  <c r="G191" i="1"/>
  <c r="X189" i="1"/>
  <c r="W189" i="1"/>
  <c r="W512" i="1"/>
  <c r="W569" i="1"/>
  <c r="W575" i="1"/>
  <c r="W581" i="1"/>
  <c r="W583" i="1"/>
  <c r="W585" i="1"/>
  <c r="V189" i="1"/>
  <c r="U189" i="1"/>
  <c r="T189" i="1"/>
  <c r="T512" i="1"/>
  <c r="T569" i="1"/>
  <c r="S189" i="1"/>
  <c r="S512" i="1"/>
  <c r="S569" i="1"/>
  <c r="R189" i="1"/>
  <c r="Q189" i="1"/>
  <c r="P189" i="1"/>
  <c r="O189" i="1"/>
  <c r="N189" i="1"/>
  <c r="N512" i="1"/>
  <c r="N569" i="1"/>
  <c r="M189" i="1"/>
  <c r="L189" i="1"/>
  <c r="L512" i="1"/>
  <c r="L569" i="1"/>
  <c r="K189" i="1"/>
  <c r="J189" i="1"/>
  <c r="I189" i="1"/>
  <c r="H189" i="1"/>
  <c r="G189" i="1"/>
  <c r="W179" i="1"/>
  <c r="V179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AL173" i="1"/>
  <c r="AK173" i="1"/>
  <c r="AJ173" i="1"/>
  <c r="AI173" i="1"/>
  <c r="AH173" i="1"/>
  <c r="AG173" i="1"/>
  <c r="AF173" i="1"/>
  <c r="AE173" i="1"/>
  <c r="Z173" i="1"/>
  <c r="U173" i="1"/>
  <c r="P173" i="1"/>
  <c r="K173" i="1"/>
  <c r="J173" i="1"/>
  <c r="J174" i="1"/>
  <c r="I173" i="1"/>
  <c r="H173" i="1"/>
  <c r="G173" i="1"/>
  <c r="AL171" i="1"/>
  <c r="AK171" i="1"/>
  <c r="AJ171" i="1"/>
  <c r="AI171" i="1"/>
  <c r="AH171" i="1"/>
  <c r="AG171" i="1"/>
  <c r="AF171" i="1"/>
  <c r="AE171" i="1"/>
  <c r="Z171" i="1"/>
  <c r="U171" i="1"/>
  <c r="U172" i="1"/>
  <c r="P171" i="1"/>
  <c r="P172" i="1"/>
  <c r="K171" i="1"/>
  <c r="K172" i="1"/>
  <c r="J171" i="1"/>
  <c r="J172" i="1"/>
  <c r="I171" i="1"/>
  <c r="I172" i="1"/>
  <c r="H171" i="1"/>
  <c r="H172" i="1"/>
  <c r="G171" i="1"/>
  <c r="G172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AA179" i="1"/>
  <c r="AF159" i="1"/>
  <c r="AF163" i="1"/>
  <c r="AF179" i="1"/>
  <c r="AD159" i="1"/>
  <c r="AD163" i="1"/>
  <c r="AD179" i="1"/>
  <c r="AC159" i="1"/>
  <c r="AC163" i="1"/>
  <c r="AC179" i="1"/>
  <c r="AB179" i="1"/>
  <c r="AJ158" i="1"/>
  <c r="AI158" i="1"/>
  <c r="AI162" i="1"/>
  <c r="AG158" i="1"/>
  <c r="AF158" i="1"/>
  <c r="AF162" i="1"/>
  <c r="AD158" i="1"/>
  <c r="AD153" i="1"/>
  <c r="AD196" i="1"/>
  <c r="AC158" i="1"/>
  <c r="AC162" i="1"/>
  <c r="AB494" i="1"/>
  <c r="Z196" i="1"/>
  <c r="Z202" i="1"/>
  <c r="AE202" i="1"/>
  <c r="AH153" i="1"/>
  <c r="AH196" i="1"/>
  <c r="AG153" i="1"/>
  <c r="AG196" i="1"/>
  <c r="AF153" i="1"/>
  <c r="AF196" i="1"/>
  <c r="AE153" i="1"/>
  <c r="AE196" i="1"/>
  <c r="AJ136" i="1"/>
  <c r="AI136" i="1"/>
  <c r="AH136" i="1"/>
  <c r="AG136" i="1"/>
  <c r="AF136" i="1"/>
  <c r="AE136" i="1"/>
  <c r="Z136" i="1"/>
  <c r="X136" i="1"/>
  <c r="W136" i="1"/>
  <c r="V136" i="1"/>
  <c r="U136" i="1"/>
  <c r="T136" i="1"/>
  <c r="S136" i="1"/>
  <c r="R136" i="1"/>
  <c r="Q136" i="1"/>
  <c r="P136" i="1"/>
  <c r="N136" i="1"/>
  <c r="M136" i="1"/>
  <c r="L136" i="1"/>
  <c r="K136" i="1"/>
  <c r="J136" i="1"/>
  <c r="Z135" i="1"/>
  <c r="X135" i="1"/>
  <c r="W135" i="1"/>
  <c r="U135" i="1"/>
  <c r="T135" i="1"/>
  <c r="R135" i="1"/>
  <c r="Q135" i="1"/>
  <c r="P135" i="1"/>
  <c r="M135" i="1"/>
  <c r="L135" i="1"/>
  <c r="K135" i="1"/>
  <c r="J135" i="1"/>
  <c r="I135" i="1"/>
  <c r="H135" i="1"/>
  <c r="G135" i="1"/>
  <c r="J134" i="1"/>
  <c r="G134" i="1"/>
  <c r="G131" i="1"/>
  <c r="AG130" i="1"/>
  <c r="AH130" i="1"/>
  <c r="AI130" i="1"/>
  <c r="AD130" i="1"/>
  <c r="AC130" i="1"/>
  <c r="Y130" i="1"/>
  <c r="X130" i="1"/>
  <c r="W130" i="1"/>
  <c r="U130" i="1"/>
  <c r="T130" i="1"/>
  <c r="S130" i="1"/>
  <c r="Q130" i="1"/>
  <c r="Q131" i="1"/>
  <c r="P130" i="1"/>
  <c r="O130" i="1"/>
  <c r="N130" i="1"/>
  <c r="M130" i="1"/>
  <c r="L130" i="1"/>
  <c r="K130" i="1"/>
  <c r="J130" i="1"/>
  <c r="I130" i="1"/>
  <c r="H130" i="1"/>
  <c r="AE129" i="1"/>
  <c r="AE131" i="1"/>
  <c r="Z129" i="1"/>
  <c r="Z131" i="1"/>
  <c r="X129" i="1"/>
  <c r="X134" i="1"/>
  <c r="X137" i="1"/>
  <c r="W129" i="1"/>
  <c r="W134" i="1"/>
  <c r="W137" i="1"/>
  <c r="V129" i="1"/>
  <c r="U129" i="1"/>
  <c r="T129" i="1"/>
  <c r="S129" i="1"/>
  <c r="S134" i="1"/>
  <c r="R129" i="1"/>
  <c r="Q129" i="1"/>
  <c r="Q134" i="1"/>
  <c r="P129" i="1"/>
  <c r="P131" i="1"/>
  <c r="O129" i="1"/>
  <c r="O134" i="1"/>
  <c r="N129" i="1"/>
  <c r="N131" i="1"/>
  <c r="M129" i="1"/>
  <c r="L129" i="1"/>
  <c r="K129" i="1"/>
  <c r="K131" i="1"/>
  <c r="J129" i="1"/>
  <c r="J131" i="1"/>
  <c r="I129" i="1"/>
  <c r="I131" i="1"/>
  <c r="H129" i="1"/>
  <c r="H134" i="1"/>
  <c r="G129" i="1"/>
  <c r="AI128" i="1"/>
  <c r="AJ128" i="1"/>
  <c r="AK128" i="1"/>
  <c r="AL128" i="1"/>
  <c r="AF128" i="1"/>
  <c r="AG128" i="1"/>
  <c r="AH128" i="1"/>
  <c r="AD128" i="1"/>
  <c r="AC128" i="1"/>
  <c r="AA128" i="1"/>
  <c r="AF127" i="1"/>
  <c r="AG127" i="1"/>
  <c r="AH127" i="1"/>
  <c r="AI127" i="1"/>
  <c r="AJ127" i="1"/>
  <c r="AK127" i="1"/>
  <c r="AL127" i="1"/>
  <c r="AD127" i="1"/>
  <c r="AF126" i="1"/>
  <c r="AD126" i="1"/>
  <c r="AC126" i="1"/>
  <c r="AA129" i="1"/>
  <c r="AA134" i="1"/>
  <c r="AA137" i="1"/>
  <c r="AF125" i="1"/>
  <c r="AD125" i="1"/>
  <c r="AC125" i="1"/>
  <c r="AB125" i="1"/>
  <c r="AB129" i="1"/>
  <c r="Y129" i="1"/>
  <c r="AE114" i="1"/>
  <c r="AD114" i="1"/>
  <c r="AC114" i="1"/>
  <c r="Z114" i="1"/>
  <c r="Y114" i="1"/>
  <c r="X114" i="1"/>
  <c r="T114" i="1"/>
  <c r="S114" i="1"/>
  <c r="Z112" i="1"/>
  <c r="X112" i="1"/>
  <c r="T112" i="1"/>
  <c r="S112" i="1"/>
  <c r="R107" i="1"/>
  <c r="Q107" i="1"/>
  <c r="P107" i="1"/>
  <c r="M107" i="1"/>
  <c r="L107" i="1"/>
  <c r="K107" i="1"/>
  <c r="J107" i="1"/>
  <c r="I107" i="1"/>
  <c r="H107" i="1"/>
  <c r="G107" i="1"/>
  <c r="W102" i="1"/>
  <c r="R102" i="1"/>
  <c r="Q102" i="1"/>
  <c r="Q1546" i="1"/>
  <c r="Q1547" i="1"/>
  <c r="Q1598" i="1"/>
  <c r="P102" i="1"/>
  <c r="P1546" i="1"/>
  <c r="M102" i="1"/>
  <c r="L102" i="1"/>
  <c r="L1546" i="1"/>
  <c r="L1547" i="1"/>
  <c r="L1598" i="1"/>
  <c r="K102" i="1"/>
  <c r="K1546" i="1"/>
  <c r="J102" i="1"/>
  <c r="J1546" i="1"/>
  <c r="I102" i="1"/>
  <c r="I1546" i="1"/>
  <c r="H102" i="1"/>
  <c r="H1546" i="1"/>
  <c r="G102" i="1"/>
  <c r="G1546" i="1"/>
  <c r="AL101" i="1"/>
  <c r="AL135" i="1"/>
  <c r="AK101" i="1"/>
  <c r="AK135" i="1"/>
  <c r="AJ101" i="1"/>
  <c r="AJ135" i="1"/>
  <c r="AI101" i="1"/>
  <c r="AI135" i="1"/>
  <c r="AF101" i="1"/>
  <c r="AF135" i="1"/>
  <c r="AE135" i="1"/>
  <c r="AH101" i="1"/>
  <c r="AH135" i="1"/>
  <c r="Y135" i="1"/>
  <c r="N101" i="1"/>
  <c r="O101" i="1"/>
  <c r="O135" i="1"/>
  <c r="Z100" i="1"/>
  <c r="X100" i="1"/>
  <c r="X102" i="1"/>
  <c r="W100" i="1"/>
  <c r="V100" i="1"/>
  <c r="V107" i="1"/>
  <c r="U100" i="1"/>
  <c r="S100" i="1"/>
  <c r="S1545" i="1"/>
  <c r="N100" i="1"/>
  <c r="AL99" i="1"/>
  <c r="AK99" i="1"/>
  <c r="AJ99" i="1"/>
  <c r="AI99" i="1"/>
  <c r="AH99" i="1"/>
  <c r="AF99" i="1"/>
  <c r="AE99" i="1"/>
  <c r="Y99" i="1"/>
  <c r="R99" i="1"/>
  <c r="S99" i="1"/>
  <c r="T99" i="1"/>
  <c r="T100" i="1"/>
  <c r="O98" i="1"/>
  <c r="AL97" i="1"/>
  <c r="AL136" i="1"/>
  <c r="AK97" i="1"/>
  <c r="AK136" i="1"/>
  <c r="AA97" i="1"/>
  <c r="AA136" i="1"/>
  <c r="O97" i="1"/>
  <c r="O136" i="1"/>
  <c r="Q93" i="1"/>
  <c r="U90" i="1"/>
  <c r="P90" i="1"/>
  <c r="K90" i="1"/>
  <c r="J90" i="1"/>
  <c r="I90" i="1"/>
  <c r="H90" i="1"/>
  <c r="U89" i="1"/>
  <c r="P89" i="1"/>
  <c r="K89" i="1"/>
  <c r="J89" i="1"/>
  <c r="I89" i="1"/>
  <c r="H89" i="1"/>
  <c r="AL88" i="1"/>
  <c r="AK88" i="1"/>
  <c r="AJ88" i="1"/>
  <c r="AI88" i="1"/>
  <c r="AH88" i="1"/>
  <c r="AG88" i="1"/>
  <c r="AF88" i="1"/>
  <c r="AE88" i="1"/>
  <c r="Z88" i="1"/>
  <c r="U88" i="1"/>
  <c r="P88" i="1"/>
  <c r="K88" i="1"/>
  <c r="J88" i="1"/>
  <c r="I88" i="1"/>
  <c r="H88" i="1"/>
  <c r="AD87" i="1"/>
  <c r="AD54" i="1"/>
  <c r="AD58" i="1"/>
  <c r="X87" i="1"/>
  <c r="W87" i="1"/>
  <c r="T87" i="1"/>
  <c r="S87" i="1"/>
  <c r="Q87" i="1"/>
  <c r="O87" i="1"/>
  <c r="N87" i="1"/>
  <c r="M87" i="1"/>
  <c r="L87" i="1"/>
  <c r="P87" i="1"/>
  <c r="AE78" i="1"/>
  <c r="AD78" i="1"/>
  <c r="Y78" i="1"/>
  <c r="X78" i="1"/>
  <c r="W78" i="1"/>
  <c r="AE76" i="1"/>
  <c r="AF76" i="1"/>
  <c r="AE75" i="1"/>
  <c r="AF75" i="1"/>
  <c r="AA75" i="1"/>
  <c r="Y1275" i="1"/>
  <c r="N74" i="1"/>
  <c r="AE73" i="1"/>
  <c r="AF73" i="1"/>
  <c r="AG73" i="1"/>
  <c r="AE72" i="1"/>
  <c r="AF72" i="1"/>
  <c r="V71" i="1"/>
  <c r="U71" i="1"/>
  <c r="U74" i="1"/>
  <c r="N71" i="1"/>
  <c r="N92" i="1"/>
  <c r="M71" i="1"/>
  <c r="M74" i="1"/>
  <c r="L71" i="1"/>
  <c r="X70" i="1"/>
  <c r="X71" i="1"/>
  <c r="U70" i="1"/>
  <c r="T70" i="1"/>
  <c r="T71" i="1"/>
  <c r="S70" i="1"/>
  <c r="S71" i="1"/>
  <c r="R70" i="1"/>
  <c r="R71" i="1"/>
  <c r="R92" i="1"/>
  <c r="Q70" i="1"/>
  <c r="Q71" i="1"/>
  <c r="Q74" i="1"/>
  <c r="P70" i="1"/>
  <c r="P71" i="1"/>
  <c r="P74" i="1"/>
  <c r="O70" i="1"/>
  <c r="O71" i="1"/>
  <c r="O92" i="1"/>
  <c r="N70" i="1"/>
  <c r="M70" i="1"/>
  <c r="L70" i="1"/>
  <c r="K70" i="1"/>
  <c r="K71" i="1"/>
  <c r="J70" i="1"/>
  <c r="J71" i="1"/>
  <c r="J92" i="1"/>
  <c r="I70" i="1"/>
  <c r="I71" i="1"/>
  <c r="I74" i="1"/>
  <c r="H70" i="1"/>
  <c r="H71" i="1"/>
  <c r="G70" i="1"/>
  <c r="G71" i="1"/>
  <c r="G92" i="1"/>
  <c r="X93" i="1"/>
  <c r="U69" i="1"/>
  <c r="U93" i="1"/>
  <c r="T69" i="1"/>
  <c r="T93" i="1"/>
  <c r="S69" i="1"/>
  <c r="S93" i="1"/>
  <c r="R69" i="1"/>
  <c r="R93" i="1"/>
  <c r="Q69" i="1"/>
  <c r="P69" i="1"/>
  <c r="P93" i="1"/>
  <c r="O69" i="1"/>
  <c r="O93" i="1"/>
  <c r="N69" i="1"/>
  <c r="N93" i="1"/>
  <c r="M69" i="1"/>
  <c r="M93" i="1"/>
  <c r="L69" i="1"/>
  <c r="L93" i="1"/>
  <c r="K69" i="1"/>
  <c r="K93" i="1"/>
  <c r="J69" i="1"/>
  <c r="J93" i="1"/>
  <c r="I69" i="1"/>
  <c r="I93" i="1"/>
  <c r="H69" i="1"/>
  <c r="H93" i="1"/>
  <c r="G69" i="1"/>
  <c r="G93" i="1"/>
  <c r="W65" i="1"/>
  <c r="Z65" i="1"/>
  <c r="AL58" i="1"/>
  <c r="AK58" i="1"/>
  <c r="AK89" i="1"/>
  <c r="AJ58" i="1"/>
  <c r="AI58" i="1"/>
  <c r="AI89" i="1"/>
  <c r="AH58" i="1"/>
  <c r="AH68" i="1"/>
  <c r="AG58" i="1"/>
  <c r="AG89" i="1"/>
  <c r="AF58" i="1"/>
  <c r="AF89" i="1"/>
  <c r="AE58" i="1"/>
  <c r="AC54" i="1"/>
  <c r="AC58" i="1"/>
  <c r="R87" i="1"/>
  <c r="X51" i="1"/>
  <c r="X62" i="1"/>
  <c r="X63" i="1"/>
  <c r="T49" i="1"/>
  <c r="S49" i="1"/>
  <c r="R49" i="1"/>
  <c r="Q49" i="1"/>
  <c r="P49" i="1"/>
  <c r="O49" i="1"/>
  <c r="N49" i="1"/>
  <c r="M49" i="1"/>
  <c r="L49" i="1"/>
  <c r="K49" i="1"/>
  <c r="AF48" i="1"/>
  <c r="AB48" i="1"/>
  <c r="AA48" i="1"/>
  <c r="Y48" i="1"/>
  <c r="Y47" i="1"/>
  <c r="W48" i="1"/>
  <c r="W47" i="1"/>
  <c r="AD42" i="1"/>
  <c r="AC42" i="1"/>
  <c r="AB42" i="1"/>
  <c r="AA42" i="1"/>
  <c r="Y42" i="1"/>
  <c r="X42" i="1"/>
  <c r="W42" i="1"/>
  <c r="V42" i="1"/>
  <c r="T42" i="1"/>
  <c r="S42" i="1"/>
  <c r="R42" i="1"/>
  <c r="Q42" i="1"/>
  <c r="O42" i="1"/>
  <c r="N42" i="1"/>
  <c r="M42" i="1"/>
  <c r="L42" i="1"/>
  <c r="AD41" i="1"/>
  <c r="AD779" i="1"/>
  <c r="AC41" i="1"/>
  <c r="AC779" i="1"/>
  <c r="AC780" i="1"/>
  <c r="AB41" i="1"/>
  <c r="AB779" i="1"/>
  <c r="AB780" i="1"/>
  <c r="AA41" i="1"/>
  <c r="AA779" i="1"/>
  <c r="Y41" i="1"/>
  <c r="Y779" i="1"/>
  <c r="X41" i="1"/>
  <c r="X779" i="1"/>
  <c r="X780" i="1"/>
  <c r="W41" i="1"/>
  <c r="W779" i="1"/>
  <c r="W780" i="1"/>
  <c r="V41" i="1"/>
  <c r="T41" i="1"/>
  <c r="S41" i="1"/>
  <c r="R41" i="1"/>
  <c r="Q41" i="1"/>
  <c r="O41" i="1"/>
  <c r="N41" i="1"/>
  <c r="M41" i="1"/>
  <c r="L41" i="1"/>
  <c r="AD40" i="1"/>
  <c r="AD776" i="1"/>
  <c r="AC40" i="1"/>
  <c r="AC776" i="1"/>
  <c r="AC777" i="1"/>
  <c r="AB40" i="1"/>
  <c r="AB776" i="1"/>
  <c r="AB777" i="1"/>
  <c r="AA40" i="1"/>
  <c r="AA776" i="1"/>
  <c r="Y40" i="1"/>
  <c r="Y776" i="1"/>
  <c r="X40" i="1"/>
  <c r="X776" i="1"/>
  <c r="X777" i="1"/>
  <c r="W40" i="1"/>
  <c r="W776" i="1"/>
  <c r="W777" i="1"/>
  <c r="V40" i="1"/>
  <c r="AL37" i="1"/>
  <c r="AK37" i="1"/>
  <c r="AJ37" i="1"/>
  <c r="AI37" i="1"/>
  <c r="AH37" i="1"/>
  <c r="AH769" i="1"/>
  <c r="AH770" i="1"/>
  <c r="AG37" i="1"/>
  <c r="AG769" i="1"/>
  <c r="AG770" i="1"/>
  <c r="AF37" i="1"/>
  <c r="AE37" i="1"/>
  <c r="AE277" i="1"/>
  <c r="Y37" i="1"/>
  <c r="H37" i="1"/>
  <c r="AL36" i="1"/>
  <c r="AK36" i="1"/>
  <c r="AJ36" i="1"/>
  <c r="AI36" i="1"/>
  <c r="AH36" i="1"/>
  <c r="AG36" i="1"/>
  <c r="AF36" i="1"/>
  <c r="AE36" i="1"/>
  <c r="AD36" i="1"/>
  <c r="AA36" i="1"/>
  <c r="Z36" i="1"/>
  <c r="Y36" i="1"/>
  <c r="T36" i="1"/>
  <c r="S36" i="1"/>
  <c r="R36" i="1"/>
  <c r="Q36" i="1"/>
  <c r="O36" i="1"/>
  <c r="N36" i="1"/>
  <c r="M36" i="1"/>
  <c r="L36" i="1"/>
  <c r="AL35" i="1"/>
  <c r="AK35" i="1"/>
  <c r="AJ35" i="1"/>
  <c r="AI35" i="1"/>
  <c r="AH35" i="1"/>
  <c r="AG35" i="1"/>
  <c r="AF35" i="1"/>
  <c r="AE35" i="1"/>
  <c r="AC35" i="1"/>
  <c r="Y35" i="1"/>
  <c r="T35" i="1"/>
  <c r="S35" i="1"/>
  <c r="R35" i="1"/>
  <c r="Q35" i="1"/>
  <c r="O35" i="1"/>
  <c r="N35" i="1"/>
  <c r="M35" i="1"/>
  <c r="L35" i="1"/>
  <c r="AD34" i="1"/>
  <c r="AC34" i="1"/>
  <c r="AB34" i="1"/>
  <c r="AA34" i="1"/>
  <c r="Y34" i="1"/>
  <c r="Y766" i="1"/>
  <c r="X34" i="1"/>
  <c r="X766" i="1"/>
  <c r="X767" i="1"/>
  <c r="W34" i="1"/>
  <c r="V34" i="1"/>
  <c r="V766" i="1"/>
  <c r="V767" i="1"/>
  <c r="AD31" i="1"/>
  <c r="AC31" i="1"/>
  <c r="AB31" i="1"/>
  <c r="AB267" i="1"/>
  <c r="AA31" i="1"/>
  <c r="Y31" i="1"/>
  <c r="Y267" i="1"/>
  <c r="X31" i="1"/>
  <c r="W31" i="1"/>
  <c r="V31" i="1"/>
  <c r="V173" i="1"/>
  <c r="S31" i="1"/>
  <c r="S173" i="1"/>
  <c r="Q31" i="1"/>
  <c r="Q355" i="1"/>
  <c r="O31" i="1"/>
  <c r="O173" i="1"/>
  <c r="N31" i="1"/>
  <c r="N267" i="1"/>
  <c r="M31" i="1"/>
  <c r="M173" i="1"/>
  <c r="L31" i="1"/>
  <c r="AD30" i="1"/>
  <c r="AC30" i="1"/>
  <c r="AC171" i="1"/>
  <c r="AB30" i="1"/>
  <c r="AB353" i="1"/>
  <c r="AA30" i="1"/>
  <c r="X30" i="1"/>
  <c r="X353" i="1"/>
  <c r="X354" i="1"/>
  <c r="W30" i="1"/>
  <c r="W171" i="1"/>
  <c r="W172" i="1"/>
  <c r="V30" i="1"/>
  <c r="V171" i="1"/>
  <c r="T30" i="1"/>
  <c r="T353" i="1"/>
  <c r="T354" i="1"/>
  <c r="S30" i="1"/>
  <c r="S171" i="1"/>
  <c r="S172" i="1"/>
  <c r="R30" i="1"/>
  <c r="R353" i="1"/>
  <c r="R354" i="1"/>
  <c r="Q30" i="1"/>
  <c r="Q353" i="1"/>
  <c r="Q354" i="1"/>
  <c r="O30" i="1"/>
  <c r="N30" i="1"/>
  <c r="M30" i="1"/>
  <c r="L30" i="1"/>
  <c r="AL23" i="1"/>
  <c r="AL418" i="1"/>
  <c r="AK23" i="1"/>
  <c r="AK168" i="1"/>
  <c r="AJ23" i="1"/>
  <c r="AJ418" i="1"/>
  <c r="AI23" i="1"/>
  <c r="AI260" i="1"/>
  <c r="AH23" i="1"/>
  <c r="AH168" i="1"/>
  <c r="AG23" i="1"/>
  <c r="AF23" i="1"/>
  <c r="AF50" i="1"/>
  <c r="AE168" i="1"/>
  <c r="Q393" i="1"/>
  <c r="Q390" i="1"/>
  <c r="Q392" i="1"/>
  <c r="I390" i="1"/>
  <c r="I393" i="1"/>
  <c r="I392" i="1"/>
  <c r="U393" i="1"/>
  <c r="U390" i="1"/>
  <c r="U392" i="1"/>
  <c r="Q137" i="1"/>
  <c r="W36" i="1"/>
  <c r="O131" i="1"/>
  <c r="AG494" i="1"/>
  <c r="AG531" i="1"/>
  <c r="AF233" i="1"/>
  <c r="AF245" i="1"/>
  <c r="O298" i="1"/>
  <c r="R319" i="1"/>
  <c r="X374" i="1"/>
  <c r="AK522" i="1"/>
  <c r="X355" i="1"/>
  <c r="X173" i="1"/>
  <c r="AF68" i="1"/>
  <c r="W1545" i="1"/>
  <c r="W107" i="1"/>
  <c r="V102" i="1"/>
  <c r="V1546" i="1"/>
  <c r="AB114" i="1"/>
  <c r="S131" i="1"/>
  <c r="AB173" i="1"/>
  <c r="M512" i="1"/>
  <c r="M569" i="1"/>
  <c r="U512" i="1"/>
  <c r="U569" i="1"/>
  <c r="X298" i="1"/>
  <c r="G312" i="1"/>
  <c r="I320" i="1"/>
  <c r="I448" i="1"/>
  <c r="AA267" i="1"/>
  <c r="AA173" i="1"/>
  <c r="AA355" i="1"/>
  <c r="AA766" i="1"/>
  <c r="AA767" i="1"/>
  <c r="AA274" i="1"/>
  <c r="AA275" i="1"/>
  <c r="AA276" i="1"/>
  <c r="AB36" i="1"/>
  <c r="AF78" i="1"/>
  <c r="AG78" i="1"/>
  <c r="AH78" i="1"/>
  <c r="AI78" i="1"/>
  <c r="AJ78" i="1"/>
  <c r="AK78" i="1"/>
  <c r="AL78" i="1"/>
  <c r="I92" i="1"/>
  <c r="Y100" i="1"/>
  <c r="I134" i="1"/>
  <c r="AB171" i="1"/>
  <c r="U209" i="1"/>
  <c r="Z316" i="1"/>
  <c r="Z314" i="1"/>
  <c r="Z315" i="1"/>
  <c r="Z312" i="1"/>
  <c r="M320" i="1"/>
  <c r="AG340" i="1"/>
  <c r="AH340" i="1"/>
  <c r="I356" i="1"/>
  <c r="I357" i="1"/>
  <c r="R436" i="1"/>
  <c r="O448" i="1"/>
  <c r="AB766" i="1"/>
  <c r="AB767" i="1"/>
  <c r="AB274" i="1"/>
  <c r="AB275" i="1"/>
  <c r="AB276" i="1"/>
  <c r="AC36" i="1"/>
  <c r="O137" i="1"/>
  <c r="M1546" i="1"/>
  <c r="M1547" i="1"/>
  <c r="M1598" i="1"/>
  <c r="V134" i="1"/>
  <c r="V137" i="1"/>
  <c r="T275" i="1"/>
  <c r="T276" i="1"/>
  <c r="P448" i="1"/>
  <c r="M548" i="1"/>
  <c r="AJ89" i="1"/>
  <c r="S101" i="1"/>
  <c r="S135" i="1"/>
  <c r="O102" i="1"/>
  <c r="O1546" i="1"/>
  <c r="K134" i="1"/>
  <c r="K137" i="1"/>
  <c r="AG238" i="1"/>
  <c r="AG251" i="1"/>
  <c r="AG306" i="1"/>
  <c r="AG307" i="1"/>
  <c r="AG239" i="1"/>
  <c r="G314" i="1"/>
  <c r="T320" i="1"/>
  <c r="J356" i="1"/>
  <c r="P374" i="1"/>
  <c r="N390" i="1"/>
  <c r="N399" i="1"/>
  <c r="Q448" i="1"/>
  <c r="K511" i="1"/>
  <c r="K1259" i="1"/>
  <c r="K1416" i="1"/>
  <c r="P1260" i="1"/>
  <c r="M564" i="1"/>
  <c r="M567" i="1"/>
  <c r="V512" i="1"/>
  <c r="V569" i="1"/>
  <c r="Z189" i="1"/>
  <c r="R275" i="1"/>
  <c r="R276" i="1"/>
  <c r="O513" i="1"/>
  <c r="O514" i="1"/>
  <c r="AA353" i="1"/>
  <c r="AA354" i="1"/>
  <c r="AA171" i="1"/>
  <c r="S174" i="1"/>
  <c r="S175" i="1"/>
  <c r="S107" i="1"/>
  <c r="W131" i="1"/>
  <c r="N134" i="1"/>
  <c r="N211" i="1"/>
  <c r="H268" i="1"/>
  <c r="H269" i="1"/>
  <c r="H298" i="1"/>
  <c r="W306" i="1"/>
  <c r="W307" i="1"/>
  <c r="W315" i="1"/>
  <c r="G315" i="1"/>
  <c r="K356" i="1"/>
  <c r="R374" i="1"/>
  <c r="U448" i="1"/>
  <c r="Q564" i="1"/>
  <c r="Q567" i="1"/>
  <c r="V74" i="1"/>
  <c r="R171" i="1"/>
  <c r="R172" i="1"/>
  <c r="V211" i="1"/>
  <c r="I268" i="1"/>
  <c r="N298" i="1"/>
  <c r="X306" i="1"/>
  <c r="X307" i="1"/>
  <c r="P356" i="1"/>
  <c r="U374" i="1"/>
  <c r="N393" i="1"/>
  <c r="AF501" i="1"/>
  <c r="H511" i="1"/>
  <c r="H1259" i="1"/>
  <c r="H1416" i="1"/>
  <c r="X502" i="1"/>
  <c r="T567" i="1"/>
  <c r="U564" i="1"/>
  <c r="U567" i="1"/>
  <c r="X36" i="1"/>
  <c r="AD129" i="1"/>
  <c r="AD131" i="1"/>
  <c r="AE134" i="1"/>
  <c r="AE137" i="1"/>
  <c r="AF129" i="1"/>
  <c r="AF131" i="1"/>
  <c r="AG126" i="1"/>
  <c r="AF66" i="1"/>
  <c r="AD618" i="1"/>
  <c r="AD951" i="1"/>
  <c r="AB496" i="1"/>
  <c r="AB384" i="1"/>
  <c r="AB385" i="1"/>
  <c r="V50" i="1"/>
  <c r="V51" i="1"/>
  <c r="Z50" i="1"/>
  <c r="AG48" i="1"/>
  <c r="V418" i="1"/>
  <c r="AF134" i="1"/>
  <c r="AF137" i="1"/>
  <c r="AC129" i="1"/>
  <c r="AC131" i="1"/>
  <c r="AB134" i="1"/>
  <c r="AG125" i="1"/>
  <c r="AH125" i="1"/>
  <c r="AF65" i="1"/>
  <c r="AB354" i="1"/>
  <c r="AB356" i="1"/>
  <c r="AB383" i="1"/>
  <c r="AB389" i="1"/>
  <c r="AE496" i="1"/>
  <c r="AF333" i="1"/>
  <c r="AF383" i="1"/>
  <c r="AF343" i="1"/>
  <c r="AF500" i="1"/>
  <c r="AF494" i="1"/>
  <c r="AD340" i="1"/>
  <c r="AD345" i="1"/>
  <c r="AG253" i="1"/>
  <c r="AG284" i="1"/>
  <c r="AF223" i="1"/>
  <c r="AF305" i="1"/>
  <c r="AF268" i="1"/>
  <c r="AG159" i="1"/>
  <c r="V35" i="1"/>
  <c r="X35" i="1"/>
  <c r="AB35" i="1"/>
  <c r="AD338" i="1"/>
  <c r="AD333" i="1"/>
  <c r="AD383" i="1"/>
  <c r="AC78" i="1"/>
  <c r="AA76" i="1"/>
  <c r="AF1275" i="1"/>
  <c r="AF1571" i="1"/>
  <c r="AC313" i="1"/>
  <c r="AE709" i="1"/>
  <c r="AD620" i="1"/>
  <c r="AD953" i="1"/>
  <c r="AC943" i="1"/>
  <c r="AE943" i="1"/>
  <c r="AC619" i="1"/>
  <c r="AC952" i="1"/>
  <c r="AB942" i="1"/>
  <c r="AB951" i="1"/>
  <c r="AA942" i="1"/>
  <c r="AA951" i="1"/>
  <c r="Z266" i="1"/>
  <c r="Z268" i="1"/>
  <c r="Z275" i="1"/>
  <c r="Z276" i="1"/>
  <c r="X37" i="1"/>
  <c r="X769" i="1"/>
  <c r="X770" i="1"/>
  <c r="X1077" i="1"/>
  <c r="AA37" i="1"/>
  <c r="AB37" i="1"/>
  <c r="AC37" i="1"/>
  <c r="AC769" i="1"/>
  <c r="AC770" i="1"/>
  <c r="AD37" i="1"/>
  <c r="AD769" i="1"/>
  <c r="AD770" i="1"/>
  <c r="AB260" i="1"/>
  <c r="AE50" i="1"/>
  <c r="V37" i="1"/>
  <c r="AH50" i="1"/>
  <c r="Z277" i="1"/>
  <c r="Z278" i="1"/>
  <c r="V36" i="1"/>
  <c r="W37" i="1"/>
  <c r="W277" i="1"/>
  <c r="AI168" i="1"/>
  <c r="W35" i="1"/>
  <c r="Z1545" i="1"/>
  <c r="Z1544" i="1"/>
  <c r="Z1576" i="1"/>
  <c r="G1077" i="1"/>
  <c r="G855" i="1"/>
  <c r="G763" i="1"/>
  <c r="G627" i="1"/>
  <c r="G350" i="1"/>
  <c r="G363" i="1"/>
  <c r="G418" i="1"/>
  <c r="G424" i="1"/>
  <c r="G428" i="1"/>
  <c r="G429" i="1"/>
  <c r="G260" i="1"/>
  <c r="G168" i="1"/>
  <c r="H1077" i="1"/>
  <c r="H855" i="1"/>
  <c r="H763" i="1"/>
  <c r="H627" i="1"/>
  <c r="H350" i="1"/>
  <c r="H363" i="1"/>
  <c r="H418" i="1"/>
  <c r="H424" i="1"/>
  <c r="H428" i="1"/>
  <c r="H429" i="1"/>
  <c r="H260" i="1"/>
  <c r="H168" i="1"/>
  <c r="I1077" i="1"/>
  <c r="I855" i="1"/>
  <c r="I763" i="1"/>
  <c r="I627" i="1"/>
  <c r="I418" i="1"/>
  <c r="I424" i="1"/>
  <c r="I428" i="1"/>
  <c r="I429" i="1"/>
  <c r="I350" i="1"/>
  <c r="I363" i="1"/>
  <c r="I260" i="1"/>
  <c r="I168" i="1"/>
  <c r="J1077" i="1"/>
  <c r="J763" i="1"/>
  <c r="J855" i="1"/>
  <c r="J627" i="1"/>
  <c r="J418" i="1"/>
  <c r="J424" i="1"/>
  <c r="J428" i="1"/>
  <c r="J429" i="1"/>
  <c r="J350" i="1"/>
  <c r="J363" i="1"/>
  <c r="J260" i="1"/>
  <c r="J168" i="1"/>
  <c r="K1077" i="1"/>
  <c r="K855" i="1"/>
  <c r="K763" i="1"/>
  <c r="K627" i="1"/>
  <c r="K350" i="1"/>
  <c r="K363" i="1"/>
  <c r="K418" i="1"/>
  <c r="K424" i="1"/>
  <c r="K428" i="1"/>
  <c r="K429" i="1"/>
  <c r="K260" i="1"/>
  <c r="K168" i="1"/>
  <c r="K50" i="1"/>
  <c r="K51" i="1"/>
  <c r="K62" i="1"/>
  <c r="K63" i="1"/>
  <c r="L1077" i="1"/>
  <c r="L855" i="1"/>
  <c r="L763" i="1"/>
  <c r="L627" i="1"/>
  <c r="L350" i="1"/>
  <c r="L363" i="1"/>
  <c r="L418" i="1"/>
  <c r="L424" i="1"/>
  <c r="L428" i="1"/>
  <c r="L429" i="1"/>
  <c r="L260" i="1"/>
  <c r="L50" i="1"/>
  <c r="L51" i="1"/>
  <c r="L62" i="1"/>
  <c r="L63" i="1"/>
  <c r="L168" i="1"/>
  <c r="M1077" i="1"/>
  <c r="M855" i="1"/>
  <c r="M763" i="1"/>
  <c r="M627" i="1"/>
  <c r="M418" i="1"/>
  <c r="M424" i="1"/>
  <c r="M428" i="1"/>
  <c r="M429" i="1"/>
  <c r="M350" i="1"/>
  <c r="M363" i="1"/>
  <c r="M260" i="1"/>
  <c r="M50" i="1"/>
  <c r="M51" i="1"/>
  <c r="M62" i="1"/>
  <c r="M63" i="1"/>
  <c r="M168" i="1"/>
  <c r="N1077" i="1"/>
  <c r="N855" i="1"/>
  <c r="N763" i="1"/>
  <c r="N627" i="1"/>
  <c r="N418" i="1"/>
  <c r="N424" i="1"/>
  <c r="N428" i="1"/>
  <c r="N429" i="1"/>
  <c r="N350" i="1"/>
  <c r="N363" i="1"/>
  <c r="N260" i="1"/>
  <c r="N168" i="1"/>
  <c r="N50" i="1"/>
  <c r="N51" i="1"/>
  <c r="N62" i="1"/>
  <c r="N63" i="1"/>
  <c r="O1077" i="1"/>
  <c r="O855" i="1"/>
  <c r="O763" i="1"/>
  <c r="O627" i="1"/>
  <c r="O350" i="1"/>
  <c r="O363" i="1"/>
  <c r="O418" i="1"/>
  <c r="O424" i="1"/>
  <c r="O428" i="1"/>
  <c r="O429" i="1"/>
  <c r="O260" i="1"/>
  <c r="O50" i="1"/>
  <c r="O51" i="1"/>
  <c r="O62" i="1"/>
  <c r="O63" i="1"/>
  <c r="O168" i="1"/>
  <c r="P1077" i="1"/>
  <c r="P855" i="1"/>
  <c r="P763" i="1"/>
  <c r="P627" i="1"/>
  <c r="P350" i="1"/>
  <c r="P363" i="1"/>
  <c r="P418" i="1"/>
  <c r="P424" i="1"/>
  <c r="P428" i="1"/>
  <c r="P429" i="1"/>
  <c r="P260" i="1"/>
  <c r="P168" i="1"/>
  <c r="P50" i="1"/>
  <c r="P51" i="1"/>
  <c r="P62" i="1"/>
  <c r="P63" i="1"/>
  <c r="Q1077" i="1"/>
  <c r="Q855" i="1"/>
  <c r="Q763" i="1"/>
  <c r="Q627" i="1"/>
  <c r="Q418" i="1"/>
  <c r="Q424" i="1"/>
  <c r="Q428" i="1"/>
  <c r="Q429" i="1"/>
  <c r="Q350" i="1"/>
  <c r="Q363" i="1"/>
  <c r="Q168" i="1"/>
  <c r="Q260" i="1"/>
  <c r="Q50" i="1"/>
  <c r="Q51" i="1"/>
  <c r="Q62" i="1"/>
  <c r="Q63" i="1"/>
  <c r="R1077" i="1"/>
  <c r="R763" i="1"/>
  <c r="R855" i="1"/>
  <c r="R627" i="1"/>
  <c r="R418" i="1"/>
  <c r="R424" i="1"/>
  <c r="R428" i="1"/>
  <c r="R429" i="1"/>
  <c r="R350" i="1"/>
  <c r="R363" i="1"/>
  <c r="R50" i="1"/>
  <c r="R51" i="1"/>
  <c r="R260" i="1"/>
  <c r="R168" i="1"/>
  <c r="S1077" i="1"/>
  <c r="S855" i="1"/>
  <c r="S763" i="1"/>
  <c r="S627" i="1"/>
  <c r="S350" i="1"/>
  <c r="S363" i="1"/>
  <c r="S418" i="1"/>
  <c r="S424" i="1"/>
  <c r="S428" i="1"/>
  <c r="S429" i="1"/>
  <c r="S260" i="1"/>
  <c r="S50" i="1"/>
  <c r="S51" i="1"/>
  <c r="S62" i="1"/>
  <c r="S63" i="1"/>
  <c r="S168" i="1"/>
  <c r="T1077" i="1"/>
  <c r="T855" i="1"/>
  <c r="T763" i="1"/>
  <c r="T627" i="1"/>
  <c r="T418" i="1"/>
  <c r="T424" i="1"/>
  <c r="T428" i="1"/>
  <c r="T429" i="1"/>
  <c r="T260" i="1"/>
  <c r="T350" i="1"/>
  <c r="T363" i="1"/>
  <c r="T50" i="1"/>
  <c r="T51" i="1"/>
  <c r="T62" i="1"/>
  <c r="T63" i="1"/>
  <c r="T168" i="1"/>
  <c r="U1077" i="1"/>
  <c r="U855" i="1"/>
  <c r="U763" i="1"/>
  <c r="U627" i="1"/>
  <c r="U418" i="1"/>
  <c r="U424" i="1"/>
  <c r="U428" i="1"/>
  <c r="U429" i="1"/>
  <c r="U350" i="1"/>
  <c r="U363" i="1"/>
  <c r="U260" i="1"/>
  <c r="U50" i="1"/>
  <c r="U51" i="1"/>
  <c r="U62" i="1"/>
  <c r="U63" i="1"/>
  <c r="U168" i="1"/>
  <c r="V1077" i="1"/>
  <c r="V855" i="1"/>
  <c r="V763" i="1"/>
  <c r="V627" i="1"/>
  <c r="V350" i="1"/>
  <c r="V260" i="1"/>
  <c r="V168" i="1"/>
  <c r="W1077" i="1"/>
  <c r="W763" i="1"/>
  <c r="W627" i="1"/>
  <c r="W350" i="1"/>
  <c r="W260" i="1"/>
  <c r="W418" i="1"/>
  <c r="W168" i="1"/>
  <c r="W50" i="1"/>
  <c r="W51" i="1"/>
  <c r="U82" i="1"/>
  <c r="U77" i="1"/>
  <c r="V82" i="1"/>
  <c r="V83" i="1"/>
  <c r="V77" i="1"/>
  <c r="V79" i="1"/>
  <c r="AJ130" i="1"/>
  <c r="AI68" i="1"/>
  <c r="U174" i="1"/>
  <c r="U175" i="1"/>
  <c r="AA306" i="1"/>
  <c r="AA307" i="1"/>
  <c r="AA316" i="1"/>
  <c r="AA131" i="1"/>
  <c r="AC197" i="1"/>
  <c r="AC198" i="1"/>
  <c r="AC172" i="1"/>
  <c r="J316" i="1"/>
  <c r="J315" i="1"/>
  <c r="J314" i="1"/>
  <c r="J312" i="1"/>
  <c r="X74" i="1"/>
  <c r="X92" i="1"/>
  <c r="K74" i="1"/>
  <c r="K92" i="1"/>
  <c r="G175" i="1"/>
  <c r="G174" i="1"/>
  <c r="H92" i="1"/>
  <c r="H74" i="1"/>
  <c r="P82" i="1"/>
  <c r="P77" i="1"/>
  <c r="J175" i="1"/>
  <c r="AA928" i="1"/>
  <c r="AA1052" i="1"/>
  <c r="AA1053" i="1"/>
  <c r="S74" i="1"/>
  <c r="S92" i="1"/>
  <c r="T1545" i="1"/>
  <c r="T107" i="1"/>
  <c r="AF1077" i="1"/>
  <c r="AF763" i="1"/>
  <c r="AF627" i="1"/>
  <c r="AF350" i="1"/>
  <c r="AF418" i="1"/>
  <c r="AF260" i="1"/>
  <c r="AF168" i="1"/>
  <c r="V353" i="1"/>
  <c r="V354" i="1"/>
  <c r="V265" i="1"/>
  <c r="V266" i="1"/>
  <c r="V172" i="1"/>
  <c r="V174" i="1"/>
  <c r="AE779" i="1"/>
  <c r="AH89" i="1"/>
  <c r="M77" i="1"/>
  <c r="N77" i="1"/>
  <c r="AA99" i="1"/>
  <c r="Y112" i="1"/>
  <c r="AE112" i="1"/>
  <c r="R191" i="1"/>
  <c r="AC245" i="1"/>
  <c r="AC251" i="1"/>
  <c r="AC223" i="1"/>
  <c r="AC305" i="1"/>
  <c r="AI240" i="1"/>
  <c r="AH235" i="1"/>
  <c r="AH247" i="1"/>
  <c r="AH253" i="1"/>
  <c r="T265" i="1"/>
  <c r="AG1077" i="1"/>
  <c r="AG763" i="1"/>
  <c r="AG627" i="1"/>
  <c r="AG418" i="1"/>
  <c r="AG350" i="1"/>
  <c r="AG260" i="1"/>
  <c r="AG168" i="1"/>
  <c r="AG50" i="1"/>
  <c r="M265" i="1"/>
  <c r="M266" i="1"/>
  <c r="M353" i="1"/>
  <c r="M354" i="1"/>
  <c r="M171" i="1"/>
  <c r="M172" i="1"/>
  <c r="M174" i="1"/>
  <c r="W353" i="1"/>
  <c r="W354" i="1"/>
  <c r="W265" i="1"/>
  <c r="M355" i="1"/>
  <c r="M267" i="1"/>
  <c r="Y355" i="1"/>
  <c r="Y173" i="1"/>
  <c r="AJ769" i="1"/>
  <c r="AJ277" i="1"/>
  <c r="R779" i="1"/>
  <c r="R780" i="1"/>
  <c r="R871" i="1"/>
  <c r="R872" i="1"/>
  <c r="AJ50" i="1"/>
  <c r="R134" i="1"/>
  <c r="R137" i="1"/>
  <c r="R130" i="1"/>
  <c r="R131" i="1"/>
  <c r="O74" i="1"/>
  <c r="AG75" i="1"/>
  <c r="N82" i="1"/>
  <c r="N83" i="1"/>
  <c r="N1314" i="1"/>
  <c r="P92" i="1"/>
  <c r="K1547" i="1"/>
  <c r="K1598" i="1"/>
  <c r="K1414" i="1"/>
  <c r="V131" i="1"/>
  <c r="P134" i="1"/>
  <c r="P137" i="1"/>
  <c r="Y136" i="1"/>
  <c r="AF197" i="1"/>
  <c r="AF198" i="1"/>
  <c r="AF172" i="1"/>
  <c r="AE163" i="1"/>
  <c r="AE179" i="1"/>
  <c r="S206" i="1"/>
  <c r="AB305" i="1"/>
  <c r="AB311" i="1"/>
  <c r="S928" i="1"/>
  <c r="S1052" i="1"/>
  <c r="S275" i="1"/>
  <c r="S276" i="1"/>
  <c r="K268" i="1"/>
  <c r="K269" i="1"/>
  <c r="K1253" i="1"/>
  <c r="K513" i="1"/>
  <c r="K514" i="1"/>
  <c r="K533" i="1"/>
  <c r="S1253" i="1"/>
  <c r="S564" i="1"/>
  <c r="S567" i="1"/>
  <c r="S513" i="1"/>
  <c r="S514" i="1"/>
  <c r="W355" i="1"/>
  <c r="W267" i="1"/>
  <c r="Y769" i="1"/>
  <c r="Y277" i="1"/>
  <c r="AF284" i="1"/>
  <c r="L353" i="1"/>
  <c r="L354" i="1"/>
  <c r="L265" i="1"/>
  <c r="L266" i="1"/>
  <c r="L355" i="1"/>
  <c r="L267" i="1"/>
  <c r="AI769" i="1"/>
  <c r="AI770" i="1"/>
  <c r="AI277" i="1"/>
  <c r="Q871" i="1"/>
  <c r="Q872" i="1"/>
  <c r="Q779" i="1"/>
  <c r="Q780" i="1"/>
  <c r="M82" i="1"/>
  <c r="M83" i="1"/>
  <c r="M1314" i="1"/>
  <c r="M92" i="1"/>
  <c r="N1545" i="1"/>
  <c r="N107" i="1"/>
  <c r="O100" i="1"/>
  <c r="J191" i="1"/>
  <c r="K206" i="1"/>
  <c r="J268" i="1"/>
  <c r="AH1077" i="1"/>
  <c r="AH763" i="1"/>
  <c r="AH627" i="1"/>
  <c r="AH418" i="1"/>
  <c r="AH350" i="1"/>
  <c r="AH260" i="1"/>
  <c r="AK769" i="1"/>
  <c r="AK277" i="1"/>
  <c r="S871" i="1"/>
  <c r="S872" i="1"/>
  <c r="S779" i="1"/>
  <c r="S780" i="1"/>
  <c r="U87" i="1"/>
  <c r="Q92" i="1"/>
  <c r="S137" i="1"/>
  <c r="H131" i="1"/>
  <c r="N135" i="1"/>
  <c r="N137" i="1"/>
  <c r="AG162" i="1"/>
  <c r="T171" i="1"/>
  <c r="T172" i="1"/>
  <c r="AF174" i="1"/>
  <c r="J512" i="1"/>
  <c r="J211" i="1"/>
  <c r="R512" i="1"/>
  <c r="R569" i="1"/>
  <c r="R211" i="1"/>
  <c r="AC284" i="1"/>
  <c r="R500" i="1"/>
  <c r="R306" i="1"/>
  <c r="R307" i="1"/>
  <c r="Y274" i="1"/>
  <c r="Y383" i="1"/>
  <c r="Y389" i="1"/>
  <c r="AB501" i="1"/>
  <c r="W766" i="1"/>
  <c r="W767" i="1"/>
  <c r="W274" i="1"/>
  <c r="W275" i="1"/>
  <c r="W276" i="1"/>
  <c r="AC66" i="1"/>
  <c r="AC65" i="1"/>
  <c r="AC68" i="1"/>
  <c r="AF98" i="1"/>
  <c r="AE100" i="1"/>
  <c r="T779" i="1"/>
  <c r="T780" i="1"/>
  <c r="T871" i="1"/>
  <c r="T872" i="1"/>
  <c r="W1256" i="1"/>
  <c r="W1260" i="1"/>
  <c r="W70" i="1"/>
  <c r="W69" i="1"/>
  <c r="V93" i="1"/>
  <c r="T92" i="1"/>
  <c r="T74" i="1"/>
  <c r="R74" i="1"/>
  <c r="U1545" i="1"/>
  <c r="U107" i="1"/>
  <c r="U102" i="1"/>
  <c r="U1546" i="1"/>
  <c r="X131" i="1"/>
  <c r="AI153" i="1"/>
  <c r="AI196" i="1"/>
  <c r="AH197" i="1"/>
  <c r="AH198" i="1"/>
  <c r="I174" i="1"/>
  <c r="I175" i="1"/>
  <c r="K174" i="1"/>
  <c r="K175" i="1"/>
  <c r="K320" i="1"/>
  <c r="K298" i="1"/>
  <c r="S320" i="1"/>
  <c r="S298" i="1"/>
  <c r="X763" i="1"/>
  <c r="X260" i="1"/>
  <c r="Y353" i="1"/>
  <c r="Y265" i="1"/>
  <c r="Y171" i="1"/>
  <c r="AC766" i="1"/>
  <c r="AC767" i="1"/>
  <c r="AC274" i="1"/>
  <c r="Y1571" i="1"/>
  <c r="Z1275" i="1"/>
  <c r="AJ162" i="1"/>
  <c r="AJ153" i="1"/>
  <c r="AJ196" i="1"/>
  <c r="AH159" i="1"/>
  <c r="AG163" i="1"/>
  <c r="AG179" i="1"/>
  <c r="R31" i="1"/>
  <c r="T31" i="1"/>
  <c r="AF202" i="1"/>
  <c r="AF186" i="1"/>
  <c r="AD202" i="1"/>
  <c r="AD186" i="1"/>
  <c r="AC202" i="1"/>
  <c r="AI197" i="1"/>
  <c r="AI198" i="1"/>
  <c r="AB284" i="1"/>
  <c r="X316" i="1"/>
  <c r="X315" i="1"/>
  <c r="X314" i="1"/>
  <c r="X312" i="1"/>
  <c r="AD265" i="1"/>
  <c r="AD171" i="1"/>
  <c r="AD353" i="1"/>
  <c r="AG68" i="1"/>
  <c r="L92" i="1"/>
  <c r="L74" i="1"/>
  <c r="J74" i="1"/>
  <c r="AC494" i="1"/>
  <c r="AC153" i="1"/>
  <c r="AC196" i="1"/>
  <c r="O353" i="1"/>
  <c r="O354" i="1"/>
  <c r="O265" i="1"/>
  <c r="O171" i="1"/>
  <c r="O172" i="1"/>
  <c r="O174" i="1"/>
  <c r="O355" i="1"/>
  <c r="O267" i="1"/>
  <c r="AL769" i="1"/>
  <c r="AL277" i="1"/>
  <c r="AC355" i="1"/>
  <c r="AC267" i="1"/>
  <c r="AC173" i="1"/>
  <c r="AC174" i="1"/>
  <c r="AD65" i="1"/>
  <c r="AD66" i="1"/>
  <c r="S355" i="1"/>
  <c r="S267" i="1"/>
  <c r="AF769" i="1"/>
  <c r="AF770" i="1"/>
  <c r="AF277" i="1"/>
  <c r="U92" i="1"/>
  <c r="J137" i="1"/>
  <c r="AK158" i="1"/>
  <c r="AH172" i="1"/>
  <c r="AH174" i="1"/>
  <c r="W173" i="1"/>
  <c r="W174" i="1"/>
  <c r="K198" i="1"/>
  <c r="K203" i="1"/>
  <c r="S205" i="1"/>
  <c r="AB928" i="1"/>
  <c r="AB1052" i="1"/>
  <c r="AB1053" i="1"/>
  <c r="J269" i="1"/>
  <c r="K312" i="1"/>
  <c r="K316" i="1"/>
  <c r="K315" i="1"/>
  <c r="K314" i="1"/>
  <c r="J393" i="1"/>
  <c r="J390" i="1"/>
  <c r="J392" i="1"/>
  <c r="AJ1077" i="1"/>
  <c r="AJ763" i="1"/>
  <c r="AJ627" i="1"/>
  <c r="AJ350" i="1"/>
  <c r="AJ260" i="1"/>
  <c r="AJ168" i="1"/>
  <c r="AL89" i="1"/>
  <c r="AA35" i="1"/>
  <c r="AD35" i="1"/>
  <c r="M871" i="1"/>
  <c r="M872" i="1"/>
  <c r="M779" i="1"/>
  <c r="M780" i="1"/>
  <c r="AH48" i="1"/>
  <c r="AC48" i="1"/>
  <c r="V92" i="1"/>
  <c r="G74" i="1"/>
  <c r="AB75" i="1"/>
  <c r="AB76" i="1"/>
  <c r="V355" i="1"/>
  <c r="V267" i="1"/>
  <c r="V858" i="1"/>
  <c r="V859" i="1"/>
  <c r="V274" i="1"/>
  <c r="V275" i="1"/>
  <c r="V276" i="1"/>
  <c r="H861" i="1"/>
  <c r="H862" i="1"/>
  <c r="H863" i="1"/>
  <c r="H769" i="1"/>
  <c r="H770" i="1"/>
  <c r="H771" i="1"/>
  <c r="H277" i="1"/>
  <c r="H278" i="1"/>
  <c r="H279" i="1"/>
  <c r="AD68" i="1"/>
  <c r="I82" i="1"/>
  <c r="I77" i="1"/>
  <c r="Q82" i="1"/>
  <c r="Q83" i="1"/>
  <c r="Q77" i="1"/>
  <c r="AA98" i="1"/>
  <c r="AA100" i="1"/>
  <c r="AB99" i="1"/>
  <c r="H1547" i="1"/>
  <c r="H1598" i="1"/>
  <c r="H1414" i="1"/>
  <c r="Q1568" i="1"/>
  <c r="Q1601" i="1"/>
  <c r="AF114" i="1"/>
  <c r="AG114" i="1"/>
  <c r="AH114" i="1"/>
  <c r="AI114" i="1"/>
  <c r="AJ114" i="1"/>
  <c r="AK114" i="1"/>
  <c r="AL114" i="1"/>
  <c r="AA114" i="1"/>
  <c r="L171" i="1"/>
  <c r="L172" i="1"/>
  <c r="AI172" i="1"/>
  <c r="AI174" i="1"/>
  <c r="L173" i="1"/>
  <c r="O312" i="1"/>
  <c r="O314" i="1"/>
  <c r="O315" i="1"/>
  <c r="L392" i="1"/>
  <c r="L390" i="1"/>
  <c r="L393" i="1"/>
  <c r="T393" i="1"/>
  <c r="T392" i="1"/>
  <c r="T390" i="1"/>
  <c r="L1568" i="1"/>
  <c r="L1601" i="1"/>
  <c r="L1613" i="1"/>
  <c r="L134" i="1"/>
  <c r="L137" i="1"/>
  <c r="L131" i="1"/>
  <c r="T134" i="1"/>
  <c r="T137" i="1"/>
  <c r="T131" i="1"/>
  <c r="P174" i="1"/>
  <c r="P175" i="1"/>
  <c r="H531" i="1"/>
  <c r="H496" i="1"/>
  <c r="Q494" i="1"/>
  <c r="Q496" i="1"/>
  <c r="Q319" i="1"/>
  <c r="I269" i="1"/>
  <c r="R1259" i="1"/>
  <c r="R570" i="1"/>
  <c r="AE260" i="1"/>
  <c r="AD23" i="1"/>
  <c r="AC23" i="1"/>
  <c r="S353" i="1"/>
  <c r="S354" i="1"/>
  <c r="S265" i="1"/>
  <c r="S266" i="1"/>
  <c r="AC353" i="1"/>
  <c r="AC265" i="1"/>
  <c r="AD355" i="1"/>
  <c r="AD267" i="1"/>
  <c r="AD173" i="1"/>
  <c r="AD766" i="1"/>
  <c r="AD767" i="1"/>
  <c r="AD274" i="1"/>
  <c r="AG72" i="1"/>
  <c r="AA73" i="1"/>
  <c r="AB73" i="1"/>
  <c r="AG76" i="1"/>
  <c r="M134" i="1"/>
  <c r="M137" i="1"/>
  <c r="M131" i="1"/>
  <c r="U134" i="1"/>
  <c r="U137" i="1"/>
  <c r="U131" i="1"/>
  <c r="AF531" i="1"/>
  <c r="H174" i="1"/>
  <c r="H175" i="1"/>
  <c r="N191" i="1"/>
  <c r="M312" i="1"/>
  <c r="M316" i="1"/>
  <c r="M315" i="1"/>
  <c r="M314" i="1"/>
  <c r="P268" i="1"/>
  <c r="P269" i="1"/>
  <c r="W316" i="1"/>
  <c r="W312" i="1"/>
  <c r="W314" i="1"/>
  <c r="AK1077" i="1"/>
  <c r="AK763" i="1"/>
  <c r="AK627" i="1"/>
  <c r="AK418" i="1"/>
  <c r="AK350" i="1"/>
  <c r="AK260" i="1"/>
  <c r="Q357" i="1"/>
  <c r="Q356" i="1"/>
  <c r="N871" i="1"/>
  <c r="N872" i="1"/>
  <c r="N779" i="1"/>
  <c r="N780" i="1"/>
  <c r="AK50" i="1"/>
  <c r="AG101" i="1"/>
  <c r="AG135" i="1"/>
  <c r="I1547" i="1"/>
  <c r="I1598" i="1"/>
  <c r="I1414" i="1"/>
  <c r="I1415" i="1"/>
  <c r="AD162" i="1"/>
  <c r="X171" i="1"/>
  <c r="X172" i="1"/>
  <c r="X174" i="1"/>
  <c r="G512" i="1"/>
  <c r="O512" i="1"/>
  <c r="O569" i="1"/>
  <c r="O191" i="1"/>
  <c r="W191" i="1"/>
  <c r="L198" i="1"/>
  <c r="L203" i="1"/>
  <c r="T198" i="1"/>
  <c r="T203" i="1"/>
  <c r="L205" i="1"/>
  <c r="T205" i="1"/>
  <c r="O211" i="1"/>
  <c r="W211" i="1"/>
  <c r="AG235" i="1"/>
  <c r="AG247" i="1"/>
  <c r="I496" i="1"/>
  <c r="I531" i="1"/>
  <c r="S500" i="1"/>
  <c r="S306" i="1"/>
  <c r="S307" i="1"/>
  <c r="P298" i="1"/>
  <c r="P312" i="1"/>
  <c r="T319" i="1"/>
  <c r="R320" i="1"/>
  <c r="AE345" i="1"/>
  <c r="J357" i="1"/>
  <c r="U357" i="1"/>
  <c r="W448" i="1"/>
  <c r="K1417" i="1"/>
  <c r="S511" i="1"/>
  <c r="AL1077" i="1"/>
  <c r="AL763" i="1"/>
  <c r="AL627" i="1"/>
  <c r="AL350" i="1"/>
  <c r="AL260" i="1"/>
  <c r="O871" i="1"/>
  <c r="O872" i="1"/>
  <c r="O779" i="1"/>
  <c r="O780" i="1"/>
  <c r="AL50" i="1"/>
  <c r="S1597" i="1"/>
  <c r="S1012" i="1"/>
  <c r="S1013" i="1"/>
  <c r="S1547" i="1"/>
  <c r="S1598" i="1"/>
  <c r="J1547" i="1"/>
  <c r="J1598" i="1"/>
  <c r="J1414" i="1"/>
  <c r="Q171" i="1"/>
  <c r="Q172" i="1"/>
  <c r="Q173" i="1"/>
  <c r="H512" i="1"/>
  <c r="P512" i="1"/>
  <c r="P569" i="1"/>
  <c r="X512" i="1"/>
  <c r="X569" i="1"/>
  <c r="M198" i="1"/>
  <c r="M203" i="1"/>
  <c r="U198" i="1"/>
  <c r="U203" i="1"/>
  <c r="M205" i="1"/>
  <c r="U205" i="1"/>
  <c r="H211" i="1"/>
  <c r="P211" i="1"/>
  <c r="X211" i="1"/>
  <c r="AF234" i="1"/>
  <c r="J531" i="1"/>
  <c r="S319" i="1"/>
  <c r="X265" i="1"/>
  <c r="X266" i="1"/>
  <c r="Q267" i="1"/>
  <c r="Q275" i="1"/>
  <c r="Q276" i="1"/>
  <c r="L306" i="1"/>
  <c r="L307" i="1"/>
  <c r="M399" i="1"/>
  <c r="H436" i="1"/>
  <c r="H448" i="1"/>
  <c r="X448" i="1"/>
  <c r="X436" i="1"/>
  <c r="AG431" i="1"/>
  <c r="AH440" i="1"/>
  <c r="L494" i="1"/>
  <c r="L496" i="1"/>
  <c r="I512" i="1"/>
  <c r="Q512" i="1"/>
  <c r="Q569" i="1"/>
  <c r="I191" i="1"/>
  <c r="Q191" i="1"/>
  <c r="N198" i="1"/>
  <c r="N203" i="1"/>
  <c r="V198" i="1"/>
  <c r="V203" i="1"/>
  <c r="N205" i="1"/>
  <c r="V205" i="1"/>
  <c r="I211" i="1"/>
  <c r="Q211" i="1"/>
  <c r="L577" i="1"/>
  <c r="L502" i="1"/>
  <c r="AF252" i="1"/>
  <c r="G268" i="1"/>
  <c r="G269" i="1"/>
  <c r="R284" i="1"/>
  <c r="V321" i="1"/>
  <c r="W319" i="1"/>
  <c r="G393" i="1"/>
  <c r="G392" i="1"/>
  <c r="G390" i="1"/>
  <c r="O393" i="1"/>
  <c r="O392" i="1"/>
  <c r="O390" i="1"/>
  <c r="W393" i="1"/>
  <c r="W392" i="1"/>
  <c r="W390" i="1"/>
  <c r="P531" i="1"/>
  <c r="AE546" i="1"/>
  <c r="G198" i="1"/>
  <c r="G203" i="1"/>
  <c r="O198" i="1"/>
  <c r="O203" i="1"/>
  <c r="W198" i="1"/>
  <c r="W203" i="1"/>
  <c r="G205" i="1"/>
  <c r="O205" i="1"/>
  <c r="W205" i="1"/>
  <c r="U496" i="1"/>
  <c r="U531" i="1"/>
  <c r="M500" i="1"/>
  <c r="V500" i="1"/>
  <c r="V306" i="1"/>
  <c r="V307" i="1"/>
  <c r="AG252" i="1"/>
  <c r="AE268" i="1"/>
  <c r="AG277" i="1"/>
  <c r="AF306" i="1"/>
  <c r="AF307" i="1"/>
  <c r="N355" i="1"/>
  <c r="H393" i="1"/>
  <c r="H392" i="1"/>
  <c r="H390" i="1"/>
  <c r="P393" i="1"/>
  <c r="P392" i="1"/>
  <c r="P390" i="1"/>
  <c r="X393" i="1"/>
  <c r="X392" i="1"/>
  <c r="X390" i="1"/>
  <c r="V1259" i="1"/>
  <c r="V570" i="1"/>
  <c r="V575" i="1"/>
  <c r="Y1269" i="1"/>
  <c r="Z1269" i="1"/>
  <c r="AF515" i="1"/>
  <c r="AL515" i="1"/>
  <c r="AE515" i="1"/>
  <c r="K512" i="1"/>
  <c r="K191" i="1"/>
  <c r="S191" i="1"/>
  <c r="H198" i="1"/>
  <c r="H203" i="1"/>
  <c r="P198" i="1"/>
  <c r="P203" i="1"/>
  <c r="X198" i="1"/>
  <c r="X203" i="1"/>
  <c r="H205" i="1"/>
  <c r="P205" i="1"/>
  <c r="X205" i="1"/>
  <c r="K211" i="1"/>
  <c r="S211" i="1"/>
  <c r="AG233" i="1"/>
  <c r="M494" i="1"/>
  <c r="M496" i="1"/>
  <c r="M319" i="1"/>
  <c r="P319" i="1"/>
  <c r="V494" i="1"/>
  <c r="V496" i="1"/>
  <c r="V319" i="1"/>
  <c r="O928" i="1"/>
  <c r="O1052" i="1"/>
  <c r="O275" i="1"/>
  <c r="O276" i="1"/>
  <c r="Q265" i="1"/>
  <c r="Q266" i="1"/>
  <c r="AA265" i="1"/>
  <c r="AA266" i="1"/>
  <c r="AA268" i="1"/>
  <c r="AH277" i="1"/>
  <c r="P314" i="1"/>
  <c r="P315" i="1"/>
  <c r="T553" i="1"/>
  <c r="T548" i="1"/>
  <c r="T1546" i="1"/>
  <c r="T1547" i="1"/>
  <c r="T1598" i="1"/>
  <c r="L191" i="1"/>
  <c r="T191" i="1"/>
  <c r="I198" i="1"/>
  <c r="I203" i="1"/>
  <c r="Q198" i="1"/>
  <c r="Q203" i="1"/>
  <c r="I205" i="1"/>
  <c r="Q205" i="1"/>
  <c r="L211" i="1"/>
  <c r="T211" i="1"/>
  <c r="N494" i="1"/>
  <c r="N496" i="1"/>
  <c r="N319" i="1"/>
  <c r="O266" i="1"/>
  <c r="R265" i="1"/>
  <c r="R266" i="1"/>
  <c r="AB265" i="1"/>
  <c r="H316" i="1"/>
  <c r="H315" i="1"/>
  <c r="H314" i="1"/>
  <c r="I374" i="1"/>
  <c r="I399" i="1"/>
  <c r="Q399" i="1"/>
  <c r="Q374" i="1"/>
  <c r="V393" i="1"/>
  <c r="V392" i="1"/>
  <c r="Y495" i="1"/>
  <c r="K496" i="1"/>
  <c r="Y542" i="1"/>
  <c r="Y546" i="1"/>
  <c r="X546" i="1"/>
  <c r="X1545" i="1"/>
  <c r="AI1077" i="1"/>
  <c r="AI763" i="1"/>
  <c r="AI627" i="1"/>
  <c r="AI350" i="1"/>
  <c r="AI418" i="1"/>
  <c r="N265" i="1"/>
  <c r="N353" i="1"/>
  <c r="N354" i="1"/>
  <c r="X356" i="1"/>
  <c r="V868" i="1"/>
  <c r="V869" i="1"/>
  <c r="V776" i="1"/>
  <c r="V777" i="1"/>
  <c r="L871" i="1"/>
  <c r="L872" i="1"/>
  <c r="L779" i="1"/>
  <c r="L780" i="1"/>
  <c r="V871" i="1"/>
  <c r="V872" i="1"/>
  <c r="V779" i="1"/>
  <c r="AI50" i="1"/>
  <c r="G1547" i="1"/>
  <c r="G1598" i="1"/>
  <c r="G1414" i="1"/>
  <c r="G1415" i="1"/>
  <c r="P1547" i="1"/>
  <c r="P1598" i="1"/>
  <c r="P1601" i="1"/>
  <c r="P1414" i="1"/>
  <c r="P1417" i="1"/>
  <c r="AL168" i="1"/>
  <c r="N171" i="1"/>
  <c r="N172" i="1"/>
  <c r="N173" i="1"/>
  <c r="J198" i="1"/>
  <c r="J203" i="1"/>
  <c r="R198" i="1"/>
  <c r="R203" i="1"/>
  <c r="J205" i="1"/>
  <c r="R205" i="1"/>
  <c r="M211" i="1"/>
  <c r="U211" i="1"/>
  <c r="AC234" i="1"/>
  <c r="O319" i="1"/>
  <c r="O494" i="1"/>
  <c r="O496" i="1"/>
  <c r="X494" i="1"/>
  <c r="X496" i="1"/>
  <c r="X319" i="1"/>
  <c r="AH238" i="1"/>
  <c r="AH239" i="1"/>
  <c r="AG266" i="1"/>
  <c r="X267" i="1"/>
  <c r="X274" i="1"/>
  <c r="X275" i="1"/>
  <c r="X276" i="1"/>
  <c r="J320" i="1"/>
  <c r="J298" i="1"/>
  <c r="H312" i="1"/>
  <c r="AE344" i="1"/>
  <c r="AE501" i="1"/>
  <c r="X400" i="1"/>
  <c r="J374" i="1"/>
  <c r="J399" i="1"/>
  <c r="AE389" i="1"/>
  <c r="V390" i="1"/>
  <c r="J1253" i="1"/>
  <c r="J533" i="1"/>
  <c r="J513" i="1"/>
  <c r="J514" i="1"/>
  <c r="R1253" i="1"/>
  <c r="R564" i="1"/>
  <c r="R567" i="1"/>
  <c r="R513" i="1"/>
  <c r="R514" i="1"/>
  <c r="O1259" i="1"/>
  <c r="O570" i="1"/>
  <c r="N570" i="1"/>
  <c r="N575" i="1"/>
  <c r="N581" i="1"/>
  <c r="N583" i="1"/>
  <c r="N585" i="1"/>
  <c r="N500" i="1"/>
  <c r="N306" i="1"/>
  <c r="N307" i="1"/>
  <c r="W577" i="1"/>
  <c r="W502" i="1"/>
  <c r="M275" i="1"/>
  <c r="M276" i="1"/>
  <c r="U275" i="1"/>
  <c r="U276" i="1"/>
  <c r="M284" i="1"/>
  <c r="U284" i="1"/>
  <c r="U298" i="1"/>
  <c r="W320" i="1"/>
  <c r="AC343" i="1"/>
  <c r="AC333" i="1"/>
  <c r="AC383" i="1"/>
  <c r="V374" i="1"/>
  <c r="V399" i="1"/>
  <c r="AD495" i="1"/>
  <c r="AD413" i="1"/>
  <c r="AD501" i="1"/>
  <c r="AD431" i="1"/>
  <c r="K448" i="1"/>
  <c r="K436" i="1"/>
  <c r="S448" i="1"/>
  <c r="S436" i="1"/>
  <c r="O500" i="1"/>
  <c r="P1352" i="1"/>
  <c r="P1463" i="1"/>
  <c r="P1351" i="1"/>
  <c r="P1360" i="1"/>
  <c r="P1361" i="1"/>
  <c r="N553" i="1"/>
  <c r="AJ948" i="1"/>
  <c r="AJ767" i="1"/>
  <c r="AJ801" i="1"/>
  <c r="AJ768" i="1"/>
  <c r="N266" i="1"/>
  <c r="N268" i="1"/>
  <c r="N275" i="1"/>
  <c r="N276" i="1"/>
  <c r="N284" i="1"/>
  <c r="V298" i="1"/>
  <c r="AF313" i="1"/>
  <c r="AG313" i="1"/>
  <c r="AH313" i="1"/>
  <c r="AI313" i="1"/>
  <c r="AJ313" i="1"/>
  <c r="AK313" i="1"/>
  <c r="AL313" i="1"/>
  <c r="AA501" i="1"/>
  <c r="Z531" i="1"/>
  <c r="Z496" i="1"/>
  <c r="P577" i="1"/>
  <c r="P532" i="1"/>
  <c r="P502" i="1"/>
  <c r="Q500" i="1"/>
  <c r="Q306" i="1"/>
  <c r="Q307" i="1"/>
  <c r="AE1057" i="1"/>
  <c r="AE1059" i="1"/>
  <c r="W266" i="1"/>
  <c r="AE275" i="1"/>
  <c r="AE276" i="1"/>
  <c r="G284" i="1"/>
  <c r="O284" i="1"/>
  <c r="W284" i="1"/>
  <c r="AE284" i="1"/>
  <c r="I316" i="1"/>
  <c r="I315" i="1"/>
  <c r="I314" i="1"/>
  <c r="AH338" i="1"/>
  <c r="AG333" i="1"/>
  <c r="AG383" i="1"/>
  <c r="AG343" i="1"/>
  <c r="AG339" i="1"/>
  <c r="AF495" i="1"/>
  <c r="AF496" i="1"/>
  <c r="K393" i="1"/>
  <c r="K392" i="1"/>
  <c r="K390" i="1"/>
  <c r="S393" i="1"/>
  <c r="S392" i="1"/>
  <c r="S390" i="1"/>
  <c r="AD950" i="1"/>
  <c r="AF944" i="1"/>
  <c r="AG614" i="1"/>
  <c r="AF620" i="1"/>
  <c r="AG941" i="1"/>
  <c r="AH611" i="1"/>
  <c r="AG617" i="1"/>
  <c r="G1308" i="1"/>
  <c r="G1528" i="1"/>
  <c r="G1261" i="1"/>
  <c r="G1262" i="1"/>
  <c r="G1304" i="1"/>
  <c r="G1307" i="1"/>
  <c r="G1342" i="1"/>
  <c r="G1343" i="1"/>
  <c r="O1528" i="1"/>
  <c r="O1308" i="1"/>
  <c r="O1261" i="1"/>
  <c r="O1262" i="1"/>
  <c r="O1304" i="1"/>
  <c r="O1307" i="1"/>
  <c r="J532" i="1"/>
  <c r="W548" i="1"/>
  <c r="W1546" i="1"/>
  <c r="W1547" i="1"/>
  <c r="W553" i="1"/>
  <c r="O564" i="1"/>
  <c r="O567" i="1"/>
  <c r="K357" i="1"/>
  <c r="R390" i="1"/>
  <c r="R392" i="1"/>
  <c r="L436" i="1"/>
  <c r="K532" i="1"/>
  <c r="H1253" i="1"/>
  <c r="H533" i="1"/>
  <c r="H513" i="1"/>
  <c r="H514" i="1"/>
  <c r="P1253" i="1"/>
  <c r="U1302" i="1"/>
  <c r="U1368" i="1"/>
  <c r="U1366" i="1"/>
  <c r="U1365" i="1"/>
  <c r="P564" i="1"/>
  <c r="P567" i="1"/>
  <c r="P533" i="1"/>
  <c r="P513" i="1"/>
  <c r="P514" i="1"/>
  <c r="X564" i="1"/>
  <c r="X567" i="1"/>
  <c r="X513" i="1"/>
  <c r="X514" i="1"/>
  <c r="AL754" i="1"/>
  <c r="AK940" i="1"/>
  <c r="AK758" i="1"/>
  <c r="AK747" i="1"/>
  <c r="Y943" i="1"/>
  <c r="Z943" i="1"/>
  <c r="Q298" i="1"/>
  <c r="AF391" i="1"/>
  <c r="AG391" i="1"/>
  <c r="AH391" i="1"/>
  <c r="AI391" i="1"/>
  <c r="AJ391" i="1"/>
  <c r="AK391" i="1"/>
  <c r="AL391" i="1"/>
  <c r="M393" i="1"/>
  <c r="AC495" i="1"/>
  <c r="AC431" i="1"/>
  <c r="AC413" i="1"/>
  <c r="AC501" i="1"/>
  <c r="I511" i="1"/>
  <c r="I1259" i="1"/>
  <c r="I1416" i="1"/>
  <c r="I1417" i="1"/>
  <c r="Q1259" i="1"/>
  <c r="Q570" i="1"/>
  <c r="AE531" i="1"/>
  <c r="G1260" i="1"/>
  <c r="O1260" i="1"/>
  <c r="L1259" i="1"/>
  <c r="L1260" i="1"/>
  <c r="L570" i="1"/>
  <c r="L575" i="1"/>
  <c r="L581" i="1"/>
  <c r="L583" i="1"/>
  <c r="L585" i="1"/>
  <c r="G513" i="1"/>
  <c r="G514" i="1"/>
  <c r="G517" i="1"/>
  <c r="AA952" i="1"/>
  <c r="AA944" i="1"/>
  <c r="G357" i="1"/>
  <c r="P357" i="1"/>
  <c r="H356" i="1"/>
  <c r="H357" i="1"/>
  <c r="AD391" i="1"/>
  <c r="L1253" i="1"/>
  <c r="L513" i="1"/>
  <c r="L514" i="1"/>
  <c r="T1253" i="1"/>
  <c r="T513" i="1"/>
  <c r="T514" i="1"/>
  <c r="J1260" i="1"/>
  <c r="R1260" i="1"/>
  <c r="AL520" i="1"/>
  <c r="AG345" i="1"/>
  <c r="M390" i="1"/>
  <c r="T436" i="1"/>
  <c r="M511" i="1"/>
  <c r="U1259" i="1"/>
  <c r="U1416" i="1"/>
  <c r="U570" i="1"/>
  <c r="U575" i="1"/>
  <c r="U581" i="1"/>
  <c r="U583" i="1"/>
  <c r="U585" i="1"/>
  <c r="H532" i="1"/>
  <c r="K1260" i="1"/>
  <c r="T1259" i="1"/>
  <c r="T1260" i="1"/>
  <c r="T570" i="1"/>
  <c r="T575" i="1"/>
  <c r="T581" i="1"/>
  <c r="T583" i="1"/>
  <c r="T585" i="1"/>
  <c r="W513" i="1"/>
  <c r="W514" i="1"/>
  <c r="AF519" i="1"/>
  <c r="AL519" i="1"/>
  <c r="AE519" i="1"/>
  <c r="S553" i="1"/>
  <c r="Y558" i="1"/>
  <c r="X558" i="1"/>
  <c r="AE558" i="1"/>
  <c r="L564" i="1"/>
  <c r="L567" i="1"/>
  <c r="AF952" i="1"/>
  <c r="AF708" i="1"/>
  <c r="U553" i="1"/>
  <c r="AK938" i="1"/>
  <c r="AL753" i="1"/>
  <c r="AK742" i="1"/>
  <c r="AK800" i="1"/>
  <c r="AK799" i="1"/>
  <c r="AK757" i="1"/>
  <c r="AK1439" i="1"/>
  <c r="AK1436" i="1"/>
  <c r="AK1505" i="1"/>
  <c r="AL1433" i="1"/>
  <c r="AL1437" i="1"/>
  <c r="AF950" i="1"/>
  <c r="AF705" i="1"/>
  <c r="O374" i="1"/>
  <c r="W374" i="1"/>
  <c r="N448" i="1"/>
  <c r="V448" i="1"/>
  <c r="I502" i="1"/>
  <c r="I1528" i="1"/>
  <c r="I1302" i="1"/>
  <c r="I1368" i="1"/>
  <c r="I1307" i="1"/>
  <c r="I1308" i="1"/>
  <c r="I1261" i="1"/>
  <c r="I1342" i="1"/>
  <c r="I1343" i="1"/>
  <c r="Q1308" i="1"/>
  <c r="Q1261" i="1"/>
  <c r="Q1262" i="1"/>
  <c r="Q1304" i="1"/>
  <c r="Q1528" i="1"/>
  <c r="Q1307" i="1"/>
  <c r="I1260" i="1"/>
  <c r="Q1260" i="1"/>
  <c r="I513" i="1"/>
  <c r="Q513" i="1"/>
  <c r="Q514" i="1"/>
  <c r="S516" i="1"/>
  <c r="U533" i="1"/>
  <c r="AF542" i="1"/>
  <c r="AC545" i="1"/>
  <c r="M1597" i="1"/>
  <c r="M1012" i="1"/>
  <c r="M1013" i="1"/>
  <c r="N564" i="1"/>
  <c r="N567" i="1"/>
  <c r="AI802" i="1"/>
  <c r="AJ949" i="1"/>
  <c r="AJ778" i="1"/>
  <c r="AJ780" i="1"/>
  <c r="AJ777" i="1"/>
  <c r="U1064" i="1"/>
  <c r="U1066" i="1"/>
  <c r="U1060" i="1"/>
  <c r="U1067" i="1"/>
  <c r="AF951" i="1"/>
  <c r="AF706" i="1"/>
  <c r="AC950" i="1"/>
  <c r="AJ1512" i="1"/>
  <c r="U669" i="1"/>
  <c r="Y941" i="1"/>
  <c r="Z941" i="1"/>
  <c r="Z990" i="1"/>
  <c r="Z992" i="1"/>
  <c r="AH522" i="1"/>
  <c r="AC544" i="1"/>
  <c r="AD544" i="1"/>
  <c r="R1597" i="1"/>
  <c r="R1012" i="1"/>
  <c r="R1013" i="1"/>
  <c r="R548" i="1"/>
  <c r="R1546" i="1"/>
  <c r="R1547" i="1"/>
  <c r="R1598" i="1"/>
  <c r="R553" i="1"/>
  <c r="AE557" i="1"/>
  <c r="X570" i="1"/>
  <c r="AF687" i="1"/>
  <c r="AC687" i="1"/>
  <c r="AC678" i="1"/>
  <c r="AD687" i="1"/>
  <c r="V1048" i="1"/>
  <c r="V1056" i="1"/>
  <c r="V1062" i="1"/>
  <c r="AB944" i="1"/>
  <c r="Y942" i="1"/>
  <c r="Z942" i="1"/>
  <c r="P570" i="1"/>
  <c r="W1041" i="1"/>
  <c r="W1048" i="1"/>
  <c r="W1056" i="1"/>
  <c r="W1058" i="1"/>
  <c r="W1060" i="1"/>
  <c r="AB941" i="1"/>
  <c r="AA941" i="1"/>
  <c r="Y944" i="1"/>
  <c r="Z944" i="1"/>
  <c r="K374" i="1"/>
  <c r="S374" i="1"/>
  <c r="M1528" i="1"/>
  <c r="M1308" i="1"/>
  <c r="M1307" i="1"/>
  <c r="M1261" i="1"/>
  <c r="U1308" i="1"/>
  <c r="U1261" i="1"/>
  <c r="U1262" i="1"/>
  <c r="U1304" i="1"/>
  <c r="U1307" i="1"/>
  <c r="U1342" i="1"/>
  <c r="U1343" i="1"/>
  <c r="U1528" i="1"/>
  <c r="U1260" i="1"/>
  <c r="M513" i="1"/>
  <c r="U513" i="1"/>
  <c r="U514" i="1"/>
  <c r="AE518" i="1"/>
  <c r="S520" i="1"/>
  <c r="S1277" i="1"/>
  <c r="AE520" i="1"/>
  <c r="I533" i="1"/>
  <c r="AK1001" i="1"/>
  <c r="AJ1004" i="1"/>
  <c r="AJ1006" i="1"/>
  <c r="P669" i="1"/>
  <c r="L374" i="1"/>
  <c r="T374" i="1"/>
  <c r="N1528" i="1"/>
  <c r="N1307" i="1"/>
  <c r="N1308" i="1"/>
  <c r="N1261" i="1"/>
  <c r="N1262" i="1"/>
  <c r="N1304" i="1"/>
  <c r="N1260" i="1"/>
  <c r="N513" i="1"/>
  <c r="N514" i="1"/>
  <c r="V513" i="1"/>
  <c r="V514" i="1"/>
  <c r="M553" i="1"/>
  <c r="AG942" i="1"/>
  <c r="AG618" i="1"/>
  <c r="AH612" i="1"/>
  <c r="AC953" i="1"/>
  <c r="AG943" i="1"/>
  <c r="AH613" i="1"/>
  <c r="AG619" i="1"/>
  <c r="AL22" i="1"/>
  <c r="AL1072" i="1"/>
  <c r="AL1076" i="1"/>
  <c r="AK22" i="1"/>
  <c r="AK1072" i="1"/>
  <c r="AK1076" i="1"/>
  <c r="AJ22" i="1"/>
  <c r="AJ1072" i="1"/>
  <c r="AJ1076" i="1"/>
  <c r="AI22" i="1"/>
  <c r="AI1072" i="1"/>
  <c r="AI1076" i="1"/>
  <c r="AH22" i="1"/>
  <c r="AH1072" i="1"/>
  <c r="AH1076" i="1"/>
  <c r="AG22" i="1"/>
  <c r="AG1072" i="1"/>
  <c r="AG1076" i="1"/>
  <c r="AF22" i="1"/>
  <c r="AF1072" i="1"/>
  <c r="AF1076" i="1"/>
  <c r="AE22" i="1"/>
  <c r="AE1072" i="1"/>
  <c r="Z168" i="1"/>
  <c r="Z260" i="1"/>
  <c r="H358" i="1"/>
  <c r="H366" i="1"/>
  <c r="H367" i="1"/>
  <c r="S176" i="1"/>
  <c r="V581" i="1"/>
  <c r="V583" i="1"/>
  <c r="V585" i="1"/>
  <c r="O535" i="1"/>
  <c r="O517" i="1"/>
  <c r="AA356" i="1"/>
  <c r="AE941" i="1"/>
  <c r="O575" i="1"/>
  <c r="O581" i="1"/>
  <c r="O583" i="1"/>
  <c r="O585" i="1"/>
  <c r="O268" i="1"/>
  <c r="W71" i="1"/>
  <c r="AI340" i="1"/>
  <c r="AH345" i="1"/>
  <c r="AD678" i="1"/>
  <c r="AF354" i="1"/>
  <c r="Q174" i="1"/>
  <c r="V356" i="1"/>
  <c r="O356" i="1"/>
  <c r="O357" i="1"/>
  <c r="O358" i="1"/>
  <c r="O366" i="1"/>
  <c r="O367" i="1"/>
  <c r="M356" i="1"/>
  <c r="AF384" i="1"/>
  <c r="AF385" i="1"/>
  <c r="H1415" i="1"/>
  <c r="N174" i="1"/>
  <c r="J1415" i="1"/>
  <c r="R575" i="1"/>
  <c r="R581" i="1"/>
  <c r="R583" i="1"/>
  <c r="R585" i="1"/>
  <c r="H1260" i="1"/>
  <c r="AB390" i="1"/>
  <c r="AB393" i="1"/>
  <c r="AB392" i="1"/>
  <c r="AG926" i="1"/>
  <c r="AG939" i="1"/>
  <c r="AG234" i="1"/>
  <c r="H270" i="1"/>
  <c r="W93" i="1"/>
  <c r="Z69" i="1"/>
  <c r="S268" i="1"/>
  <c r="L356" i="1"/>
  <c r="K270" i="1"/>
  <c r="AC134" i="1"/>
  <c r="AD134" i="1"/>
  <c r="AB131" i="1"/>
  <c r="AG66" i="1"/>
  <c r="AH126" i="1"/>
  <c r="AH129" i="1"/>
  <c r="AE951" i="1"/>
  <c r="AH1078" i="1"/>
  <c r="AH1099" i="1"/>
  <c r="AH1101" i="1"/>
  <c r="AH1154" i="1"/>
  <c r="AH1159" i="1"/>
  <c r="P358" i="1"/>
  <c r="P366" i="1"/>
  <c r="P367" i="1"/>
  <c r="Z1072" i="1"/>
  <c r="AB769" i="1"/>
  <c r="AB770" i="1"/>
  <c r="AB277" i="1"/>
  <c r="AB278" i="1"/>
  <c r="I176" i="1"/>
  <c r="AG1078" i="1"/>
  <c r="AG1099" i="1"/>
  <c r="AG1101" i="1"/>
  <c r="AG1154" i="1"/>
  <c r="AG1159" i="1"/>
  <c r="P176" i="1"/>
  <c r="X277" i="1"/>
  <c r="X278" i="1"/>
  <c r="K358" i="1"/>
  <c r="K366" i="1"/>
  <c r="K367" i="1"/>
  <c r="H176" i="1"/>
  <c r="U176" i="1"/>
  <c r="G358" i="1"/>
  <c r="G366" i="1"/>
  <c r="G367" i="1"/>
  <c r="AC277" i="1"/>
  <c r="V62" i="1"/>
  <c r="V63" i="1"/>
  <c r="AG129" i="1"/>
  <c r="AG131" i="1"/>
  <c r="AG65" i="1"/>
  <c r="AC186" i="1"/>
  <c r="AA277" i="1"/>
  <c r="AA278" i="1"/>
  <c r="AA769" i="1"/>
  <c r="AA770" i="1"/>
  <c r="V861" i="1"/>
  <c r="V862" i="1"/>
  <c r="V769" i="1"/>
  <c r="V770" i="1"/>
  <c r="AD545" i="1"/>
  <c r="AD343" i="1"/>
  <c r="AE343" i="1"/>
  <c r="AA315" i="1"/>
  <c r="AA314" i="1"/>
  <c r="AA312" i="1"/>
  <c r="R62" i="1"/>
  <c r="R63" i="1"/>
  <c r="Y350" i="1"/>
  <c r="W62" i="1"/>
  <c r="W63" i="1"/>
  <c r="AJ1078" i="1"/>
  <c r="AJ1099" i="1"/>
  <c r="AJ1101" i="1"/>
  <c r="AJ1154" i="1"/>
  <c r="AJ1159" i="1"/>
  <c r="Z1677" i="1"/>
  <c r="AA93" i="1"/>
  <c r="Y1545" i="1"/>
  <c r="Y1597" i="1"/>
  <c r="Z1597" i="1"/>
  <c r="AC542" i="1"/>
  <c r="AF1276" i="1"/>
  <c r="AE942" i="1"/>
  <c r="AB967" i="1"/>
  <c r="AE952" i="1"/>
  <c r="AB968" i="1"/>
  <c r="Q358" i="1"/>
  <c r="Q366" i="1"/>
  <c r="Q367" i="1"/>
  <c r="H280" i="1"/>
  <c r="I358" i="1"/>
  <c r="I366" i="1"/>
  <c r="I367" i="1"/>
  <c r="AC22" i="1"/>
  <c r="AC1072" i="1"/>
  <c r="AC1076" i="1"/>
  <c r="AL1078" i="1"/>
  <c r="AL1099" i="1"/>
  <c r="AL1101" i="1"/>
  <c r="AL1154" i="1"/>
  <c r="AL1159" i="1"/>
  <c r="Y627" i="1"/>
  <c r="X350" i="1"/>
  <c r="J358" i="1"/>
  <c r="J366" i="1"/>
  <c r="J367" i="1"/>
  <c r="X418" i="1"/>
  <c r="X627" i="1"/>
  <c r="H864" i="1"/>
  <c r="AD277" i="1"/>
  <c r="G270" i="1"/>
  <c r="Y763" i="1"/>
  <c r="Z763" i="1"/>
  <c r="J270" i="1"/>
  <c r="Y1077" i="1"/>
  <c r="Z1077" i="1"/>
  <c r="AF709" i="1"/>
  <c r="Y168" i="1"/>
  <c r="AB350" i="1"/>
  <c r="Y260" i="1"/>
  <c r="P270" i="1"/>
  <c r="Y418" i="1"/>
  <c r="W769" i="1"/>
  <c r="W770" i="1"/>
  <c r="AB418" i="1"/>
  <c r="V277" i="1"/>
  <c r="V278" i="1"/>
  <c r="AB627" i="1"/>
  <c r="AB763" i="1"/>
  <c r="AB1077" i="1"/>
  <c r="Y1072" i="1"/>
  <c r="Y1076" i="1"/>
  <c r="AB50" i="1"/>
  <c r="AB51" i="1"/>
  <c r="AK1078" i="1"/>
  <c r="AK1099" i="1"/>
  <c r="AK1101" i="1"/>
  <c r="AK1154" i="1"/>
  <c r="AK1159" i="1"/>
  <c r="AB168" i="1"/>
  <c r="K1072" i="1"/>
  <c r="L1072" i="1"/>
  <c r="M1072" i="1"/>
  <c r="N1072" i="1"/>
  <c r="O1072" i="1"/>
  <c r="P1072" i="1"/>
  <c r="Q1072" i="1"/>
  <c r="R1072" i="1"/>
  <c r="S1072" i="1"/>
  <c r="T1072" i="1"/>
  <c r="U1072" i="1"/>
  <c r="V1072" i="1"/>
  <c r="W1072" i="1"/>
  <c r="AG951" i="1"/>
  <c r="AK518" i="1"/>
  <c r="K1352" i="1"/>
  <c r="K1351" i="1"/>
  <c r="K1463" i="1"/>
  <c r="K1360" i="1"/>
  <c r="K1361" i="1"/>
  <c r="N502" i="1"/>
  <c r="N577" i="1"/>
  <c r="AE162" i="1"/>
  <c r="AA172" i="1"/>
  <c r="AA500" i="1"/>
  <c r="S535" i="1"/>
  <c r="S517" i="1"/>
  <c r="S1272" i="1"/>
  <c r="K1568" i="1"/>
  <c r="K1601" i="1"/>
  <c r="K1613" i="1"/>
  <c r="U517" i="1"/>
  <c r="U535" i="1"/>
  <c r="Y953" i="1"/>
  <c r="Z953" i="1"/>
  <c r="R1601" i="1"/>
  <c r="R1568" i="1"/>
  <c r="Q535" i="1"/>
  <c r="Q517" i="1"/>
  <c r="AL1439" i="1"/>
  <c r="AL1436" i="1"/>
  <c r="AL1505" i="1"/>
  <c r="AK519" i="1"/>
  <c r="Y952" i="1"/>
  <c r="Z952" i="1"/>
  <c r="AG944" i="1"/>
  <c r="AG620" i="1"/>
  <c r="AH614" i="1"/>
  <c r="AJ802" i="1"/>
  <c r="AH233" i="1"/>
  <c r="AH251" i="1"/>
  <c r="AI238" i="1"/>
  <c r="AH494" i="1"/>
  <c r="G1568" i="1"/>
  <c r="G1601" i="1"/>
  <c r="G1613" i="1"/>
  <c r="AG928" i="1"/>
  <c r="AG275" i="1"/>
  <c r="AG276" i="1"/>
  <c r="AF356" i="1"/>
  <c r="X575" i="1"/>
  <c r="X581" i="1"/>
  <c r="X583" i="1"/>
  <c r="X585" i="1"/>
  <c r="H1601" i="1"/>
  <c r="H1613" i="1"/>
  <c r="H1568" i="1"/>
  <c r="Q1314" i="1"/>
  <c r="Q141" i="1"/>
  <c r="AF69" i="1"/>
  <c r="AF93" i="1"/>
  <c r="AD69" i="1"/>
  <c r="AD93" i="1"/>
  <c r="R355" i="1"/>
  <c r="R356" i="1"/>
  <c r="R357" i="1"/>
  <c r="R358" i="1"/>
  <c r="R366" i="1"/>
  <c r="R367" i="1"/>
  <c r="R267" i="1"/>
  <c r="R268" i="1"/>
  <c r="R269" i="1"/>
  <c r="R270" i="1"/>
  <c r="R173" i="1"/>
  <c r="R174" i="1"/>
  <c r="R175" i="1"/>
  <c r="R176" i="1"/>
  <c r="T82" i="1"/>
  <c r="T83" i="1"/>
  <c r="T77" i="1"/>
  <c r="AF577" i="1"/>
  <c r="AF582" i="1"/>
  <c r="AF502" i="1"/>
  <c r="AJ770" i="1"/>
  <c r="M175" i="1"/>
  <c r="M176" i="1"/>
  <c r="J176" i="1"/>
  <c r="P83" i="1"/>
  <c r="V80" i="1"/>
  <c r="AA1072" i="1"/>
  <c r="AA1076" i="1"/>
  <c r="AI1078" i="1"/>
  <c r="AI1099" i="1"/>
  <c r="AI1101" i="1"/>
  <c r="AI1154" i="1"/>
  <c r="AI1159" i="1"/>
  <c r="M514" i="1"/>
  <c r="V1058" i="1"/>
  <c r="V1060" i="1"/>
  <c r="I514" i="1"/>
  <c r="I1262" i="1"/>
  <c r="I1304" i="1"/>
  <c r="AK1512" i="1"/>
  <c r="J1352" i="1"/>
  <c r="J1360" i="1"/>
  <c r="J1361" i="1"/>
  <c r="J1351" i="1"/>
  <c r="J1463" i="1"/>
  <c r="G1351" i="1"/>
  <c r="G1360" i="1"/>
  <c r="G1361" i="1"/>
  <c r="G1352" i="1"/>
  <c r="G1463" i="1"/>
  <c r="X535" i="1"/>
  <c r="X517" i="1"/>
  <c r="G1417" i="1"/>
  <c r="J1528" i="1"/>
  <c r="J1308" i="1"/>
  <c r="J1307" i="1"/>
  <c r="J1302" i="1"/>
  <c r="J1368" i="1"/>
  <c r="J1342" i="1"/>
  <c r="J1343" i="1"/>
  <c r="J1261" i="1"/>
  <c r="J1262" i="1"/>
  <c r="J1304" i="1"/>
  <c r="X268" i="1"/>
  <c r="N175" i="1"/>
  <c r="N176" i="1"/>
  <c r="AC543" i="1"/>
  <c r="AH431" i="1"/>
  <c r="AI440" i="1"/>
  <c r="P575" i="1"/>
  <c r="P581" i="1"/>
  <c r="P583" i="1"/>
  <c r="P585" i="1"/>
  <c r="S1568" i="1"/>
  <c r="S1601" i="1"/>
  <c r="S1613" i="1"/>
  <c r="U358" i="1"/>
  <c r="U366" i="1"/>
  <c r="U367" i="1"/>
  <c r="AD172" i="1"/>
  <c r="AD174" i="1"/>
  <c r="AD197" i="1"/>
  <c r="AD198" i="1"/>
  <c r="AC73" i="1"/>
  <c r="AD73" i="1"/>
  <c r="I270" i="1"/>
  <c r="AH65" i="1"/>
  <c r="AI125" i="1"/>
  <c r="H772" i="1"/>
  <c r="AI48" i="1"/>
  <c r="AJ48" i="1"/>
  <c r="AK48" i="1"/>
  <c r="AL48" i="1"/>
  <c r="AD48" i="1"/>
  <c r="S356" i="1"/>
  <c r="O175" i="1"/>
  <c r="O176" i="1"/>
  <c r="AC69" i="1"/>
  <c r="AC93" i="1"/>
  <c r="Y354" i="1"/>
  <c r="Y384" i="1"/>
  <c r="Y385" i="1"/>
  <c r="R314" i="1"/>
  <c r="R315" i="1"/>
  <c r="R316" i="1"/>
  <c r="R312" i="1"/>
  <c r="AG500" i="1"/>
  <c r="AG197" i="1"/>
  <c r="AG198" i="1"/>
  <c r="AG172" i="1"/>
  <c r="L357" i="1"/>
  <c r="L358" i="1"/>
  <c r="L366" i="1"/>
  <c r="L367" i="1"/>
  <c r="S1307" i="1"/>
  <c r="S1528" i="1"/>
  <c r="S1308" i="1"/>
  <c r="S1261" i="1"/>
  <c r="M357" i="1"/>
  <c r="M358" i="1"/>
  <c r="M366" i="1"/>
  <c r="M367" i="1"/>
  <c r="AC306" i="1"/>
  <c r="AC307" i="1"/>
  <c r="AC266" i="1"/>
  <c r="AC268" i="1"/>
  <c r="AC99" i="1"/>
  <c r="AD99" i="1"/>
  <c r="K82" i="1"/>
  <c r="P91" i="1"/>
  <c r="K77" i="1"/>
  <c r="S1270" i="1"/>
  <c r="T516" i="1"/>
  <c r="T1270" i="1"/>
  <c r="AF953" i="1"/>
  <c r="AF707" i="1"/>
  <c r="H517" i="1"/>
  <c r="H535" i="1"/>
  <c r="AB1072" i="1"/>
  <c r="AB1076" i="1"/>
  <c r="V517" i="1"/>
  <c r="V535" i="1"/>
  <c r="AL1001" i="1"/>
  <c r="AL1004" i="1"/>
  <c r="AL1006" i="1"/>
  <c r="AK1004" i="1"/>
  <c r="AK1006" i="1"/>
  <c r="U1352" i="1"/>
  <c r="U1351" i="1"/>
  <c r="Z1351" i="1"/>
  <c r="U1360" i="1"/>
  <c r="U1463" i="1"/>
  <c r="AA950" i="1"/>
  <c r="AF558" i="1"/>
  <c r="AG558" i="1"/>
  <c r="AH558" i="1"/>
  <c r="AI558" i="1"/>
  <c r="AJ558" i="1"/>
  <c r="AK558" i="1"/>
  <c r="AL558" i="1"/>
  <c r="AD558" i="1"/>
  <c r="AC558" i="1"/>
  <c r="H1417" i="1"/>
  <c r="T535" i="1"/>
  <c r="H1528" i="1"/>
  <c r="H1307" i="1"/>
  <c r="H1302" i="1"/>
  <c r="H1368" i="1"/>
  <c r="H1261" i="1"/>
  <c r="H1262" i="1"/>
  <c r="H1304" i="1"/>
  <c r="H1308" i="1"/>
  <c r="H1342" i="1"/>
  <c r="H1343" i="1"/>
  <c r="AG268" i="1"/>
  <c r="O269" i="1"/>
  <c r="O270" i="1"/>
  <c r="N356" i="1"/>
  <c r="N357" i="1"/>
  <c r="N358" i="1"/>
  <c r="N366" i="1"/>
  <c r="N367" i="1"/>
  <c r="AF928" i="1"/>
  <c r="AF275" i="1"/>
  <c r="AF276" i="1"/>
  <c r="I79" i="1"/>
  <c r="I80" i="1"/>
  <c r="G1272" i="1"/>
  <c r="G106" i="1"/>
  <c r="G108" i="1"/>
  <c r="G82" i="1"/>
  <c r="G83" i="1"/>
  <c r="G1314" i="1"/>
  <c r="G77" i="1"/>
  <c r="AG202" i="1"/>
  <c r="R577" i="1"/>
  <c r="R502" i="1"/>
  <c r="O1545" i="1"/>
  <c r="O107" i="1"/>
  <c r="W268" i="1"/>
  <c r="AH75" i="1"/>
  <c r="V1314" i="1"/>
  <c r="V141" i="1"/>
  <c r="AF246" i="1"/>
  <c r="AF228" i="1"/>
  <c r="V268" i="1"/>
  <c r="T355" i="1"/>
  <c r="T356" i="1"/>
  <c r="T357" i="1"/>
  <c r="T358" i="1"/>
  <c r="T366" i="1"/>
  <c r="T367" i="1"/>
  <c r="T267" i="1"/>
  <c r="T173" i="1"/>
  <c r="T174" i="1"/>
  <c r="T175" i="1"/>
  <c r="T176" i="1"/>
  <c r="R82" i="1"/>
  <c r="R83" i="1"/>
  <c r="R77" i="1"/>
  <c r="AB306" i="1"/>
  <c r="AB307" i="1"/>
  <c r="AB266" i="1"/>
  <c r="AJ240" i="1"/>
  <c r="AI235" i="1"/>
  <c r="AI247" i="1"/>
  <c r="AI253" i="1"/>
  <c r="P80" i="1"/>
  <c r="P79" i="1"/>
  <c r="AE990" i="1"/>
  <c r="AE992" i="1"/>
  <c r="AA1545" i="1"/>
  <c r="AD542" i="1"/>
  <c r="M1568" i="1"/>
  <c r="M1601" i="1"/>
  <c r="M1613" i="1"/>
  <c r="T1528" i="1"/>
  <c r="T1308" i="1"/>
  <c r="T1261" i="1"/>
  <c r="T1262" i="1"/>
  <c r="T1304" i="1"/>
  <c r="T1307" i="1"/>
  <c r="AK778" i="1"/>
  <c r="AK780" i="1"/>
  <c r="AK777" i="1"/>
  <c r="AK949" i="1"/>
  <c r="AG495" i="1"/>
  <c r="AG496" i="1"/>
  <c r="AG344" i="1"/>
  <c r="AG501" i="1"/>
  <c r="AH339" i="1"/>
  <c r="Q316" i="1"/>
  <c r="Q315" i="1"/>
  <c r="Q314" i="1"/>
  <c r="Q312" i="1"/>
  <c r="R535" i="1"/>
  <c r="R517" i="1"/>
  <c r="R1272" i="1"/>
  <c r="AB500" i="1"/>
  <c r="AB172" i="1"/>
  <c r="Z779" i="1"/>
  <c r="V780" i="1"/>
  <c r="Z501" i="1"/>
  <c r="Y501" i="1"/>
  <c r="AK515" i="1"/>
  <c r="AG515" i="1"/>
  <c r="V315" i="1"/>
  <c r="V316" i="1"/>
  <c r="V314" i="1"/>
  <c r="V312" i="1"/>
  <c r="U500" i="1"/>
  <c r="U266" i="1"/>
  <c r="U306" i="1"/>
  <c r="U307" i="1"/>
  <c r="Q268" i="1"/>
  <c r="Q269" i="1"/>
  <c r="Q270" i="1"/>
  <c r="S1259" i="1"/>
  <c r="S1260" i="1"/>
  <c r="S570" i="1"/>
  <c r="S575" i="1"/>
  <c r="S581" i="1"/>
  <c r="S583" i="1"/>
  <c r="S585" i="1"/>
  <c r="Z1543" i="1"/>
  <c r="AG1270" i="1"/>
  <c r="AH72" i="1"/>
  <c r="S269" i="1"/>
  <c r="S270" i="1"/>
  <c r="J1417" i="1"/>
  <c r="U319" i="1"/>
  <c r="AA102" i="1"/>
  <c r="I83" i="1"/>
  <c r="I1314" i="1"/>
  <c r="AI159" i="1"/>
  <c r="AH163" i="1"/>
  <c r="AH179" i="1"/>
  <c r="AB100" i="1"/>
  <c r="N1597" i="1"/>
  <c r="N1012" i="1"/>
  <c r="N1013" i="1"/>
  <c r="N1547" i="1"/>
  <c r="N1598" i="1"/>
  <c r="W356" i="1"/>
  <c r="O1272" i="1"/>
  <c r="O82" i="1"/>
  <c r="O83" i="1"/>
  <c r="O1314" i="1"/>
  <c r="O77" i="1"/>
  <c r="O106" i="1"/>
  <c r="N79" i="1"/>
  <c r="N80" i="1"/>
  <c r="H1272" i="1"/>
  <c r="H106" i="1"/>
  <c r="H108" i="1"/>
  <c r="H77" i="1"/>
  <c r="H82" i="1"/>
  <c r="X82" i="1"/>
  <c r="X83" i="1"/>
  <c r="X77" i="1"/>
  <c r="X79" i="1"/>
  <c r="AE944" i="1"/>
  <c r="I1352" i="1"/>
  <c r="I1360" i="1"/>
  <c r="I1361" i="1"/>
  <c r="I1463" i="1"/>
  <c r="I1351" i="1"/>
  <c r="AK801" i="1"/>
  <c r="AK948" i="1"/>
  <c r="AK768" i="1"/>
  <c r="AK770" i="1"/>
  <c r="AK767" i="1"/>
  <c r="W517" i="1"/>
  <c r="W535" i="1"/>
  <c r="AD22" i="1"/>
  <c r="AD1072" i="1"/>
  <c r="AD1076" i="1"/>
  <c r="AB950" i="1"/>
  <c r="Y951" i="1"/>
  <c r="Z951" i="1"/>
  <c r="AF557" i="1"/>
  <c r="AG557" i="1"/>
  <c r="AH557" i="1"/>
  <c r="AI557" i="1"/>
  <c r="AJ557" i="1"/>
  <c r="AK557" i="1"/>
  <c r="AL557" i="1"/>
  <c r="AC557" i="1"/>
  <c r="AD557" i="1"/>
  <c r="L535" i="1"/>
  <c r="L517" i="1"/>
  <c r="P535" i="1"/>
  <c r="P517" i="1"/>
  <c r="AG950" i="1"/>
  <c r="AG384" i="1"/>
  <c r="AG385" i="1"/>
  <c r="AG354" i="1"/>
  <c r="Q577" i="1"/>
  <c r="Q502" i="1"/>
  <c r="O577" i="1"/>
  <c r="O502" i="1"/>
  <c r="X548" i="1"/>
  <c r="X1546" i="1"/>
  <c r="X1547" i="1"/>
  <c r="AG245" i="1"/>
  <c r="AG223" i="1"/>
  <c r="AG305" i="1"/>
  <c r="V502" i="1"/>
  <c r="V577" i="1"/>
  <c r="L316" i="1"/>
  <c r="L315" i="1"/>
  <c r="L314" i="1"/>
  <c r="L312" i="1"/>
  <c r="Q175" i="1"/>
  <c r="Q176" i="1"/>
  <c r="S316" i="1"/>
  <c r="S315" i="1"/>
  <c r="S314" i="1"/>
  <c r="S312" i="1"/>
  <c r="S357" i="1"/>
  <c r="S358" i="1"/>
  <c r="S366" i="1"/>
  <c r="S367" i="1"/>
  <c r="AC76" i="1"/>
  <c r="AE66" i="1"/>
  <c r="K176" i="1"/>
  <c r="U1547" i="1"/>
  <c r="U1598" i="1"/>
  <c r="U1562" i="1"/>
  <c r="U1414" i="1"/>
  <c r="U1415" i="1"/>
  <c r="AE1545" i="1"/>
  <c r="AE102" i="1"/>
  <c r="K535" i="1"/>
  <c r="K517" i="1"/>
  <c r="K1272" i="1"/>
  <c r="K106" i="1"/>
  <c r="K108" i="1"/>
  <c r="Y134" i="1"/>
  <c r="Y137" i="1"/>
  <c r="Y131" i="1"/>
  <c r="AH73" i="1"/>
  <c r="M268" i="1"/>
  <c r="S82" i="1"/>
  <c r="S83" i="1"/>
  <c r="S77" i="1"/>
  <c r="Y93" i="1"/>
  <c r="U79" i="1"/>
  <c r="U80" i="1"/>
  <c r="W1062" i="1"/>
  <c r="W278" i="1"/>
  <c r="AH926" i="1"/>
  <c r="AH939" i="1"/>
  <c r="AH252" i="1"/>
  <c r="AH234" i="1"/>
  <c r="AI239" i="1"/>
  <c r="AH76" i="1"/>
  <c r="AA1077" i="1"/>
  <c r="AA627" i="1"/>
  <c r="AA350" i="1"/>
  <c r="AA260" i="1"/>
  <c r="AA168" i="1"/>
  <c r="AE186" i="1"/>
  <c r="N517" i="1"/>
  <c r="N535" i="1"/>
  <c r="AK520" i="1"/>
  <c r="AL938" i="1"/>
  <c r="AL742" i="1"/>
  <c r="AL800" i="1"/>
  <c r="AL799" i="1"/>
  <c r="AL757" i="1"/>
  <c r="M1259" i="1"/>
  <c r="M1260" i="1"/>
  <c r="M570" i="1"/>
  <c r="M575" i="1"/>
  <c r="M581" i="1"/>
  <c r="M583" i="1"/>
  <c r="M585" i="1"/>
  <c r="G552" i="1"/>
  <c r="G526" i="1"/>
  <c r="G527" i="1"/>
  <c r="G1315" i="1"/>
  <c r="G1325" i="1"/>
  <c r="G521" i="1"/>
  <c r="AL747" i="1"/>
  <c r="AL940" i="1"/>
  <c r="AL758" i="1"/>
  <c r="AH941" i="1"/>
  <c r="AH617" i="1"/>
  <c r="AI611" i="1"/>
  <c r="N269" i="1"/>
  <c r="N270" i="1"/>
  <c r="AC354" i="1"/>
  <c r="AC384" i="1"/>
  <c r="AC385" i="1"/>
  <c r="R1528" i="1"/>
  <c r="R1307" i="1"/>
  <c r="R1261" i="1"/>
  <c r="R1262" i="1"/>
  <c r="R1304" i="1"/>
  <c r="R1308" i="1"/>
  <c r="AF389" i="1"/>
  <c r="AD389" i="1"/>
  <c r="AD369" i="1"/>
  <c r="AC389" i="1"/>
  <c r="AC369" i="1"/>
  <c r="P1415" i="1"/>
  <c r="AF390" i="1"/>
  <c r="AD390" i="1"/>
  <c r="AC390" i="1"/>
  <c r="M269" i="1"/>
  <c r="M270" i="1"/>
  <c r="S577" i="1"/>
  <c r="S502" i="1"/>
  <c r="AC1077" i="1"/>
  <c r="AC763" i="1"/>
  <c r="AC627" i="1"/>
  <c r="AC418" i="1"/>
  <c r="AC350" i="1"/>
  <c r="AC260" i="1"/>
  <c r="AC50" i="1"/>
  <c r="AC168" i="1"/>
  <c r="AC75" i="1"/>
  <c r="AD75" i="1"/>
  <c r="AE68" i="1"/>
  <c r="AC496" i="1"/>
  <c r="AJ197" i="1"/>
  <c r="AJ198" i="1"/>
  <c r="AJ172" i="1"/>
  <c r="O552" i="1"/>
  <c r="O526" i="1"/>
  <c r="O527" i="1"/>
  <c r="O1315" i="1"/>
  <c r="O1325" i="1"/>
  <c r="O521" i="1"/>
  <c r="K1307" i="1"/>
  <c r="K1528" i="1"/>
  <c r="K1302" i="1"/>
  <c r="K1368" i="1"/>
  <c r="K1342" i="1"/>
  <c r="K1343" i="1"/>
  <c r="K1308" i="1"/>
  <c r="K1261" i="1"/>
  <c r="K1262" i="1"/>
  <c r="K1304" i="1"/>
  <c r="AH284" i="1"/>
  <c r="M79" i="1"/>
  <c r="M80" i="1"/>
  <c r="G176" i="1"/>
  <c r="AC500" i="1"/>
  <c r="U91" i="1"/>
  <c r="U83" i="1"/>
  <c r="P1528" i="1"/>
  <c r="P1307" i="1"/>
  <c r="P1302" i="1"/>
  <c r="P1368" i="1"/>
  <c r="P1308" i="1"/>
  <c r="P1261" i="1"/>
  <c r="P1262" i="1"/>
  <c r="P1304" i="1"/>
  <c r="P1564" i="1"/>
  <c r="P1342" i="1"/>
  <c r="P1343" i="1"/>
  <c r="Q79" i="1"/>
  <c r="Q80" i="1"/>
  <c r="L1272" i="1"/>
  <c r="L106" i="1"/>
  <c r="L108" i="1"/>
  <c r="L82" i="1"/>
  <c r="L83" i="1"/>
  <c r="L1314" i="1"/>
  <c r="L77" i="1"/>
  <c r="AG952" i="1"/>
  <c r="AF990" i="1"/>
  <c r="AF992" i="1"/>
  <c r="AF546" i="1"/>
  <c r="AG542" i="1"/>
  <c r="L1308" i="1"/>
  <c r="L1528" i="1"/>
  <c r="L1261" i="1"/>
  <c r="L1262" i="1"/>
  <c r="L1304" i="1"/>
  <c r="L1307" i="1"/>
  <c r="X1072" i="1"/>
  <c r="AF1078" i="1"/>
  <c r="AF1099" i="1"/>
  <c r="AF1101" i="1"/>
  <c r="AF1154" i="1"/>
  <c r="AF1159" i="1"/>
  <c r="AH943" i="1"/>
  <c r="AI613" i="1"/>
  <c r="AH619" i="1"/>
  <c r="AH942" i="1"/>
  <c r="AI612" i="1"/>
  <c r="AH618" i="1"/>
  <c r="V1260" i="1"/>
  <c r="AB953" i="1"/>
  <c r="AG687" i="1"/>
  <c r="AF678" i="1"/>
  <c r="Y950" i="1"/>
  <c r="Z950" i="1"/>
  <c r="AA953" i="1"/>
  <c r="AE431" i="1"/>
  <c r="AH343" i="1"/>
  <c r="AI338" i="1"/>
  <c r="AH333" i="1"/>
  <c r="AH383" i="1"/>
  <c r="AE278" i="1"/>
  <c r="N316" i="1"/>
  <c r="N315" i="1"/>
  <c r="N314" i="1"/>
  <c r="N312" i="1"/>
  <c r="J535" i="1"/>
  <c r="J517" i="1"/>
  <c r="AC246" i="1"/>
  <c r="AC252" i="1"/>
  <c r="AC228" i="1"/>
  <c r="M502" i="1"/>
  <c r="M577" i="1"/>
  <c r="Q575" i="1"/>
  <c r="Q581" i="1"/>
  <c r="Q583" i="1"/>
  <c r="Q585" i="1"/>
  <c r="J1568" i="1"/>
  <c r="J1601" i="1"/>
  <c r="J1613" i="1"/>
  <c r="I1601" i="1"/>
  <c r="I1613" i="1"/>
  <c r="I1568" i="1"/>
  <c r="AE767" i="1"/>
  <c r="AB136" i="1"/>
  <c r="AC97" i="1"/>
  <c r="AD1077" i="1"/>
  <c r="AD763" i="1"/>
  <c r="AD627" i="1"/>
  <c r="AD418" i="1"/>
  <c r="AD260" i="1"/>
  <c r="AD168" i="1"/>
  <c r="AD350" i="1"/>
  <c r="AD50" i="1"/>
  <c r="L174" i="1"/>
  <c r="L175" i="1"/>
  <c r="L176" i="1"/>
  <c r="AB69" i="1"/>
  <c r="AB93" i="1"/>
  <c r="AE65" i="1"/>
  <c r="AL158" i="1"/>
  <c r="AK153" i="1"/>
  <c r="AK196" i="1"/>
  <c r="AK162" i="1"/>
  <c r="J1272" i="1"/>
  <c r="J106" i="1"/>
  <c r="J108" i="1"/>
  <c r="J82" i="1"/>
  <c r="J77" i="1"/>
  <c r="U1597" i="1"/>
  <c r="U1012" i="1"/>
  <c r="U1013" i="1"/>
  <c r="W92" i="1"/>
  <c r="W74" i="1"/>
  <c r="AF100" i="1"/>
  <c r="AL98" i="1"/>
  <c r="AL100" i="1"/>
  <c r="AG98" i="1"/>
  <c r="AG100" i="1"/>
  <c r="AK98" i="1"/>
  <c r="AK100" i="1"/>
  <c r="AJ98" i="1"/>
  <c r="AJ100" i="1"/>
  <c r="AI98" i="1"/>
  <c r="AI100" i="1"/>
  <c r="AH98" i="1"/>
  <c r="AH100" i="1"/>
  <c r="L268" i="1"/>
  <c r="L269" i="1"/>
  <c r="L270" i="1"/>
  <c r="K1415" i="1"/>
  <c r="AB112" i="1"/>
  <c r="AA112" i="1"/>
  <c r="AF112" i="1"/>
  <c r="AG112" i="1"/>
  <c r="AH112" i="1"/>
  <c r="AI112" i="1"/>
  <c r="AJ112" i="1"/>
  <c r="AK112" i="1"/>
  <c r="AL112" i="1"/>
  <c r="AD112" i="1"/>
  <c r="AC112" i="1"/>
  <c r="T1597" i="1"/>
  <c r="T1012" i="1"/>
  <c r="T1013" i="1"/>
  <c r="Z134" i="1"/>
  <c r="Z137" i="1"/>
  <c r="AE89" i="1"/>
  <c r="Z89" i="1"/>
  <c r="AK130" i="1"/>
  <c r="AJ68" i="1"/>
  <c r="AL21" i="1"/>
  <c r="AK21" i="1"/>
  <c r="AJ21" i="1"/>
  <c r="AI21" i="1"/>
  <c r="AH21" i="1"/>
  <c r="AG21" i="1"/>
  <c r="AF21" i="1"/>
  <c r="AE21" i="1"/>
  <c r="AD21" i="1"/>
  <c r="AI345" i="1"/>
  <c r="AJ340" i="1"/>
  <c r="Y392" i="1"/>
  <c r="Y393" i="1"/>
  <c r="Y390" i="1"/>
  <c r="H1463" i="1"/>
  <c r="H1351" i="1"/>
  <c r="H1352" i="1"/>
  <c r="H1360" i="1"/>
  <c r="H1361" i="1"/>
  <c r="O108" i="1"/>
  <c r="AC370" i="1"/>
  <c r="AB316" i="1"/>
  <c r="AB312" i="1"/>
  <c r="AB315" i="1"/>
  <c r="AB314" i="1"/>
  <c r="U1601" i="1"/>
  <c r="AG246" i="1"/>
  <c r="AG228" i="1"/>
  <c r="AE769" i="1"/>
  <c r="AG69" i="1"/>
  <c r="AG93" i="1"/>
  <c r="AG134" i="1"/>
  <c r="AG137" i="1"/>
  <c r="AE770" i="1"/>
  <c r="AI126" i="1"/>
  <c r="AI129" i="1"/>
  <c r="AH66" i="1"/>
  <c r="AC1078" i="1"/>
  <c r="AC1099" i="1"/>
  <c r="AC1101" i="1"/>
  <c r="AC1154" i="1"/>
  <c r="AC1159" i="1"/>
  <c r="AC1177" i="1"/>
  <c r="Z63" i="1"/>
  <c r="AE384" i="1"/>
  <c r="AE385" i="1"/>
  <c r="AE354" i="1"/>
  <c r="AE356" i="1"/>
  <c r="AD354" i="1"/>
  <c r="AD356" i="1"/>
  <c r="AD384" i="1"/>
  <c r="AD385" i="1"/>
  <c r="Z627" i="1"/>
  <c r="AC98" i="1"/>
  <c r="AD98" i="1"/>
  <c r="Z418" i="1"/>
  <c r="Z62" i="1"/>
  <c r="Z350" i="1"/>
  <c r="AB1078" i="1"/>
  <c r="AB1099" i="1"/>
  <c r="AB1101" i="1"/>
  <c r="AB1154" i="1"/>
  <c r="AB1159" i="1"/>
  <c r="AB1177" i="1"/>
  <c r="AC546" i="1"/>
  <c r="AH519" i="1"/>
  <c r="AH1276" i="1"/>
  <c r="AB1276" i="1"/>
  <c r="AB508" i="1"/>
  <c r="AE678" i="1"/>
  <c r="Z93" i="1"/>
  <c r="Z769" i="1"/>
  <c r="Y1078" i="1"/>
  <c r="Y1099" i="1"/>
  <c r="AE350" i="1"/>
  <c r="AE1077" i="1"/>
  <c r="AH515" i="1"/>
  <c r="Y179" i="1"/>
  <c r="Z179" i="1"/>
  <c r="Y196" i="1"/>
  <c r="Y202" i="1"/>
  <c r="AB135" i="1"/>
  <c r="AB137" i="1"/>
  <c r="AC101" i="1"/>
  <c r="G854" i="1"/>
  <c r="G873" i="1"/>
  <c r="G874" i="1"/>
  <c r="G762" i="1"/>
  <c r="G781" i="1"/>
  <c r="G782" i="1"/>
  <c r="G624" i="1"/>
  <c r="G631" i="1"/>
  <c r="H854" i="1"/>
  <c r="H873" i="1"/>
  <c r="H874" i="1"/>
  <c r="H878" i="1"/>
  <c r="H879" i="1"/>
  <c r="H762" i="1"/>
  <c r="H781" i="1"/>
  <c r="H782" i="1"/>
  <c r="H784" i="1"/>
  <c r="H785" i="1"/>
  <c r="H624" i="1"/>
  <c r="H631" i="1"/>
  <c r="I854" i="1"/>
  <c r="I873" i="1"/>
  <c r="I874" i="1"/>
  <c r="I762" i="1"/>
  <c r="I781" i="1"/>
  <c r="I782" i="1"/>
  <c r="I624" i="1"/>
  <c r="I631" i="1"/>
  <c r="J762" i="1"/>
  <c r="J781" i="1"/>
  <c r="J782" i="1"/>
  <c r="J854" i="1"/>
  <c r="J873" i="1"/>
  <c r="J874" i="1"/>
  <c r="J624" i="1"/>
  <c r="J631" i="1"/>
  <c r="K854" i="1"/>
  <c r="K873" i="1"/>
  <c r="K874" i="1"/>
  <c r="K762" i="1"/>
  <c r="K781" i="1"/>
  <c r="K782" i="1"/>
  <c r="K624" i="1"/>
  <c r="L854" i="1"/>
  <c r="L873" i="1"/>
  <c r="L874" i="1"/>
  <c r="L762" i="1"/>
  <c r="L781" i="1"/>
  <c r="L782" i="1"/>
  <c r="L624" i="1"/>
  <c r="L631" i="1"/>
  <c r="M854" i="1"/>
  <c r="M873" i="1"/>
  <c r="M874" i="1"/>
  <c r="M762" i="1"/>
  <c r="M781" i="1"/>
  <c r="M782" i="1"/>
  <c r="M624" i="1"/>
  <c r="M631" i="1"/>
  <c r="N854" i="1"/>
  <c r="N873" i="1"/>
  <c r="N874" i="1"/>
  <c r="N762" i="1"/>
  <c r="N781" i="1"/>
  <c r="N782" i="1"/>
  <c r="N624" i="1"/>
  <c r="N631" i="1"/>
  <c r="O854" i="1"/>
  <c r="O873" i="1"/>
  <c r="O874" i="1"/>
  <c r="O762" i="1"/>
  <c r="O781" i="1"/>
  <c r="O782" i="1"/>
  <c r="O624" i="1"/>
  <c r="O631" i="1"/>
  <c r="P854" i="1"/>
  <c r="P873" i="1"/>
  <c r="P874" i="1"/>
  <c r="P762" i="1"/>
  <c r="P781" i="1"/>
  <c r="P782" i="1"/>
  <c r="P624" i="1"/>
  <c r="Q854" i="1"/>
  <c r="Q873" i="1"/>
  <c r="Q874" i="1"/>
  <c r="Q762" i="1"/>
  <c r="Q781" i="1"/>
  <c r="Q782" i="1"/>
  <c r="Q624" i="1"/>
  <c r="Q631" i="1"/>
  <c r="R762" i="1"/>
  <c r="R781" i="1"/>
  <c r="R782" i="1"/>
  <c r="R854" i="1"/>
  <c r="R873" i="1"/>
  <c r="R874" i="1"/>
  <c r="R624" i="1"/>
  <c r="R631" i="1"/>
  <c r="S854" i="1"/>
  <c r="S873" i="1"/>
  <c r="S874" i="1"/>
  <c r="S762" i="1"/>
  <c r="S781" i="1"/>
  <c r="S782" i="1"/>
  <c r="S624" i="1"/>
  <c r="S631" i="1"/>
  <c r="T854" i="1"/>
  <c r="T873" i="1"/>
  <c r="T874" i="1"/>
  <c r="T762" i="1"/>
  <c r="T781" i="1"/>
  <c r="T782" i="1"/>
  <c r="T624" i="1"/>
  <c r="T631" i="1"/>
  <c r="U854" i="1"/>
  <c r="U873" i="1"/>
  <c r="U874" i="1"/>
  <c r="U762" i="1"/>
  <c r="U781" i="1"/>
  <c r="U782" i="1"/>
  <c r="U624" i="1"/>
  <c r="V854" i="1"/>
  <c r="V873" i="1"/>
  <c r="V874" i="1"/>
  <c r="V762" i="1"/>
  <c r="V624" i="1"/>
  <c r="W762" i="1"/>
  <c r="W781" i="1"/>
  <c r="W782" i="1"/>
  <c r="W624" i="1"/>
  <c r="W631" i="1"/>
  <c r="AH518" i="1"/>
  <c r="AH1275" i="1"/>
  <c r="AH1571" i="1"/>
  <c r="AB1275" i="1"/>
  <c r="AB1571" i="1"/>
  <c r="S1296" i="1"/>
  <c r="S1297" i="1"/>
  <c r="S1305" i="1"/>
  <c r="S1273" i="1"/>
  <c r="S1278" i="1"/>
  <c r="S106" i="1"/>
  <c r="S108" i="1"/>
  <c r="R1273" i="1"/>
  <c r="R1296" i="1"/>
  <c r="R1297" i="1"/>
  <c r="R1305" i="1"/>
  <c r="R1278" i="1"/>
  <c r="R106" i="1"/>
  <c r="R108" i="1"/>
  <c r="Y762" i="1"/>
  <c r="Y624" i="1"/>
  <c r="Y631" i="1"/>
  <c r="AD762" i="1"/>
  <c r="AD624" i="1"/>
  <c r="AD631" i="1"/>
  <c r="AI75" i="1"/>
  <c r="T517" i="1"/>
  <c r="M517" i="1"/>
  <c r="M535" i="1"/>
  <c r="AH944" i="1"/>
  <c r="AI614" i="1"/>
  <c r="AH620" i="1"/>
  <c r="AA174" i="1"/>
  <c r="AF762" i="1"/>
  <c r="AF781" i="1"/>
  <c r="AF782" i="1"/>
  <c r="AF624" i="1"/>
  <c r="AF631" i="1"/>
  <c r="AJ102" i="1"/>
  <c r="AH384" i="1"/>
  <c r="AH385" i="1"/>
  <c r="AH354" i="1"/>
  <c r="AB372" i="1"/>
  <c r="AB400" i="1"/>
  <c r="G523" i="1"/>
  <c r="G524" i="1"/>
  <c r="AE627" i="1"/>
  <c r="K521" i="1"/>
  <c r="K526" i="1"/>
  <c r="K552" i="1"/>
  <c r="P521" i="1"/>
  <c r="P526" i="1"/>
  <c r="P552" i="1"/>
  <c r="P1272" i="1"/>
  <c r="H91" i="1"/>
  <c r="H83" i="1"/>
  <c r="H1314" i="1"/>
  <c r="AJ159" i="1"/>
  <c r="AI163" i="1"/>
  <c r="AI179" i="1"/>
  <c r="G79" i="1"/>
  <c r="G80" i="1"/>
  <c r="AG532" i="1"/>
  <c r="AG577" i="1"/>
  <c r="AG582" i="1"/>
  <c r="AG502" i="1"/>
  <c r="AJ125" i="1"/>
  <c r="AI65" i="1"/>
  <c r="AE69" i="1"/>
  <c r="AE93" i="1"/>
  <c r="AG953" i="1"/>
  <c r="AE500" i="1"/>
  <c r="AE197" i="1"/>
  <c r="AE198" i="1"/>
  <c r="AE172" i="1"/>
  <c r="AD543" i="1"/>
  <c r="AD546" i="1"/>
  <c r="AG762" i="1"/>
  <c r="AG781" i="1"/>
  <c r="AG782" i="1"/>
  <c r="AG624" i="1"/>
  <c r="AG631" i="1"/>
  <c r="AL130" i="1"/>
  <c r="AL68" i="1"/>
  <c r="AK68" i="1"/>
  <c r="AK102" i="1"/>
  <c r="AL162" i="1"/>
  <c r="AL153" i="1"/>
  <c r="AL196" i="1"/>
  <c r="AH952" i="1"/>
  <c r="L79" i="1"/>
  <c r="L80" i="1"/>
  <c r="AE763" i="1"/>
  <c r="AD1078" i="1"/>
  <c r="AD1099" i="1"/>
  <c r="AD1101" i="1"/>
  <c r="AD1154" i="1"/>
  <c r="AD1159" i="1"/>
  <c r="AD1177" i="1"/>
  <c r="AK802" i="1"/>
  <c r="H80" i="1"/>
  <c r="H79" i="1"/>
  <c r="T500" i="1"/>
  <c r="T306" i="1"/>
  <c r="T307" i="1"/>
  <c r="T266" i="1"/>
  <c r="T268" i="1"/>
  <c r="AH495" i="1"/>
  <c r="AI339" i="1"/>
  <c r="AH344" i="1"/>
  <c r="AH501" i="1"/>
  <c r="R79" i="1"/>
  <c r="R80" i="1"/>
  <c r="G1324" i="1"/>
  <c r="G1319" i="1"/>
  <c r="G1327" i="1"/>
  <c r="G1326" i="1"/>
  <c r="AE950" i="1"/>
  <c r="S1262" i="1"/>
  <c r="S1304" i="1"/>
  <c r="AH69" i="1"/>
  <c r="AH93" i="1"/>
  <c r="AI431" i="1"/>
  <c r="AJ440" i="1"/>
  <c r="P1314" i="1"/>
  <c r="P141" i="1"/>
  <c r="T79" i="1"/>
  <c r="T80" i="1"/>
  <c r="AG278" i="1"/>
  <c r="AL1512" i="1"/>
  <c r="AH687" i="1"/>
  <c r="AG678" i="1"/>
  <c r="AI943" i="1"/>
  <c r="AJ613" i="1"/>
  <c r="AI619" i="1"/>
  <c r="AH542" i="1"/>
  <c r="AG546" i="1"/>
  <c r="AG1545" i="1"/>
  <c r="AG1597" i="1"/>
  <c r="O523" i="1"/>
  <c r="O524" i="1"/>
  <c r="AG390" i="1"/>
  <c r="AF370" i="1"/>
  <c r="AI941" i="1"/>
  <c r="AJ611" i="1"/>
  <c r="AI617" i="1"/>
  <c r="AG356" i="1"/>
  <c r="H1296" i="1"/>
  <c r="H1297" i="1"/>
  <c r="H1273" i="1"/>
  <c r="H1278" i="1"/>
  <c r="Y356" i="1"/>
  <c r="AA1544" i="1"/>
  <c r="AA1597" i="1"/>
  <c r="U316" i="1"/>
  <c r="U315" i="1"/>
  <c r="U314" i="1"/>
  <c r="U312" i="1"/>
  <c r="AB174" i="1"/>
  <c r="R1314" i="1"/>
  <c r="R141" i="1"/>
  <c r="G1278" i="1"/>
  <c r="G1273" i="1"/>
  <c r="G1296" i="1"/>
  <c r="G1297" i="1"/>
  <c r="G1305" i="1"/>
  <c r="M1262" i="1"/>
  <c r="M1304" i="1"/>
  <c r="V526" i="1"/>
  <c r="V527" i="1"/>
  <c r="V521" i="1"/>
  <c r="AH134" i="1"/>
  <c r="AH137" i="1"/>
  <c r="AH131" i="1"/>
  <c r="I535" i="1"/>
  <c r="I517" i="1"/>
  <c r="AA1078" i="1"/>
  <c r="AE1076" i="1"/>
  <c r="T1314" i="1"/>
  <c r="T141" i="1"/>
  <c r="AH531" i="1"/>
  <c r="AH496" i="1"/>
  <c r="S521" i="1"/>
  <c r="S526" i="1"/>
  <c r="S527" i="1"/>
  <c r="S1315" i="1"/>
  <c r="S552" i="1"/>
  <c r="W1074" i="1"/>
  <c r="W1076" i="1" s="1"/>
  <c r="W1078" i="1" s="1"/>
  <c r="W1099" i="1" s="1"/>
  <c r="W1100" i="1" s="1"/>
  <c r="W1158" i="1" s="1"/>
  <c r="AK197" i="1"/>
  <c r="AK198" i="1"/>
  <c r="AK172" i="1"/>
  <c r="AI333" i="1"/>
  <c r="AI383" i="1"/>
  <c r="AJ338" i="1"/>
  <c r="AI343" i="1"/>
  <c r="S1314" i="1"/>
  <c r="S141" i="1"/>
  <c r="AB268" i="1"/>
  <c r="AL102" i="1"/>
  <c r="AA372" i="1"/>
  <c r="AA400" i="1"/>
  <c r="AE369" i="1"/>
  <c r="AA508" i="1"/>
  <c r="AH950" i="1"/>
  <c r="AH520" i="1"/>
  <c r="N552" i="1"/>
  <c r="N526" i="1"/>
  <c r="N527" i="1"/>
  <c r="N1315" i="1"/>
  <c r="N521" i="1"/>
  <c r="N1272" i="1"/>
  <c r="AI76" i="1"/>
  <c r="X80" i="1"/>
  <c r="U268" i="1"/>
  <c r="U269" i="1"/>
  <c r="U270" i="1"/>
  <c r="AI284" i="1"/>
  <c r="O1597" i="1"/>
  <c r="O1012" i="1"/>
  <c r="O1013" i="1"/>
  <c r="O553" i="1"/>
  <c r="O1547" i="1"/>
  <c r="O1598" i="1"/>
  <c r="K79" i="1"/>
  <c r="K80" i="1"/>
  <c r="Y939" i="1"/>
  <c r="Z939" i="1"/>
  <c r="AI233" i="1"/>
  <c r="AI251" i="1"/>
  <c r="AJ238" i="1"/>
  <c r="AI494" i="1"/>
  <c r="Q552" i="1"/>
  <c r="Q526" i="1"/>
  <c r="Q527" i="1"/>
  <c r="Q1315" i="1"/>
  <c r="Q1325" i="1"/>
  <c r="Q521" i="1"/>
  <c r="Q1272" i="1"/>
  <c r="AI102" i="1"/>
  <c r="AG102" i="1"/>
  <c r="AC136" i="1"/>
  <c r="AC100" i="1"/>
  <c r="AD97" i="1"/>
  <c r="P1563" i="1"/>
  <c r="P1562" i="1"/>
  <c r="AJ174" i="1"/>
  <c r="AF369" i="1"/>
  <c r="AG389" i="1"/>
  <c r="AG520" i="1"/>
  <c r="AI73" i="1"/>
  <c r="L552" i="1"/>
  <c r="L526" i="1"/>
  <c r="L527" i="1"/>
  <c r="L1315" i="1"/>
  <c r="L1325" i="1"/>
  <c r="L521" i="1"/>
  <c r="W526" i="1"/>
  <c r="W527" i="1"/>
  <c r="W521" i="1"/>
  <c r="X1314" i="1"/>
  <c r="X141" i="1"/>
  <c r="O79" i="1"/>
  <c r="O80" i="1"/>
  <c r="N1601" i="1"/>
  <c r="N1568" i="1"/>
  <c r="U502" i="1"/>
  <c r="U577" i="1"/>
  <c r="U532" i="1"/>
  <c r="AB577" i="1"/>
  <c r="AB582" i="1"/>
  <c r="AB502" i="1"/>
  <c r="AF278" i="1"/>
  <c r="Z1360" i="1"/>
  <c r="U1361" i="1"/>
  <c r="K83" i="1"/>
  <c r="K91" i="1"/>
  <c r="Y494" i="1"/>
  <c r="Y496" i="1"/>
  <c r="AH306" i="1"/>
  <c r="AH307" i="1"/>
  <c r="AH266" i="1"/>
  <c r="AH500" i="1"/>
  <c r="X1601" i="1"/>
  <c r="X1568" i="1"/>
  <c r="U1074" i="1"/>
  <c r="U1076" i="1" s="1"/>
  <c r="U1078" i="1" s="1"/>
  <c r="U1099" i="1" s="1"/>
  <c r="U1100" i="1" s="1"/>
  <c r="M1074" i="1"/>
  <c r="M1076" i="1" s="1"/>
  <c r="M1078" i="1" s="1"/>
  <c r="M1099" i="1" s="1"/>
  <c r="M1100" i="1" s="1"/>
  <c r="M1158" i="1" s="1"/>
  <c r="U1314" i="1"/>
  <c r="U141" i="1"/>
  <c r="AH928" i="1"/>
  <c r="AH275" i="1"/>
  <c r="AH276" i="1"/>
  <c r="AH762" i="1"/>
  <c r="AH781" i="1"/>
  <c r="AH782" i="1"/>
  <c r="AH624" i="1"/>
  <c r="AH631" i="1"/>
  <c r="AC502" i="1"/>
  <c r="AC577" i="1"/>
  <c r="AC582" i="1"/>
  <c r="AF1545" i="1"/>
  <c r="AF102" i="1"/>
  <c r="AB1545" i="1"/>
  <c r="AB102" i="1"/>
  <c r="Z680" i="1"/>
  <c r="Z689" i="1"/>
  <c r="AE689" i="1"/>
  <c r="L1296" i="1"/>
  <c r="L1297" i="1"/>
  <c r="L1305" i="1"/>
  <c r="L1273" i="1"/>
  <c r="L1278" i="1"/>
  <c r="J1296" i="1"/>
  <c r="J1297" i="1"/>
  <c r="J1278" i="1"/>
  <c r="J1273" i="1"/>
  <c r="AC928" i="1"/>
  <c r="AC1052" i="1"/>
  <c r="AC1053" i="1"/>
  <c r="AC275" i="1"/>
  <c r="AC276" i="1"/>
  <c r="AL949" i="1"/>
  <c r="AL778" i="1"/>
  <c r="AL780" i="1"/>
  <c r="AL777" i="1"/>
  <c r="AC520" i="1"/>
  <c r="O1324" i="1"/>
  <c r="O1319" i="1"/>
  <c r="O1327" i="1"/>
  <c r="O1326" i="1"/>
  <c r="AE1351" i="1"/>
  <c r="H521" i="1"/>
  <c r="H552" i="1"/>
  <c r="H526" i="1"/>
  <c r="K1296" i="1"/>
  <c r="K1297" i="1"/>
  <c r="K1278" i="1"/>
  <c r="K1273" i="1"/>
  <c r="X521" i="1"/>
  <c r="X523" i="1"/>
  <c r="X526" i="1"/>
  <c r="X527" i="1"/>
  <c r="Y253" i="1"/>
  <c r="AH245" i="1"/>
  <c r="AH223" i="1"/>
  <c r="AH305" i="1"/>
  <c r="AC519" i="1"/>
  <c r="AI519" i="1"/>
  <c r="AA577" i="1"/>
  <c r="AA502" i="1"/>
  <c r="AG518" i="1"/>
  <c r="AG1275" i="1"/>
  <c r="AG1571" i="1"/>
  <c r="AA1275" i="1"/>
  <c r="AI942" i="1"/>
  <c r="AI618" i="1"/>
  <c r="AJ612" i="1"/>
  <c r="AH1270" i="1"/>
  <c r="AI72" i="1"/>
  <c r="J80" i="1"/>
  <c r="J79" i="1"/>
  <c r="AA762" i="1"/>
  <c r="AI762" i="1"/>
  <c r="AI781" i="1"/>
  <c r="AI782" i="1"/>
  <c r="AI624" i="1"/>
  <c r="J83" i="1"/>
  <c r="J1314" i="1"/>
  <c r="J91" i="1"/>
  <c r="AJ762" i="1"/>
  <c r="AJ781" i="1"/>
  <c r="AJ782" i="1"/>
  <c r="AJ624" i="1"/>
  <c r="AC21" i="1"/>
  <c r="AK762" i="1"/>
  <c r="AK781" i="1"/>
  <c r="AK782" i="1"/>
  <c r="AK624" i="1"/>
  <c r="Z679" i="1"/>
  <c r="Z688" i="1"/>
  <c r="AE688" i="1"/>
  <c r="AL801" i="1"/>
  <c r="AL948" i="1"/>
  <c r="AL768" i="1"/>
  <c r="AL770" i="1"/>
  <c r="AL767" i="1"/>
  <c r="AI926" i="1"/>
  <c r="AI939" i="1"/>
  <c r="AI252" i="1"/>
  <c r="AI234" i="1"/>
  <c r="AJ239" i="1"/>
  <c r="R552" i="1"/>
  <c r="R526" i="1"/>
  <c r="R527" i="1"/>
  <c r="R1315" i="1"/>
  <c r="R521" i="1"/>
  <c r="AK240" i="1"/>
  <c r="AJ235" i="1"/>
  <c r="AJ247" i="1"/>
  <c r="AJ253" i="1"/>
  <c r="Z384" i="1"/>
  <c r="Z385" i="1"/>
  <c r="Z354" i="1"/>
  <c r="AL762" i="1"/>
  <c r="AL624" i="1"/>
  <c r="T1601" i="1"/>
  <c r="T1568" i="1"/>
  <c r="U1568" i="1"/>
  <c r="AH102" i="1"/>
  <c r="W82" i="1"/>
  <c r="W83" i="1"/>
  <c r="W77" i="1"/>
  <c r="J552" i="1"/>
  <c r="J526" i="1"/>
  <c r="J521" i="1"/>
  <c r="AE953" i="1"/>
  <c r="Y967" i="1"/>
  <c r="Z678" i="1"/>
  <c r="Z687" i="1"/>
  <c r="AH951" i="1"/>
  <c r="AE418" i="1"/>
  <c r="AH246" i="1"/>
  <c r="AH228" i="1"/>
  <c r="S79" i="1"/>
  <c r="S80" i="1"/>
  <c r="AE1677" i="1"/>
  <c r="AE1597" i="1"/>
  <c r="AE1544" i="1"/>
  <c r="AE1576" i="1"/>
  <c r="AC356" i="1"/>
  <c r="U1417" i="1"/>
  <c r="O1296" i="1"/>
  <c r="O1297" i="1"/>
  <c r="O1305" i="1"/>
  <c r="O1278" i="1"/>
  <c r="O1273" i="1"/>
  <c r="I91" i="1"/>
  <c r="AH202" i="1"/>
  <c r="AG186" i="1"/>
  <c r="AD76" i="1"/>
  <c r="AG174" i="1"/>
  <c r="AG519" i="1"/>
  <c r="AG1276" i="1"/>
  <c r="AA1276" i="1"/>
  <c r="U552" i="1"/>
  <c r="U526" i="1"/>
  <c r="U521" i="1"/>
  <c r="U1272" i="1"/>
  <c r="AC518" i="1"/>
  <c r="AI518" i="1"/>
  <c r="AL20" i="1"/>
  <c r="AL625" i="1"/>
  <c r="AK20" i="1"/>
  <c r="AK625" i="1"/>
  <c r="AJ20" i="1"/>
  <c r="AJ625" i="1"/>
  <c r="AI20" i="1"/>
  <c r="AI625" i="1"/>
  <c r="AH20" i="1"/>
  <c r="AH625" i="1"/>
  <c r="AH632" i="1"/>
  <c r="AG20" i="1"/>
  <c r="AG625" i="1"/>
  <c r="AG632" i="1"/>
  <c r="AF20" i="1"/>
  <c r="AF625" i="1"/>
  <c r="AF632" i="1"/>
  <c r="AE20" i="1"/>
  <c r="AA625" i="1"/>
  <c r="X625" i="1"/>
  <c r="X632" i="1"/>
  <c r="R1325" i="1"/>
  <c r="AC688" i="1"/>
  <c r="AC679" i="1"/>
  <c r="AF688" i="1"/>
  <c r="AD688" i="1"/>
  <c r="AD679" i="1"/>
  <c r="AF689" i="1"/>
  <c r="AD689" i="1"/>
  <c r="AD680" i="1"/>
  <c r="AC689" i="1"/>
  <c r="AC680" i="1"/>
  <c r="AE680" i="1"/>
  <c r="Z390" i="1"/>
  <c r="Z393" i="1"/>
  <c r="AE393" i="1"/>
  <c r="Z392" i="1"/>
  <c r="AE392" i="1"/>
  <c r="AD370" i="1"/>
  <c r="AE370" i="1"/>
  <c r="AK340" i="1"/>
  <c r="AJ345" i="1"/>
  <c r="AJ126" i="1"/>
  <c r="AJ129" i="1"/>
  <c r="AI66" i="1"/>
  <c r="AC1276" i="1"/>
  <c r="AD519" i="1"/>
  <c r="AJ519" i="1"/>
  <c r="Y1154" i="1"/>
  <c r="Y1159" i="1"/>
  <c r="Y1181" i="1"/>
  <c r="Y1125" i="1"/>
  <c r="Y1100" i="1"/>
  <c r="Y372" i="1"/>
  <c r="Y1111" i="1"/>
  <c r="Y625" i="1"/>
  <c r="Y632" i="1"/>
  <c r="AB625" i="1"/>
  <c r="AB632" i="1"/>
  <c r="AD518" i="1"/>
  <c r="AC515" i="1"/>
  <c r="AI515" i="1"/>
  <c r="Y197" i="1"/>
  <c r="Y172" i="1"/>
  <c r="Y174" i="1"/>
  <c r="AC135" i="1"/>
  <c r="AC137" i="1"/>
  <c r="AD101" i="1"/>
  <c r="AD135" i="1"/>
  <c r="G625" i="1"/>
  <c r="G632" i="1"/>
  <c r="H625" i="1"/>
  <c r="H632" i="1"/>
  <c r="I625" i="1"/>
  <c r="I632" i="1"/>
  <c r="J625" i="1"/>
  <c r="J632" i="1"/>
  <c r="K625" i="1"/>
  <c r="K632" i="1"/>
  <c r="L625" i="1"/>
  <c r="L632" i="1"/>
  <c r="M625" i="1"/>
  <c r="M632" i="1"/>
  <c r="N625" i="1"/>
  <c r="N632" i="1"/>
  <c r="O625" i="1"/>
  <c r="O632" i="1"/>
  <c r="P625" i="1"/>
  <c r="P632" i="1"/>
  <c r="Q625" i="1"/>
  <c r="Q632" i="1"/>
  <c r="R625" i="1"/>
  <c r="R632" i="1"/>
  <c r="S625" i="1"/>
  <c r="S632" i="1"/>
  <c r="T625" i="1"/>
  <c r="T632" i="1"/>
  <c r="U625" i="1"/>
  <c r="U632" i="1"/>
  <c r="V625" i="1"/>
  <c r="W625" i="1"/>
  <c r="W632" i="1"/>
  <c r="X1181" i="1"/>
  <c r="Z1181" i="1"/>
  <c r="AA632" i="1"/>
  <c r="Z356" i="1"/>
  <c r="O1283" i="1"/>
  <c r="O1281" i="1"/>
  <c r="AF1351" i="1"/>
  <c r="L1306" i="1"/>
  <c r="L1279" i="1"/>
  <c r="L1286" i="1"/>
  <c r="Z1361" i="1"/>
  <c r="AE1360" i="1"/>
  <c r="AH389" i="1"/>
  <c r="AG369" i="1"/>
  <c r="N1273" i="1"/>
  <c r="N1278" i="1"/>
  <c r="N1296" i="1"/>
  <c r="N1297" i="1"/>
  <c r="N1305" i="1"/>
  <c r="N106" i="1"/>
  <c r="N108" i="1"/>
  <c r="AJ343" i="1"/>
  <c r="AK338" i="1"/>
  <c r="AJ333" i="1"/>
  <c r="AJ383" i="1"/>
  <c r="L1327" i="1"/>
  <c r="Q1324" i="1"/>
  <c r="AJ431" i="1"/>
  <c r="AK440" i="1"/>
  <c r="T577" i="1"/>
  <c r="T502" i="1"/>
  <c r="AJ65" i="1"/>
  <c r="AK125" i="1"/>
  <c r="AK159" i="1"/>
  <c r="AJ163" i="1"/>
  <c r="AJ179" i="1"/>
  <c r="S1306" i="1"/>
  <c r="S1279" i="1"/>
  <c r="S1286" i="1"/>
  <c r="V631" i="1"/>
  <c r="AC20" i="1"/>
  <c r="AC625" i="1"/>
  <c r="AC632" i="1"/>
  <c r="U523" i="1"/>
  <c r="AJ284" i="1"/>
  <c r="AH577" i="1"/>
  <c r="AH582" i="1"/>
  <c r="AH502" i="1"/>
  <c r="AH532" i="1"/>
  <c r="W523" i="1"/>
  <c r="W524" i="1"/>
  <c r="AD136" i="1"/>
  <c r="AD100" i="1"/>
  <c r="N523" i="1"/>
  <c r="N524" i="1"/>
  <c r="T1326" i="1"/>
  <c r="R1324" i="1"/>
  <c r="R1319" i="1"/>
  <c r="R1327" i="1"/>
  <c r="R1326" i="1"/>
  <c r="L1319" i="1"/>
  <c r="AH678" i="1"/>
  <c r="AI687" i="1"/>
  <c r="Q1319" i="1"/>
  <c r="K534" i="1"/>
  <c r="K527" i="1"/>
  <c r="K1315" i="1"/>
  <c r="R1283" i="1"/>
  <c r="R1281" i="1"/>
  <c r="V781" i="1"/>
  <c r="K649" i="1"/>
  <c r="K663" i="1"/>
  <c r="K631" i="1"/>
  <c r="AD20" i="1"/>
  <c r="AD625" i="1"/>
  <c r="AD632" i="1"/>
  <c r="U527" i="1"/>
  <c r="U534" i="1"/>
  <c r="AH186" i="1"/>
  <c r="AI202" i="1"/>
  <c r="K1279" i="1"/>
  <c r="K1286" i="1"/>
  <c r="K1306" i="1"/>
  <c r="AC278" i="1"/>
  <c r="AF1677" i="1"/>
  <c r="AF1597" i="1"/>
  <c r="AH268" i="1"/>
  <c r="W1315" i="1"/>
  <c r="W559" i="1"/>
  <c r="AC1545" i="1"/>
  <c r="AC102" i="1"/>
  <c r="AB189" i="1"/>
  <c r="AB211" i="1"/>
  <c r="O1601" i="1"/>
  <c r="O1568" i="1"/>
  <c r="P1568" i="1"/>
  <c r="N1325" i="1"/>
  <c r="N1327" i="1"/>
  <c r="N1326" i="1"/>
  <c r="N1319" i="1"/>
  <c r="N1324" i="1"/>
  <c r="AK174" i="1"/>
  <c r="AG370" i="1"/>
  <c r="AH390" i="1"/>
  <c r="L1324" i="1"/>
  <c r="K523" i="1"/>
  <c r="K524" i="1"/>
  <c r="P649" i="1"/>
  <c r="P663" i="1"/>
  <c r="P631" i="1"/>
  <c r="H534" i="1"/>
  <c r="H527" i="1"/>
  <c r="H1315" i="1"/>
  <c r="H1325" i="1"/>
  <c r="W79" i="1"/>
  <c r="AK253" i="1"/>
  <c r="AL240" i="1"/>
  <c r="AK235" i="1"/>
  <c r="AK247" i="1"/>
  <c r="AJ926" i="1"/>
  <c r="AJ939" i="1"/>
  <c r="AJ252" i="1"/>
  <c r="AJ234" i="1"/>
  <c r="AK239" i="1"/>
  <c r="AA624" i="1"/>
  <c r="AA631" i="1"/>
  <c r="AJ942" i="1"/>
  <c r="AK612" i="1"/>
  <c r="AJ618" i="1"/>
  <c r="X1315" i="1"/>
  <c r="X559" i="1"/>
  <c r="K1281" i="1"/>
  <c r="K1283" i="1"/>
  <c r="K1285" i="1"/>
  <c r="AI520" i="1"/>
  <c r="AD520" i="1"/>
  <c r="S1319" i="1"/>
  <c r="S1324" i="1"/>
  <c r="S1327" i="1"/>
  <c r="S1326" i="1"/>
  <c r="S1325" i="1"/>
  <c r="AA1099" i="1"/>
  <c r="AE1078" i="1"/>
  <c r="P1296" i="1"/>
  <c r="P1297" i="1"/>
  <c r="P1278" i="1"/>
  <c r="P1273" i="1"/>
  <c r="P106" i="1"/>
  <c r="P108" i="1"/>
  <c r="AH356" i="1"/>
  <c r="AH953" i="1"/>
  <c r="R1306" i="1"/>
  <c r="R1279" i="1"/>
  <c r="R1286" i="1"/>
  <c r="U631" i="1"/>
  <c r="U649" i="1"/>
  <c r="U663" i="1"/>
  <c r="AI928" i="1"/>
  <c r="AI275" i="1"/>
  <c r="AI276" i="1"/>
  <c r="U1278" i="1"/>
  <c r="U1273" i="1"/>
  <c r="U1296" i="1"/>
  <c r="U1297" i="1"/>
  <c r="U106" i="1"/>
  <c r="U108" i="1"/>
  <c r="W1314" i="1"/>
  <c r="W141" i="1"/>
  <c r="AI246" i="1"/>
  <c r="AI228" i="1"/>
  <c r="AL802" i="1"/>
  <c r="AI951" i="1"/>
  <c r="AI631" i="1"/>
  <c r="K1305" i="1"/>
  <c r="K1303" i="1"/>
  <c r="AL781" i="1"/>
  <c r="AL782" i="1"/>
  <c r="J1306" i="1"/>
  <c r="J1279" i="1"/>
  <c r="J1286" i="1"/>
  <c r="AH278" i="1"/>
  <c r="L523" i="1"/>
  <c r="L524" i="1"/>
  <c r="AJ73" i="1"/>
  <c r="AI531" i="1"/>
  <c r="I552" i="1"/>
  <c r="I526" i="1"/>
  <c r="I521" i="1"/>
  <c r="I1272" i="1"/>
  <c r="AF312" i="1"/>
  <c r="AI542" i="1"/>
  <c r="AH546" i="1"/>
  <c r="AJ339" i="1"/>
  <c r="AI344" i="1"/>
  <c r="AI501" i="1"/>
  <c r="AI495" i="1"/>
  <c r="AI496" i="1"/>
  <c r="AE174" i="1"/>
  <c r="AI944" i="1"/>
  <c r="AI620" i="1"/>
  <c r="AJ614" i="1"/>
  <c r="T552" i="1"/>
  <c r="T526" i="1"/>
  <c r="T527" i="1"/>
  <c r="T1315" i="1"/>
  <c r="T1325" i="1"/>
  <c r="T521" i="1"/>
  <c r="T1272" i="1"/>
  <c r="J1281" i="1"/>
  <c r="J1283" i="1"/>
  <c r="AI952" i="1"/>
  <c r="AI632" i="1"/>
  <c r="J523" i="1"/>
  <c r="J524" i="1"/>
  <c r="Y305" i="1"/>
  <c r="Y311" i="1"/>
  <c r="AE314" i="1"/>
  <c r="AI950" i="1"/>
  <c r="AC762" i="1"/>
  <c r="AC781" i="1"/>
  <c r="AC782" i="1"/>
  <c r="AC624" i="1"/>
  <c r="AC631" i="1"/>
  <c r="AI1270" i="1"/>
  <c r="AJ72" i="1"/>
  <c r="Y284" i="1"/>
  <c r="K1314" i="1"/>
  <c r="K141" i="1"/>
  <c r="V523" i="1"/>
  <c r="T269" i="1"/>
  <c r="T270" i="1"/>
  <c r="AE577" i="1"/>
  <c r="AE582" i="1"/>
  <c r="AE502" i="1"/>
  <c r="AF532" i="1"/>
  <c r="AI69" i="1"/>
  <c r="AI93" i="1"/>
  <c r="P523" i="1"/>
  <c r="P524" i="1"/>
  <c r="AI1275" i="1"/>
  <c r="AI1571" i="1"/>
  <c r="AJ75" i="1"/>
  <c r="X524" i="1"/>
  <c r="AJ251" i="1"/>
  <c r="AK238" i="1"/>
  <c r="AJ233" i="1"/>
  <c r="AJ494" i="1"/>
  <c r="H1283" i="1"/>
  <c r="H1281" i="1"/>
  <c r="P527" i="1"/>
  <c r="P534" i="1"/>
  <c r="J527" i="1"/>
  <c r="J1315" i="1"/>
  <c r="J1325" i="1"/>
  <c r="AB762" i="1"/>
  <c r="AB781" i="1"/>
  <c r="AB782" i="1"/>
  <c r="AB624" i="1"/>
  <c r="AB631" i="1"/>
  <c r="AA1571" i="1"/>
  <c r="J1305" i="1"/>
  <c r="Q1296" i="1"/>
  <c r="Q1297" i="1"/>
  <c r="Q1305" i="1"/>
  <c r="Q1278" i="1"/>
  <c r="Q1273" i="1"/>
  <c r="Q106" i="1"/>
  <c r="Q108" i="1"/>
  <c r="AI306" i="1"/>
  <c r="AI307" i="1"/>
  <c r="AI266" i="1"/>
  <c r="AI500" i="1"/>
  <c r="AI1276" i="1"/>
  <c r="AJ76" i="1"/>
  <c r="G1279" i="1"/>
  <c r="G1286" i="1"/>
  <c r="G1306" i="1"/>
  <c r="AE315" i="1"/>
  <c r="H1306" i="1"/>
  <c r="H1279" i="1"/>
  <c r="H1286" i="1"/>
  <c r="AJ941" i="1"/>
  <c r="AJ617" i="1"/>
  <c r="AK611" i="1"/>
  <c r="AJ943" i="1"/>
  <c r="AJ619" i="1"/>
  <c r="AK613" i="1"/>
  <c r="Q1326" i="1"/>
  <c r="X762" i="1"/>
  <c r="X781" i="1"/>
  <c r="X782" i="1"/>
  <c r="X624" i="1"/>
  <c r="X631" i="1"/>
  <c r="O1279" i="1"/>
  <c r="O1286" i="1"/>
  <c r="O1306" i="1"/>
  <c r="AC1275" i="1"/>
  <c r="AC1571" i="1"/>
  <c r="H523" i="1"/>
  <c r="H524" i="1"/>
  <c r="L1283" i="1"/>
  <c r="L1285" i="1"/>
  <c r="L1281" i="1"/>
  <c r="AB1597" i="1"/>
  <c r="AB1544" i="1"/>
  <c r="Q523" i="1"/>
  <c r="Q524" i="1"/>
  <c r="AI245" i="1"/>
  <c r="AI223" i="1"/>
  <c r="AI305" i="1"/>
  <c r="AI384" i="1"/>
  <c r="AI385" i="1"/>
  <c r="AI354" i="1"/>
  <c r="V1315" i="1"/>
  <c r="V559" i="1"/>
  <c r="G1283" i="1"/>
  <c r="G1281" i="1"/>
  <c r="H1303" i="1"/>
  <c r="H1305" i="1"/>
  <c r="L1326" i="1"/>
  <c r="Q1327" i="1"/>
  <c r="T316" i="1"/>
  <c r="T315" i="1"/>
  <c r="T314" i="1"/>
  <c r="T312" i="1"/>
  <c r="AL172" i="1"/>
  <c r="AL197" i="1"/>
  <c r="AL198" i="1"/>
  <c r="AI134" i="1"/>
  <c r="AI137" i="1"/>
  <c r="AI131" i="1"/>
  <c r="M552" i="1"/>
  <c r="M526" i="1"/>
  <c r="M527" i="1"/>
  <c r="M1315" i="1"/>
  <c r="M521" i="1"/>
  <c r="M1272" i="1"/>
  <c r="S1281" i="1"/>
  <c r="S1283" i="1"/>
  <c r="S1285" i="1"/>
  <c r="AL19" i="1"/>
  <c r="AK19" i="1"/>
  <c r="AJ19" i="1"/>
  <c r="AI19" i="1"/>
  <c r="AH19" i="1"/>
  <c r="AG19" i="1"/>
  <c r="AF19" i="1"/>
  <c r="AE19" i="1"/>
  <c r="AC19" i="1"/>
  <c r="T1327" i="1"/>
  <c r="AF679" i="1"/>
  <c r="AG688" i="1"/>
  <c r="T1319" i="1"/>
  <c r="AF392" i="1"/>
  <c r="AD392" i="1"/>
  <c r="AD375" i="1"/>
  <c r="AC392" i="1"/>
  <c r="AC375" i="1"/>
  <c r="AE679" i="1"/>
  <c r="W80" i="1"/>
  <c r="AK345" i="1"/>
  <c r="AL340" i="1"/>
  <c r="AL345" i="1"/>
  <c r="AC393" i="1"/>
  <c r="AC371" i="1"/>
  <c r="AF393" i="1"/>
  <c r="AD393" i="1"/>
  <c r="AD371" i="1"/>
  <c r="AD372" i="1"/>
  <c r="AD400" i="1"/>
  <c r="K1325" i="1"/>
  <c r="Y206" i="1"/>
  <c r="Y205" i="1"/>
  <c r="AG689" i="1"/>
  <c r="AF680" i="1"/>
  <c r="AK126" i="1"/>
  <c r="AK129" i="1"/>
  <c r="AJ66" i="1"/>
  <c r="AJ69" i="1"/>
  <c r="AJ93" i="1"/>
  <c r="AD1276" i="1"/>
  <c r="AE1276" i="1"/>
  <c r="AD137" i="1"/>
  <c r="X1154" i="1"/>
  <c r="Y1119" i="1"/>
  <c r="Y1120" i="1"/>
  <c r="Y1317" i="1"/>
  <c r="Y1188" i="1"/>
  <c r="Y1126" i="1"/>
  <c r="Z372" i="1"/>
  <c r="Z400" i="1"/>
  <c r="Y400" i="1"/>
  <c r="Z631" i="1"/>
  <c r="AD19" i="1"/>
  <c r="AD626" i="1"/>
  <c r="AD633" i="1"/>
  <c r="Z624" i="1"/>
  <c r="AA626" i="1"/>
  <c r="AA633" i="1"/>
  <c r="AB626" i="1"/>
  <c r="AB633" i="1"/>
  <c r="AJ518" i="1"/>
  <c r="AD1275" i="1"/>
  <c r="AD1571" i="1"/>
  <c r="AE1571" i="1"/>
  <c r="AD515" i="1"/>
  <c r="Z172" i="1"/>
  <c r="Z174" i="1"/>
  <c r="Z197" i="1"/>
  <c r="Z500" i="1"/>
  <c r="Y198" i="1"/>
  <c r="Y203" i="1"/>
  <c r="G626" i="1"/>
  <c r="G633" i="1"/>
  <c r="G634" i="1"/>
  <c r="G349" i="1"/>
  <c r="H626" i="1"/>
  <c r="H633" i="1"/>
  <c r="H634" i="1"/>
  <c r="H349" i="1"/>
  <c r="I626" i="1"/>
  <c r="I633" i="1"/>
  <c r="I634" i="1"/>
  <c r="I349" i="1"/>
  <c r="J626" i="1"/>
  <c r="J633" i="1"/>
  <c r="J634" i="1"/>
  <c r="J349" i="1"/>
  <c r="K626" i="1"/>
  <c r="K633" i="1"/>
  <c r="K634" i="1"/>
  <c r="K349" i="1"/>
  <c r="L626" i="1"/>
  <c r="L633" i="1"/>
  <c r="L634" i="1"/>
  <c r="L349" i="1"/>
  <c r="M626" i="1"/>
  <c r="M633" i="1"/>
  <c r="M634" i="1"/>
  <c r="M349" i="1"/>
  <c r="N626" i="1"/>
  <c r="N633" i="1"/>
  <c r="N634" i="1"/>
  <c r="N349" i="1"/>
  <c r="O626" i="1"/>
  <c r="O633" i="1"/>
  <c r="O634" i="1"/>
  <c r="O349" i="1"/>
  <c r="P626" i="1"/>
  <c r="P633" i="1"/>
  <c r="P634" i="1"/>
  <c r="P349" i="1"/>
  <c r="Q626" i="1"/>
  <c r="Q633" i="1"/>
  <c r="Q634" i="1"/>
  <c r="Q349" i="1"/>
  <c r="R626" i="1"/>
  <c r="R633" i="1"/>
  <c r="R634" i="1"/>
  <c r="R349" i="1"/>
  <c r="S626" i="1"/>
  <c r="S633" i="1"/>
  <c r="S634" i="1"/>
  <c r="S349" i="1"/>
  <c r="T626" i="1"/>
  <c r="T633" i="1"/>
  <c r="T634" i="1"/>
  <c r="T349" i="1"/>
  <c r="U626" i="1"/>
  <c r="U633" i="1"/>
  <c r="U634" i="1"/>
  <c r="U349" i="1"/>
  <c r="V626" i="1"/>
  <c r="V349" i="1"/>
  <c r="W626" i="1"/>
  <c r="W633" i="1"/>
  <c r="W349" i="1"/>
  <c r="Y626" i="1"/>
  <c r="Y633" i="1"/>
  <c r="Y349" i="1"/>
  <c r="S1571" i="1"/>
  <c r="S1567" i="1"/>
  <c r="S1566" i="1"/>
  <c r="AI356" i="1"/>
  <c r="H1530" i="1"/>
  <c r="H1529" i="1"/>
  <c r="H1657" i="1"/>
  <c r="H1285" i="1"/>
  <c r="J1571" i="1"/>
  <c r="J1567" i="1"/>
  <c r="AJ344" i="1"/>
  <c r="AJ501" i="1"/>
  <c r="AJ495" i="1"/>
  <c r="AJ496" i="1"/>
  <c r="AK339" i="1"/>
  <c r="M523" i="1"/>
  <c r="M524" i="1"/>
  <c r="AI268" i="1"/>
  <c r="AJ531" i="1"/>
  <c r="AH1545" i="1"/>
  <c r="L1530" i="1"/>
  <c r="L1529" i="1"/>
  <c r="AC626" i="1"/>
  <c r="AC633" i="1"/>
  <c r="AC349" i="1"/>
  <c r="M1325" i="1"/>
  <c r="M1326" i="1"/>
  <c r="M1324" i="1"/>
  <c r="M1319" i="1"/>
  <c r="M1327" i="1"/>
  <c r="AK943" i="1"/>
  <c r="AK619" i="1"/>
  <c r="AL613" i="1"/>
  <c r="U670" i="1"/>
  <c r="U666" i="1"/>
  <c r="U673" i="1"/>
  <c r="AJ520" i="1"/>
  <c r="AI678" i="1"/>
  <c r="AJ687" i="1"/>
  <c r="AL125" i="1"/>
  <c r="AK65" i="1"/>
  <c r="Y928" i="1"/>
  <c r="Y275" i="1"/>
  <c r="Y276" i="1"/>
  <c r="AL626" i="1"/>
  <c r="AL349" i="1"/>
  <c r="AL174" i="1"/>
  <c r="L1567" i="1"/>
  <c r="L1571" i="1"/>
  <c r="L1566" i="1"/>
  <c r="Y306" i="1"/>
  <c r="Y307" i="1"/>
  <c r="Y266" i="1"/>
  <c r="Y500" i="1"/>
  <c r="T1278" i="1"/>
  <c r="T1296" i="1"/>
  <c r="T1297" i="1"/>
  <c r="T1305" i="1"/>
  <c r="T1273" i="1"/>
  <c r="T106" i="1"/>
  <c r="T108" i="1"/>
  <c r="AD312" i="1"/>
  <c r="AC312" i="1"/>
  <c r="AC293" i="1"/>
  <c r="P1279" i="1"/>
  <c r="P1286" i="1"/>
  <c r="P1306" i="1"/>
  <c r="G1657" i="1"/>
  <c r="G1285" i="1"/>
  <c r="L1293" i="1"/>
  <c r="L1294" i="1"/>
  <c r="Q1306" i="1"/>
  <c r="Q1279" i="1"/>
  <c r="Q1286" i="1"/>
  <c r="AJ306" i="1"/>
  <c r="AJ307" i="1"/>
  <c r="AJ266" i="1"/>
  <c r="AJ500" i="1"/>
  <c r="AF626" i="1"/>
  <c r="AF633" i="1"/>
  <c r="AF349" i="1"/>
  <c r="O1530" i="1"/>
  <c r="O1529" i="1"/>
  <c r="AK941" i="1"/>
  <c r="AL611" i="1"/>
  <c r="AK617" i="1"/>
  <c r="G1530" i="1"/>
  <c r="G1529" i="1"/>
  <c r="Q1283" i="1"/>
  <c r="Q1281" i="1"/>
  <c r="AK72" i="1"/>
  <c r="Z305" i="1"/>
  <c r="Z311" i="1"/>
  <c r="AE311" i="1"/>
  <c r="I1273" i="1"/>
  <c r="I1296" i="1"/>
  <c r="I1297" i="1"/>
  <c r="I1278" i="1"/>
  <c r="I106" i="1"/>
  <c r="I108" i="1"/>
  <c r="AK73" i="1"/>
  <c r="J1529" i="1"/>
  <c r="J1530" i="1"/>
  <c r="U1306" i="1"/>
  <c r="U1279" i="1"/>
  <c r="U1286" i="1"/>
  <c r="P1305" i="1"/>
  <c r="P1303" i="1"/>
  <c r="AE624" i="1"/>
  <c r="AE631" i="1"/>
  <c r="AK284" i="1"/>
  <c r="P670" i="1"/>
  <c r="P666" i="1"/>
  <c r="P673" i="1"/>
  <c r="R1571" i="1"/>
  <c r="R1566" i="1"/>
  <c r="R1567" i="1"/>
  <c r="H1324" i="1"/>
  <c r="AI389" i="1"/>
  <c r="AH369" i="1"/>
  <c r="AG1351" i="1"/>
  <c r="O1567" i="1"/>
  <c r="O1566" i="1"/>
  <c r="O1571" i="1"/>
  <c r="V632" i="1"/>
  <c r="Z632" i="1"/>
  <c r="Z625" i="1"/>
  <c r="AG626" i="1"/>
  <c r="AG633" i="1"/>
  <c r="AG349" i="1"/>
  <c r="AJ950" i="1"/>
  <c r="AJ1276" i="1"/>
  <c r="AK76" i="1"/>
  <c r="V524" i="1"/>
  <c r="I524" i="1"/>
  <c r="I523" i="1"/>
  <c r="U1283" i="1"/>
  <c r="U1281" i="1"/>
  <c r="T1281" i="1"/>
  <c r="K1473" i="1"/>
  <c r="K1294" i="1"/>
  <c r="K1472" i="1"/>
  <c r="K1468" i="1"/>
  <c r="K1293" i="1"/>
  <c r="AE762" i="1"/>
  <c r="AC1597" i="1"/>
  <c r="AC1544" i="1"/>
  <c r="U1315" i="1"/>
  <c r="U559" i="1"/>
  <c r="R1590" i="1"/>
  <c r="R1594" i="1"/>
  <c r="R1613" i="1"/>
  <c r="R1285" i="1"/>
  <c r="R1293" i="1"/>
  <c r="H1319" i="1"/>
  <c r="S1529" i="1"/>
  <c r="S1530" i="1"/>
  <c r="N1283" i="1"/>
  <c r="N1281" i="1"/>
  <c r="O1590" i="1"/>
  <c r="O1594" i="1"/>
  <c r="O1613" i="1"/>
  <c r="O1285" i="1"/>
  <c r="AJ944" i="1"/>
  <c r="AK614" i="1"/>
  <c r="AJ620" i="1"/>
  <c r="I534" i="1"/>
  <c r="I527" i="1"/>
  <c r="I1315" i="1"/>
  <c r="AI278" i="1"/>
  <c r="K1571" i="1"/>
  <c r="K1567" i="1"/>
  <c r="AK926" i="1"/>
  <c r="AK939" i="1"/>
  <c r="AK252" i="1"/>
  <c r="AK234" i="1"/>
  <c r="AL239" i="1"/>
  <c r="AD1545" i="1"/>
  <c r="AD102" i="1"/>
  <c r="N1306" i="1"/>
  <c r="N1279" i="1"/>
  <c r="N1286" i="1"/>
  <c r="J1326" i="1"/>
  <c r="AJ228" i="1"/>
  <c r="AJ246" i="1"/>
  <c r="R523" i="1"/>
  <c r="R524" i="1"/>
  <c r="S523" i="1"/>
  <c r="S524" i="1"/>
  <c r="AE1361" i="1"/>
  <c r="AF1360" i="1"/>
  <c r="J1327" i="1"/>
  <c r="AH626" i="1"/>
  <c r="AH633" i="1"/>
  <c r="AH349" i="1"/>
  <c r="H1571" i="1"/>
  <c r="H1566" i="1"/>
  <c r="H1567" i="1"/>
  <c r="J1657" i="1"/>
  <c r="J1285" i="1"/>
  <c r="AJ626" i="1"/>
  <c r="AJ349" i="1"/>
  <c r="AJ515" i="1"/>
  <c r="K670" i="1"/>
  <c r="K666" i="1"/>
  <c r="K673" i="1"/>
  <c r="U524" i="1"/>
  <c r="AK163" i="1"/>
  <c r="AK179" i="1"/>
  <c r="AL159" i="1"/>
  <c r="AL163" i="1"/>
  <c r="AL179" i="1"/>
  <c r="AL440" i="1"/>
  <c r="AL431" i="1"/>
  <c r="AK431" i="1"/>
  <c r="AL338" i="1"/>
  <c r="AK333" i="1"/>
  <c r="AK383" i="1"/>
  <c r="AK343" i="1"/>
  <c r="J1324" i="1"/>
  <c r="AE632" i="1"/>
  <c r="M1273" i="1"/>
  <c r="M1296" i="1"/>
  <c r="M1297" i="1"/>
  <c r="M1305" i="1"/>
  <c r="M1278" i="1"/>
  <c r="M106" i="1"/>
  <c r="M108" i="1"/>
  <c r="J534" i="1"/>
  <c r="AD316" i="1"/>
  <c r="AF316" i="1"/>
  <c r="AC316" i="1"/>
  <c r="AC294" i="1"/>
  <c r="AC510" i="1"/>
  <c r="AD315" i="1"/>
  <c r="AF315" i="1"/>
  <c r="AC315" i="1"/>
  <c r="AC295" i="1"/>
  <c r="AI626" i="1"/>
  <c r="AI633" i="1"/>
  <c r="AI349" i="1"/>
  <c r="AI532" i="1"/>
  <c r="AI502" i="1"/>
  <c r="AI577" i="1"/>
  <c r="AI582" i="1"/>
  <c r="AD314" i="1"/>
  <c r="AF314" i="1"/>
  <c r="AC314" i="1"/>
  <c r="AC299" i="1"/>
  <c r="AI953" i="1"/>
  <c r="AA1101" i="1"/>
  <c r="AA1154" i="1"/>
  <c r="AA1159" i="1"/>
  <c r="AA1177" i="1"/>
  <c r="AE1177" i="1"/>
  <c r="AE1099" i="1"/>
  <c r="AE1101" i="1"/>
  <c r="K1529" i="1"/>
  <c r="K1530" i="1"/>
  <c r="AJ928" i="1"/>
  <c r="AJ275" i="1"/>
  <c r="AJ276" i="1"/>
  <c r="AK626" i="1"/>
  <c r="AK349" i="1"/>
  <c r="P1315" i="1"/>
  <c r="P559" i="1"/>
  <c r="AJ223" i="1"/>
  <c r="AJ305" i="1"/>
  <c r="AJ245" i="1"/>
  <c r="AJ1275" i="1"/>
  <c r="AJ1571" i="1"/>
  <c r="AK75" i="1"/>
  <c r="K1319" i="1"/>
  <c r="K1566" i="1"/>
  <c r="K1570" i="1"/>
  <c r="K1573" i="1"/>
  <c r="K1324" i="1"/>
  <c r="K1327" i="1"/>
  <c r="K1326" i="1"/>
  <c r="AJ542" i="1"/>
  <c r="AI546" i="1"/>
  <c r="AJ951" i="1"/>
  <c r="AJ631" i="1"/>
  <c r="AJ354" i="1"/>
  <c r="AJ384" i="1"/>
  <c r="AJ385" i="1"/>
  <c r="J1319" i="1"/>
  <c r="J1566" i="1"/>
  <c r="J1570" i="1"/>
  <c r="J1573" i="1"/>
  <c r="AE625" i="1"/>
  <c r="G1566" i="1"/>
  <c r="G1571" i="1"/>
  <c r="G1567" i="1"/>
  <c r="AJ952" i="1"/>
  <c r="AJ632" i="1"/>
  <c r="AL238" i="1"/>
  <c r="AK233" i="1"/>
  <c r="AK251" i="1"/>
  <c r="AK494" i="1"/>
  <c r="AK942" i="1"/>
  <c r="AK618" i="1"/>
  <c r="AL612" i="1"/>
  <c r="AH370" i="1"/>
  <c r="AI390" i="1"/>
  <c r="AI186" i="1"/>
  <c r="AJ202" i="1"/>
  <c r="V782" i="1"/>
  <c r="H1326" i="1"/>
  <c r="X1125" i="1"/>
  <c r="X1108" i="1"/>
  <c r="Z1107" i="1"/>
  <c r="Z1125" i="1"/>
  <c r="U1303" i="1"/>
  <c r="U1305" i="1"/>
  <c r="R1529" i="1"/>
  <c r="R1530" i="1"/>
  <c r="P1281" i="1"/>
  <c r="P1283" i="1"/>
  <c r="AL253" i="1"/>
  <c r="AL235" i="1"/>
  <c r="AL247" i="1"/>
  <c r="Z762" i="1"/>
  <c r="H1327" i="1"/>
  <c r="T1324" i="1"/>
  <c r="AJ134" i="1"/>
  <c r="AJ137" i="1"/>
  <c r="AJ131" i="1"/>
  <c r="AL18" i="1"/>
  <c r="AK18" i="1"/>
  <c r="AJ18" i="1"/>
  <c r="AE18" i="1"/>
  <c r="AE258" i="1"/>
  <c r="AE279" i="1"/>
  <c r="AE280" i="1"/>
  <c r="AC311" i="1"/>
  <c r="AC292" i="1"/>
  <c r="AC508" i="1"/>
  <c r="AF311" i="1"/>
  <c r="AD311" i="1"/>
  <c r="AE375" i="1"/>
  <c r="Y312" i="1"/>
  <c r="Y316" i="1"/>
  <c r="Y314" i="1"/>
  <c r="Y315" i="1"/>
  <c r="Z198" i="1"/>
  <c r="Z203" i="1"/>
  <c r="Z206" i="1"/>
  <c r="AE206" i="1"/>
  <c r="Z205" i="1"/>
  <c r="AG393" i="1"/>
  <c r="AF371" i="1"/>
  <c r="AF372" i="1"/>
  <c r="AF400" i="1"/>
  <c r="AG392" i="1"/>
  <c r="AF375" i="1"/>
  <c r="AC372" i="1"/>
  <c r="AE372" i="1"/>
  <c r="AE400" i="1"/>
  <c r="AE371" i="1"/>
  <c r="Y1122" i="1"/>
  <c r="AH689" i="1"/>
  <c r="AG680" i="1"/>
  <c r="AG679" i="1"/>
  <c r="AH688" i="1"/>
  <c r="AK66" i="1"/>
  <c r="AK69" i="1"/>
  <c r="AK93" i="1"/>
  <c r="AL126" i="1"/>
  <c r="AL66" i="1"/>
  <c r="Z258" i="1"/>
  <c r="Z279" i="1"/>
  <c r="Z280" i="1"/>
  <c r="AE1154" i="1"/>
  <c r="AE1159" i="1"/>
  <c r="V761" i="1"/>
  <c r="V771" i="1"/>
  <c r="V772" i="1"/>
  <c r="AD349" i="1"/>
  <c r="AA349" i="1"/>
  <c r="AB623" i="1"/>
  <c r="AB630" i="1"/>
  <c r="AB634" i="1"/>
  <c r="AB690" i="1"/>
  <c r="AC18" i="1"/>
  <c r="AC761" i="1"/>
  <c r="AD18" i="1"/>
  <c r="AD761" i="1"/>
  <c r="AB349" i="1"/>
  <c r="AE1275" i="1"/>
  <c r="Z502" i="1"/>
  <c r="Z577" i="1"/>
  <c r="Z532" i="1"/>
  <c r="AE532" i="1"/>
  <c r="V853" i="1"/>
  <c r="V863" i="1"/>
  <c r="V864" i="1"/>
  <c r="V878" i="1"/>
  <c r="V879" i="1"/>
  <c r="V623" i="1"/>
  <c r="V630" i="1"/>
  <c r="V258" i="1"/>
  <c r="V279" i="1"/>
  <c r="V280" i="1"/>
  <c r="W761" i="1"/>
  <c r="W771" i="1"/>
  <c r="W772" i="1"/>
  <c r="W784" i="1"/>
  <c r="W785" i="1"/>
  <c r="W623" i="1"/>
  <c r="W630" i="1"/>
  <c r="W634" i="1"/>
  <c r="W258" i="1"/>
  <c r="W279" i="1"/>
  <c r="W280" i="1"/>
  <c r="Q690" i="1"/>
  <c r="Q635" i="1"/>
  <c r="I690" i="1"/>
  <c r="I635" i="1"/>
  <c r="K690" i="1"/>
  <c r="K635" i="1"/>
  <c r="AK944" i="1"/>
  <c r="AL614" i="1"/>
  <c r="AK620" i="1"/>
  <c r="T1571" i="1"/>
  <c r="T1567" i="1"/>
  <c r="T1566" i="1"/>
  <c r="P690" i="1"/>
  <c r="P635" i="1"/>
  <c r="AK531" i="1"/>
  <c r="I1283" i="1"/>
  <c r="I1285" i="1"/>
  <c r="I1281" i="1"/>
  <c r="Y577" i="1"/>
  <c r="Y502" i="1"/>
  <c r="T690" i="1"/>
  <c r="T635" i="1"/>
  <c r="H962" i="1"/>
  <c r="H635" i="1"/>
  <c r="H963" i="1"/>
  <c r="H690" i="1"/>
  <c r="AL761" i="1"/>
  <c r="AL623" i="1"/>
  <c r="AL258" i="1"/>
  <c r="G1570" i="1"/>
  <c r="G1573" i="1"/>
  <c r="P1325" i="1"/>
  <c r="P1319" i="1"/>
  <c r="P1327" i="1"/>
  <c r="P1324" i="1"/>
  <c r="P1326" i="1"/>
  <c r="AG314" i="1"/>
  <c r="AF299" i="1"/>
  <c r="AI369" i="1"/>
  <c r="AJ389" i="1"/>
  <c r="I1305" i="1"/>
  <c r="I1303" i="1"/>
  <c r="J1303" i="1"/>
  <c r="AL941" i="1"/>
  <c r="AL617" i="1"/>
  <c r="Y268" i="1"/>
  <c r="AL129" i="1"/>
  <c r="AL65" i="1"/>
  <c r="AH1597" i="1"/>
  <c r="AL284" i="1"/>
  <c r="AI370" i="1"/>
  <c r="AJ390" i="1"/>
  <c r="AK245" i="1"/>
  <c r="AK223" i="1"/>
  <c r="AK305" i="1"/>
  <c r="AB510" i="1"/>
  <c r="P1657" i="1"/>
  <c r="P1672" i="1"/>
  <c r="P1590" i="1"/>
  <c r="P1594" i="1"/>
  <c r="P1613" i="1"/>
  <c r="P1285" i="1"/>
  <c r="AL233" i="1"/>
  <c r="AL251" i="1"/>
  <c r="AL494" i="1"/>
  <c r="AB547" i="1"/>
  <c r="AG315" i="1"/>
  <c r="AF295" i="1"/>
  <c r="AK354" i="1"/>
  <c r="AK384" i="1"/>
  <c r="AK385" i="1"/>
  <c r="J1294" i="1"/>
  <c r="J1473" i="1"/>
  <c r="J1472" i="1"/>
  <c r="J1293" i="1"/>
  <c r="T523" i="1"/>
  <c r="T524" i="1"/>
  <c r="I1325" i="1"/>
  <c r="I1324" i="1"/>
  <c r="I1319" i="1"/>
  <c r="I1327" i="1"/>
  <c r="I1326" i="1"/>
  <c r="G1472" i="1"/>
  <c r="G1294" i="1"/>
  <c r="G1473" i="1"/>
  <c r="AB296" i="1"/>
  <c r="X1111" i="1"/>
  <c r="Z1108" i="1"/>
  <c r="Z1111" i="1"/>
  <c r="AL942" i="1"/>
  <c r="AL618" i="1"/>
  <c r="AK1275" i="1"/>
  <c r="AK1571" i="1"/>
  <c r="AL75" i="1"/>
  <c r="AL1275" i="1"/>
  <c r="AL1571" i="1"/>
  <c r="AF1177" i="1"/>
  <c r="AG1177" i="1"/>
  <c r="AH1177" i="1"/>
  <c r="AI1177" i="1"/>
  <c r="AJ1177" i="1"/>
  <c r="AK1177" i="1"/>
  <c r="AL1177" i="1"/>
  <c r="AE1181" i="1"/>
  <c r="AF1361" i="1"/>
  <c r="AG1360" i="1"/>
  <c r="AL926" i="1"/>
  <c r="AL939" i="1"/>
  <c r="AL252" i="1"/>
  <c r="AL234" i="1"/>
  <c r="N1567" i="1"/>
  <c r="N1566" i="1"/>
  <c r="N1571" i="1"/>
  <c r="U1325" i="1"/>
  <c r="U1324" i="1"/>
  <c r="U1319" i="1"/>
  <c r="U1327" i="1"/>
  <c r="U1326" i="1"/>
  <c r="O1570" i="1"/>
  <c r="O1573" i="1"/>
  <c r="R1570" i="1"/>
  <c r="R1573" i="1"/>
  <c r="Q1571" i="1"/>
  <c r="Q1567" i="1"/>
  <c r="Q1566" i="1"/>
  <c r="AJ532" i="1"/>
  <c r="AJ577" i="1"/>
  <c r="AJ582" i="1"/>
  <c r="AJ502" i="1"/>
  <c r="L1570" i="1"/>
  <c r="V633" i="1"/>
  <c r="N635" i="1"/>
  <c r="N690" i="1"/>
  <c r="J690" i="1"/>
  <c r="J635" i="1"/>
  <c r="N1529" i="1"/>
  <c r="N1530" i="1"/>
  <c r="AK228" i="1"/>
  <c r="AK246" i="1"/>
  <c r="AJ953" i="1"/>
  <c r="AJ633" i="1"/>
  <c r="N1590" i="1"/>
  <c r="N1594" i="1"/>
  <c r="N1613" i="1"/>
  <c r="N1285" i="1"/>
  <c r="AL73" i="1"/>
  <c r="Q1590" i="1"/>
  <c r="Q1594" i="1"/>
  <c r="Q1613" i="1"/>
  <c r="Q1285" i="1"/>
  <c r="AJ268" i="1"/>
  <c r="T1279" i="1"/>
  <c r="T1306" i="1"/>
  <c r="Y278" i="1"/>
  <c r="Y510" i="1"/>
  <c r="Z510" i="1"/>
  <c r="H1294" i="1"/>
  <c r="H1293" i="1"/>
  <c r="H1473" i="1"/>
  <c r="H1472" i="1"/>
  <c r="S1570" i="1"/>
  <c r="S1573" i="1"/>
  <c r="P1530" i="1"/>
  <c r="P1529" i="1"/>
  <c r="M635" i="1"/>
  <c r="M690" i="1"/>
  <c r="AK951" i="1"/>
  <c r="AK631" i="1"/>
  <c r="AK202" i="1"/>
  <c r="AJ186" i="1"/>
  <c r="H1570" i="1"/>
  <c r="H1573" i="1"/>
  <c r="AJ356" i="1"/>
  <c r="AL72" i="1"/>
  <c r="AG312" i="1"/>
  <c r="AF293" i="1"/>
  <c r="AL339" i="1"/>
  <c r="AK495" i="1"/>
  <c r="AK496" i="1"/>
  <c r="AK344" i="1"/>
  <c r="AK501" i="1"/>
  <c r="X1170" i="1"/>
  <c r="Z1102" i="1"/>
  <c r="X1106" i="1"/>
  <c r="AJ761" i="1"/>
  <c r="AJ623" i="1"/>
  <c r="AJ630" i="1"/>
  <c r="AJ258" i="1"/>
  <c r="AL333" i="1"/>
  <c r="AL383" i="1"/>
  <c r="AL343" i="1"/>
  <c r="M1283" i="1"/>
  <c r="M1285" i="1"/>
  <c r="M1281" i="1"/>
  <c r="AK542" i="1"/>
  <c r="AJ546" i="1"/>
  <c r="AH1351" i="1"/>
  <c r="X626" i="1"/>
  <c r="X633" i="1"/>
  <c r="X349" i="1"/>
  <c r="Z349" i="1"/>
  <c r="AJ278" i="1"/>
  <c r="AI1545" i="1"/>
  <c r="AK928" i="1"/>
  <c r="AK275" i="1"/>
  <c r="AK276" i="1"/>
  <c r="U635" i="1"/>
  <c r="U690" i="1"/>
  <c r="AK1276" i="1"/>
  <c r="AL76" i="1"/>
  <c r="AL1276" i="1"/>
  <c r="Q1530" i="1"/>
  <c r="Q1529" i="1"/>
  <c r="AK761" i="1"/>
  <c r="AK623" i="1"/>
  <c r="AK630" i="1"/>
  <c r="AK258" i="1"/>
  <c r="AG316" i="1"/>
  <c r="AF294" i="1"/>
  <c r="AF510" i="1"/>
  <c r="M1306" i="1"/>
  <c r="M1279" i="1"/>
  <c r="M1286" i="1"/>
  <c r="U1590" i="1"/>
  <c r="U1594" i="1"/>
  <c r="U1613" i="1"/>
  <c r="U1285" i="1"/>
  <c r="AK950" i="1"/>
  <c r="AK134" i="1"/>
  <c r="AK137" i="1"/>
  <c r="AK131" i="1"/>
  <c r="AL943" i="1"/>
  <c r="AL619" i="1"/>
  <c r="L635" i="1"/>
  <c r="L690" i="1"/>
  <c r="AK306" i="1"/>
  <c r="AK307" i="1"/>
  <c r="AK266" i="1"/>
  <c r="AK500" i="1"/>
  <c r="U1529" i="1"/>
  <c r="U1530" i="1"/>
  <c r="AK952" i="1"/>
  <c r="AK632" i="1"/>
  <c r="R690" i="1"/>
  <c r="R635" i="1"/>
  <c r="AD1597" i="1"/>
  <c r="AD1544" i="1"/>
  <c r="I1306" i="1"/>
  <c r="I1279" i="1"/>
  <c r="I1286" i="1"/>
  <c r="AJ678" i="1"/>
  <c r="AK687" i="1"/>
  <c r="AE626" i="1"/>
  <c r="AE633" i="1"/>
  <c r="S635" i="1"/>
  <c r="S690" i="1"/>
  <c r="O635" i="1"/>
  <c r="O690" i="1"/>
  <c r="G635" i="1"/>
  <c r="G690" i="1"/>
  <c r="AL17" i="1"/>
  <c r="AK17" i="1"/>
  <c r="AJ17" i="1"/>
  <c r="AI17" i="1"/>
  <c r="AH17" i="1"/>
  <c r="AG17" i="1"/>
  <c r="AF17" i="1"/>
  <c r="AE17" i="1"/>
  <c r="AD17" i="1"/>
  <c r="T1570" i="1"/>
  <c r="T1573" i="1"/>
  <c r="AC400" i="1"/>
  <c r="AE205" i="1"/>
  <c r="AF205" i="1"/>
  <c r="AD205" i="1"/>
  <c r="AD192" i="1"/>
  <c r="AC205" i="1"/>
  <c r="AC192" i="1"/>
  <c r="AG311" i="1"/>
  <c r="AF292" i="1"/>
  <c r="AF508" i="1"/>
  <c r="AD206" i="1"/>
  <c r="AD188" i="1"/>
  <c r="AC206" i="1"/>
  <c r="AC188" i="1"/>
  <c r="AF206" i="1"/>
  <c r="AH679" i="1"/>
  <c r="AI688" i="1"/>
  <c r="AH392" i="1"/>
  <c r="AG375" i="1"/>
  <c r="AE203" i="1"/>
  <c r="AF203" i="1"/>
  <c r="AD203" i="1"/>
  <c r="AD187" i="1"/>
  <c r="AC203" i="1"/>
  <c r="AC187" i="1"/>
  <c r="AI689" i="1"/>
  <c r="AH680" i="1"/>
  <c r="X1188" i="1"/>
  <c r="Z1170" i="1"/>
  <c r="AH393" i="1"/>
  <c r="AG371" i="1"/>
  <c r="AG372" i="1"/>
  <c r="AG400" i="1"/>
  <c r="AB548" i="1"/>
  <c r="AB1546" i="1"/>
  <c r="AB1547" i="1"/>
  <c r="AB1598" i="1"/>
  <c r="AC296" i="1"/>
  <c r="N1570" i="1"/>
  <c r="Z167" i="1"/>
  <c r="Z180" i="1"/>
  <c r="Z181" i="1"/>
  <c r="AA761" i="1"/>
  <c r="AA771" i="1"/>
  <c r="AA772" i="1"/>
  <c r="AA623" i="1"/>
  <c r="AA630" i="1"/>
  <c r="AA634" i="1"/>
  <c r="AJ279" i="1"/>
  <c r="AJ280" i="1"/>
  <c r="AC321" i="1"/>
  <c r="Y296" i="1"/>
  <c r="Y321" i="1"/>
  <c r="Y547" i="1"/>
  <c r="AC258" i="1"/>
  <c r="AC279" i="1"/>
  <c r="AC280" i="1"/>
  <c r="AC623" i="1"/>
  <c r="AC630" i="1"/>
  <c r="AC634" i="1"/>
  <c r="AC677" i="1"/>
  <c r="X167" i="1"/>
  <c r="X180" i="1"/>
  <c r="X181" i="1"/>
  <c r="AB761" i="1"/>
  <c r="AB964" i="1"/>
  <c r="AD258" i="1"/>
  <c r="AD623" i="1"/>
  <c r="AD630" i="1"/>
  <c r="AD634" i="1"/>
  <c r="AD677" i="1"/>
  <c r="AB258" i="1"/>
  <c r="AB279" i="1"/>
  <c r="AB280" i="1"/>
  <c r="AE349" i="1"/>
  <c r="AA258" i="1"/>
  <c r="AJ634" i="1"/>
  <c r="AJ677" i="1"/>
  <c r="Y211" i="1"/>
  <c r="Z211" i="1"/>
  <c r="G259" i="1"/>
  <c r="G285" i="1"/>
  <c r="G286" i="1"/>
  <c r="G167" i="1"/>
  <c r="G180" i="1"/>
  <c r="G181" i="1"/>
  <c r="G183" i="1"/>
  <c r="G184" i="1"/>
  <c r="H259" i="1"/>
  <c r="H285" i="1"/>
  <c r="H286" i="1"/>
  <c r="H289" i="1"/>
  <c r="H167" i="1"/>
  <c r="H180" i="1"/>
  <c r="H181" i="1"/>
  <c r="H183" i="1"/>
  <c r="I259" i="1"/>
  <c r="I285" i="1"/>
  <c r="I286" i="1"/>
  <c r="I167" i="1"/>
  <c r="I180" i="1"/>
  <c r="I181" i="1"/>
  <c r="I183" i="1"/>
  <c r="J259" i="1"/>
  <c r="J285" i="1"/>
  <c r="J286" i="1"/>
  <c r="J167" i="1"/>
  <c r="J180" i="1"/>
  <c r="J181" i="1"/>
  <c r="J183" i="1"/>
  <c r="K259" i="1"/>
  <c r="K285" i="1"/>
  <c r="K286" i="1"/>
  <c r="K167" i="1"/>
  <c r="K180" i="1"/>
  <c r="K181" i="1"/>
  <c r="K183" i="1"/>
  <c r="L259" i="1"/>
  <c r="L285" i="1"/>
  <c r="L286" i="1"/>
  <c r="L167" i="1"/>
  <c r="L180" i="1"/>
  <c r="L181" i="1"/>
  <c r="L183" i="1"/>
  <c r="M259" i="1"/>
  <c r="M285" i="1"/>
  <c r="M286" i="1"/>
  <c r="M167" i="1"/>
  <c r="M180" i="1"/>
  <c r="M181" i="1"/>
  <c r="M183" i="1"/>
  <c r="N259" i="1"/>
  <c r="N285" i="1"/>
  <c r="N286" i="1"/>
  <c r="N167" i="1"/>
  <c r="N180" i="1"/>
  <c r="N181" i="1"/>
  <c r="N183" i="1"/>
  <c r="O259" i="1"/>
  <c r="O285" i="1"/>
  <c r="O286" i="1"/>
  <c r="O167" i="1"/>
  <c r="O180" i="1"/>
  <c r="O181" i="1"/>
  <c r="O183" i="1"/>
  <c r="P259" i="1"/>
  <c r="P285" i="1"/>
  <c r="P286" i="1"/>
  <c r="P167" i="1"/>
  <c r="P180" i="1"/>
  <c r="P181" i="1"/>
  <c r="P183" i="1"/>
  <c r="Q259" i="1"/>
  <c r="Q285" i="1"/>
  <c r="Q286" i="1"/>
  <c r="Q167" i="1"/>
  <c r="Q180" i="1"/>
  <c r="Q181" i="1"/>
  <c r="Q183" i="1"/>
  <c r="R259" i="1"/>
  <c r="R285" i="1"/>
  <c r="R286" i="1"/>
  <c r="R167" i="1"/>
  <c r="R180" i="1"/>
  <c r="R181" i="1"/>
  <c r="R183" i="1"/>
  <c r="S259" i="1"/>
  <c r="S285" i="1"/>
  <c r="S286" i="1"/>
  <c r="S167" i="1"/>
  <c r="S180" i="1"/>
  <c r="S181" i="1"/>
  <c r="S183" i="1"/>
  <c r="T259" i="1"/>
  <c r="T285" i="1"/>
  <c r="T286" i="1"/>
  <c r="T167" i="1"/>
  <c r="T180" i="1"/>
  <c r="T181" i="1"/>
  <c r="T183" i="1"/>
  <c r="U259" i="1"/>
  <c r="U285" i="1"/>
  <c r="U286" i="1"/>
  <c r="U167" i="1"/>
  <c r="U180" i="1"/>
  <c r="U181" i="1"/>
  <c r="U183" i="1"/>
  <c r="V259" i="1"/>
  <c r="V285" i="1"/>
  <c r="V286" i="1"/>
  <c r="V167" i="1"/>
  <c r="V180" i="1"/>
  <c r="V181" i="1"/>
  <c r="W259" i="1"/>
  <c r="W285" i="1"/>
  <c r="W286" i="1"/>
  <c r="W167" i="1"/>
  <c r="W180" i="1"/>
  <c r="W181" i="1"/>
  <c r="AD259" i="1"/>
  <c r="AD167" i="1"/>
  <c r="AD180" i="1"/>
  <c r="AD181" i="1"/>
  <c r="AL384" i="1"/>
  <c r="AL385" i="1"/>
  <c r="AL354" i="1"/>
  <c r="AG1361" i="1"/>
  <c r="AH1360" i="1"/>
  <c r="AF259" i="1"/>
  <c r="AF285" i="1"/>
  <c r="AF286" i="1"/>
  <c r="AF167" i="1"/>
  <c r="AF180" i="1"/>
  <c r="AF181" i="1"/>
  <c r="Y167" i="1"/>
  <c r="Y180" i="1"/>
  <c r="Y181" i="1"/>
  <c r="Y259" i="1"/>
  <c r="Y285" i="1"/>
  <c r="Y286" i="1"/>
  <c r="AG294" i="1"/>
  <c r="AG510" i="1"/>
  <c r="AH316" i="1"/>
  <c r="Z1106" i="1"/>
  <c r="Z1126" i="1"/>
  <c r="X1126" i="1"/>
  <c r="AL675" i="1"/>
  <c r="AL964" i="1"/>
  <c r="AL771" i="1"/>
  <c r="AL772" i="1"/>
  <c r="AL784" i="1"/>
  <c r="AL786" i="1"/>
  <c r="AK678" i="1"/>
  <c r="AL687" i="1"/>
  <c r="AL678" i="1"/>
  <c r="M1567" i="1"/>
  <c r="P1567" i="1"/>
  <c r="M1566" i="1"/>
  <c r="M1571" i="1"/>
  <c r="P1571" i="1"/>
  <c r="Z626" i="1"/>
  <c r="Z1119" i="1"/>
  <c r="Z1120" i="1"/>
  <c r="P1468" i="1"/>
  <c r="P1473" i="1"/>
  <c r="P1293" i="1"/>
  <c r="O1293" i="1"/>
  <c r="P1472" i="1"/>
  <c r="P1294" i="1"/>
  <c r="O1294" i="1"/>
  <c r="AA167" i="1"/>
  <c r="AA180" i="1"/>
  <c r="AA181" i="1"/>
  <c r="AI1597" i="1"/>
  <c r="T1282" i="1"/>
  <c r="T1283" i="1"/>
  <c r="T1286" i="1"/>
  <c r="Z633" i="1"/>
  <c r="AJ259" i="1"/>
  <c r="AJ285" i="1"/>
  <c r="AJ286" i="1"/>
  <c r="AJ167" i="1"/>
  <c r="AJ180" i="1"/>
  <c r="AJ181" i="1"/>
  <c r="AL202" i="1"/>
  <c r="AL186" i="1"/>
  <c r="AK186" i="1"/>
  <c r="AC17" i="1"/>
  <c r="AK259" i="1"/>
  <c r="AK285" i="1"/>
  <c r="AK286" i="1"/>
  <c r="AK167" i="1"/>
  <c r="AK180" i="1"/>
  <c r="AK181" i="1"/>
  <c r="AK502" i="1"/>
  <c r="AK577" i="1"/>
  <c r="AK582" i="1"/>
  <c r="AK532" i="1"/>
  <c r="AG293" i="1"/>
  <c r="AH312" i="1"/>
  <c r="U1571" i="1"/>
  <c r="AL928" i="1"/>
  <c r="AL275" i="1"/>
  <c r="AL276" i="1"/>
  <c r="I1571" i="1"/>
  <c r="I1567" i="1"/>
  <c r="I1566" i="1"/>
  <c r="AB321" i="1"/>
  <c r="AL259" i="1"/>
  <c r="AL285" i="1"/>
  <c r="AL286" i="1"/>
  <c r="AL167" i="1"/>
  <c r="AL180" i="1"/>
  <c r="AL181" i="1"/>
  <c r="AK268" i="1"/>
  <c r="AL952" i="1"/>
  <c r="AL632" i="1"/>
  <c r="M1530" i="1"/>
  <c r="M1529" i="1"/>
  <c r="AK675" i="1"/>
  <c r="AK964" i="1"/>
  <c r="AK771" i="1"/>
  <c r="AK772" i="1"/>
  <c r="AK784" i="1"/>
  <c r="AK786" i="1"/>
  <c r="Q1294" i="1"/>
  <c r="Q1293" i="1"/>
  <c r="L1573" i="1"/>
  <c r="AL496" i="1"/>
  <c r="AL531" i="1"/>
  <c r="AL69" i="1"/>
  <c r="AL93" i="1"/>
  <c r="I1472" i="1"/>
  <c r="I1294" i="1"/>
  <c r="I1293" i="1"/>
  <c r="AE259" i="1"/>
  <c r="AE285" i="1"/>
  <c r="AE286" i="1"/>
  <c r="AE167" i="1"/>
  <c r="AE180" i="1"/>
  <c r="AE181" i="1"/>
  <c r="AJ675" i="1"/>
  <c r="AJ964" i="1"/>
  <c r="AJ771" i="1"/>
  <c r="AJ772" i="1"/>
  <c r="AJ784" i="1"/>
  <c r="AJ786" i="1"/>
  <c r="AL306" i="1"/>
  <c r="AL307" i="1"/>
  <c r="AL266" i="1"/>
  <c r="AL500" i="1"/>
  <c r="AL134" i="1"/>
  <c r="AL137" i="1"/>
  <c r="AL131" i="1"/>
  <c r="AJ369" i="1"/>
  <c r="AK389" i="1"/>
  <c r="AC675" i="1"/>
  <c r="AC964" i="1"/>
  <c r="AC771" i="1"/>
  <c r="AC772" i="1"/>
  <c r="AC784" i="1"/>
  <c r="AC786" i="1"/>
  <c r="W962" i="1"/>
  <c r="W635" i="1"/>
  <c r="W963" i="1"/>
  <c r="W690" i="1"/>
  <c r="AL495" i="1"/>
  <c r="AL344" i="1"/>
  <c r="AL501" i="1"/>
  <c r="I1529" i="1"/>
  <c r="I1530" i="1"/>
  <c r="AK356" i="1"/>
  <c r="AK953" i="1"/>
  <c r="AK633" i="1"/>
  <c r="AK634" i="1"/>
  <c r="AK278" i="1"/>
  <c r="AK279" i="1"/>
  <c r="AK280" i="1"/>
  <c r="AG259" i="1"/>
  <c r="AG285" i="1"/>
  <c r="AG286" i="1"/>
  <c r="AG167" i="1"/>
  <c r="AG180" i="1"/>
  <c r="AG181" i="1"/>
  <c r="N1573" i="1"/>
  <c r="AJ1545" i="1"/>
  <c r="AL951" i="1"/>
  <c r="AL631" i="1"/>
  <c r="AL245" i="1"/>
  <c r="AL223" i="1"/>
  <c r="AL305" i="1"/>
  <c r="AK390" i="1"/>
  <c r="AJ370" i="1"/>
  <c r="AK546" i="1"/>
  <c r="AL542" i="1"/>
  <c r="AL546" i="1"/>
  <c r="Y761" i="1"/>
  <c r="Y623" i="1"/>
  <c r="Y630" i="1"/>
  <c r="Y634" i="1"/>
  <c r="Y258" i="1"/>
  <c r="Y279" i="1"/>
  <c r="Y280" i="1"/>
  <c r="AL944" i="1"/>
  <c r="AL620" i="1"/>
  <c r="AH259" i="1"/>
  <c r="AH285" i="1"/>
  <c r="AH286" i="1"/>
  <c r="AH167" i="1"/>
  <c r="AH180" i="1"/>
  <c r="AH181" i="1"/>
  <c r="AD675" i="1"/>
  <c r="AD964" i="1"/>
  <c r="AD771" i="1"/>
  <c r="AD772" i="1"/>
  <c r="AG295" i="1"/>
  <c r="AH315" i="1"/>
  <c r="AL950" i="1"/>
  <c r="AL630" i="1"/>
  <c r="AI167" i="1"/>
  <c r="AI180" i="1"/>
  <c r="AI181" i="1"/>
  <c r="AI259" i="1"/>
  <c r="AI285" i="1"/>
  <c r="AI286" i="1"/>
  <c r="Q1570" i="1"/>
  <c r="U1566" i="1"/>
  <c r="X1119" i="1"/>
  <c r="X1120" i="1"/>
  <c r="X1114" i="1"/>
  <c r="X761" i="1"/>
  <c r="X771" i="1"/>
  <c r="X772" i="1"/>
  <c r="X784" i="1"/>
  <c r="X785" i="1"/>
  <c r="X623" i="1"/>
  <c r="X630" i="1"/>
  <c r="X634" i="1"/>
  <c r="X258" i="1"/>
  <c r="X279" i="1"/>
  <c r="X280" i="1"/>
  <c r="U1473" i="1"/>
  <c r="Z1473" i="1"/>
  <c r="U1472" i="1"/>
  <c r="U1468" i="1"/>
  <c r="U1294" i="1"/>
  <c r="U1293" i="1"/>
  <c r="AI1351" i="1"/>
  <c r="U1567" i="1"/>
  <c r="AL228" i="1"/>
  <c r="AL246" i="1"/>
  <c r="AD1181" i="1"/>
  <c r="AD1107" i="1"/>
  <c r="AC1181" i="1"/>
  <c r="AC1107" i="1"/>
  <c r="AA1181" i="1"/>
  <c r="AA1107" i="1"/>
  <c r="AB1181" i="1"/>
  <c r="AB1107" i="1"/>
  <c r="AF1181" i="1"/>
  <c r="AH314" i="1"/>
  <c r="AG299" i="1"/>
  <c r="AL16" i="1"/>
  <c r="AK16" i="1"/>
  <c r="AJ16" i="1"/>
  <c r="AI16" i="1"/>
  <c r="AD16" i="1"/>
  <c r="AD417" i="1" s="1"/>
  <c r="AD423" i="1" s="1"/>
  <c r="AC16" i="1"/>
  <c r="AC417" i="1" s="1"/>
  <c r="AC423" i="1" s="1"/>
  <c r="AC424" i="1" s="1"/>
  <c r="AA417" i="1"/>
  <c r="AA423" i="1"/>
  <c r="AA424" i="1"/>
  <c r="Z259" i="1"/>
  <c r="Z285" i="1"/>
  <c r="Z286" i="1"/>
  <c r="AB1601" i="1"/>
  <c r="AB1568" i="1"/>
  <c r="I1570" i="1"/>
  <c r="I1573" i="1"/>
  <c r="Y548" i="1"/>
  <c r="Y1546" i="1"/>
  <c r="Y1547" i="1"/>
  <c r="Y1598" i="1"/>
  <c r="AG292" i="1"/>
  <c r="AG508" i="1"/>
  <c r="AH311" i="1"/>
  <c r="AI392" i="1"/>
  <c r="AH375" i="1"/>
  <c r="AE192" i="1"/>
  <c r="AC547" i="1"/>
  <c r="AC548" i="1"/>
  <c r="AC1546" i="1"/>
  <c r="AC1547" i="1"/>
  <c r="AC1598" i="1"/>
  <c r="AG203" i="1"/>
  <c r="AF187" i="1"/>
  <c r="AI679" i="1"/>
  <c r="AJ688" i="1"/>
  <c r="AI393" i="1"/>
  <c r="AH371" i="1"/>
  <c r="AH372" i="1"/>
  <c r="AH400" i="1"/>
  <c r="AF192" i="1"/>
  <c r="AG205" i="1"/>
  <c r="AF188" i="1"/>
  <c r="AG206" i="1"/>
  <c r="AI680" i="1"/>
  <c r="AJ689" i="1"/>
  <c r="AC189" i="1"/>
  <c r="AE189" i="1"/>
  <c r="AE211" i="1"/>
  <c r="AE187" i="1"/>
  <c r="AE188" i="1"/>
  <c r="AF296" i="1"/>
  <c r="AD189" i="1"/>
  <c r="AD211" i="1"/>
  <c r="AA690" i="1"/>
  <c r="AA635" i="1"/>
  <c r="Z166" i="1"/>
  <c r="Z175" i="1"/>
  <c r="Z176" i="1"/>
  <c r="AB771" i="1"/>
  <c r="AB772" i="1"/>
  <c r="AB784" i="1"/>
  <c r="AA279" i="1"/>
  <c r="AA280" i="1"/>
  <c r="X259" i="1"/>
  <c r="X285" i="1"/>
  <c r="X286" i="1"/>
  <c r="Y690" i="1"/>
  <c r="Y635" i="1"/>
  <c r="Z296" i="1"/>
  <c r="Z321" i="1"/>
  <c r="AE623" i="1"/>
  <c r="AE761" i="1"/>
  <c r="X962" i="1"/>
  <c r="AJ962" i="1"/>
  <c r="V417" i="1"/>
  <c r="V423" i="1"/>
  <c r="V424" i="1"/>
  <c r="V348" i="1"/>
  <c r="V362" i="1"/>
  <c r="V363" i="1"/>
  <c r="V257" i="1"/>
  <c r="V269" i="1"/>
  <c r="V270" i="1"/>
  <c r="V289" i="1"/>
  <c r="V166" i="1"/>
  <c r="V175" i="1"/>
  <c r="V176" i="1"/>
  <c r="V183" i="1"/>
  <c r="W348" i="1"/>
  <c r="W257" i="1"/>
  <c r="W269" i="1"/>
  <c r="W270" i="1"/>
  <c r="W289" i="1"/>
  <c r="W417" i="1"/>
  <c r="W423" i="1"/>
  <c r="W424" i="1"/>
  <c r="W428" i="1"/>
  <c r="W429" i="1"/>
  <c r="W166" i="1"/>
  <c r="W175" i="1"/>
  <c r="W176" i="1"/>
  <c r="W183" i="1"/>
  <c r="AC259" i="1"/>
  <c r="AC285" i="1"/>
  <c r="AC286" i="1"/>
  <c r="AC167" i="1"/>
  <c r="AC180" i="1"/>
  <c r="AC181" i="1"/>
  <c r="AK417" i="1"/>
  <c r="AK423" i="1"/>
  <c r="AK424" i="1"/>
  <c r="AK428" i="1"/>
  <c r="AK430" i="1"/>
  <c r="AK257" i="1"/>
  <c r="AK269" i="1"/>
  <c r="AK270" i="1"/>
  <c r="AK289" i="1"/>
  <c r="AK166" i="1"/>
  <c r="AK175" i="1"/>
  <c r="AK176" i="1"/>
  <c r="AK183" i="1"/>
  <c r="AK185" i="1"/>
  <c r="AK348" i="1"/>
  <c r="AG1181" i="1"/>
  <c r="AF1107" i="1"/>
  <c r="AB259" i="1"/>
  <c r="AB285" i="1"/>
  <c r="AB286" i="1"/>
  <c r="AB167" i="1"/>
  <c r="AB180" i="1"/>
  <c r="AB181" i="1"/>
  <c r="W965" i="1"/>
  <c r="AL389" i="1"/>
  <c r="AL369" i="1"/>
  <c r="AK369" i="1"/>
  <c r="AB681" i="1"/>
  <c r="AB676" i="1"/>
  <c r="AB966" i="1"/>
  <c r="AE547" i="1"/>
  <c r="AF547" i="1"/>
  <c r="Z548" i="1"/>
  <c r="Z1546" i="1"/>
  <c r="T184" i="1"/>
  <c r="T210" i="1"/>
  <c r="H210" i="1"/>
  <c r="H184" i="1"/>
  <c r="AB1102" i="1"/>
  <c r="AB1125" i="1"/>
  <c r="AB1108" i="1"/>
  <c r="AB1111" i="1"/>
  <c r="AD681" i="1"/>
  <c r="AD676" i="1"/>
  <c r="AD966" i="1"/>
  <c r="AL278" i="1"/>
  <c r="AL279" i="1"/>
  <c r="AL280" i="1"/>
  <c r="Z623" i="1"/>
  <c r="Z1317" i="1"/>
  <c r="Z1122" i="1"/>
  <c r="AI1360" i="1"/>
  <c r="AH1361" i="1"/>
  <c r="H505" i="1"/>
  <c r="H506" i="1"/>
  <c r="H290" i="1"/>
  <c r="AE1107" i="1"/>
  <c r="AE1125" i="1"/>
  <c r="AA1102" i="1"/>
  <c r="AA1125" i="1"/>
  <c r="AA1108" i="1"/>
  <c r="AI315" i="1"/>
  <c r="AH295" i="1"/>
  <c r="AL953" i="1"/>
  <c r="AL633" i="1"/>
  <c r="AL634" i="1"/>
  <c r="S184" i="1"/>
  <c r="S210" i="1"/>
  <c r="AC1125" i="1"/>
  <c r="AC1108" i="1"/>
  <c r="AC1111" i="1"/>
  <c r="AC1102" i="1"/>
  <c r="AE675" i="1"/>
  <c r="AE964" i="1"/>
  <c r="Y417" i="1"/>
  <c r="Y423" i="1"/>
  <c r="Y424" i="1"/>
  <c r="Y428" i="1"/>
  <c r="Y429" i="1"/>
  <c r="Y348" i="1"/>
  <c r="Y257" i="1"/>
  <c r="Y269" i="1"/>
  <c r="Y270" i="1"/>
  <c r="Y289" i="1"/>
  <c r="Y290" i="1"/>
  <c r="Y166" i="1"/>
  <c r="Y175" i="1"/>
  <c r="Y176" i="1"/>
  <c r="Y183" i="1"/>
  <c r="Y184" i="1"/>
  <c r="AD1102" i="1"/>
  <c r="AD1125" i="1"/>
  <c r="AD1108" i="1"/>
  <c r="AD1111" i="1"/>
  <c r="X635" i="1"/>
  <c r="X963" i="1"/>
  <c r="X690" i="1"/>
  <c r="AK1545" i="1"/>
  <c r="AC676" i="1"/>
  <c r="AC966" i="1"/>
  <c r="AC681" i="1"/>
  <c r="AJ681" i="1"/>
  <c r="AJ676" i="1"/>
  <c r="AJ966" i="1"/>
  <c r="AL356" i="1"/>
  <c r="R184" i="1"/>
  <c r="R210" i="1"/>
  <c r="N184" i="1"/>
  <c r="N210" i="1"/>
  <c r="J184" i="1"/>
  <c r="J210" i="1"/>
  <c r="AB1031" i="1"/>
  <c r="AB1040" i="1"/>
  <c r="AC962" i="1"/>
  <c r="AF321" i="1"/>
  <c r="M1570" i="1"/>
  <c r="P1566" i="1"/>
  <c r="U184" i="1"/>
  <c r="U210" i="1"/>
  <c r="Q184" i="1"/>
  <c r="Q210" i="1"/>
  <c r="M184" i="1"/>
  <c r="M210" i="1"/>
  <c r="I184" i="1"/>
  <c r="I210" i="1"/>
  <c r="AI348" i="1"/>
  <c r="AI417" i="1"/>
  <c r="AI423" i="1"/>
  <c r="AI424" i="1"/>
  <c r="AI428" i="1"/>
  <c r="AI430" i="1"/>
  <c r="AI257" i="1"/>
  <c r="AI269" i="1"/>
  <c r="AI270" i="1"/>
  <c r="AI166" i="1"/>
  <c r="AI175" i="1"/>
  <c r="AI176" i="1"/>
  <c r="AI183" i="1"/>
  <c r="AI185" i="1"/>
  <c r="AK370" i="1"/>
  <c r="AL390" i="1"/>
  <c r="AL370" i="1"/>
  <c r="AB348" i="1"/>
  <c r="AB362" i="1"/>
  <c r="AB417" i="1"/>
  <c r="AB423" i="1"/>
  <c r="AB424" i="1"/>
  <c r="AB428" i="1"/>
  <c r="AB429" i="1"/>
  <c r="AB257" i="1"/>
  <c r="AB269" i="1"/>
  <c r="AB270" i="1"/>
  <c r="AB166" i="1"/>
  <c r="AB175" i="1"/>
  <c r="AB176" i="1"/>
  <c r="AA348" i="1"/>
  <c r="AA362" i="1"/>
  <c r="AA363" i="1"/>
  <c r="AA257" i="1"/>
  <c r="AA166" i="1"/>
  <c r="AA175" i="1"/>
  <c r="AA176" i="1"/>
  <c r="AA183" i="1"/>
  <c r="AA184" i="1"/>
  <c r="AL502" i="1"/>
  <c r="AL532" i="1"/>
  <c r="AL577" i="1"/>
  <c r="AL582" i="1"/>
  <c r="AI314" i="1"/>
  <c r="AH299" i="1"/>
  <c r="AD1031" i="1"/>
  <c r="AD1040" i="1"/>
  <c r="AJ1597" i="1"/>
  <c r="AL268" i="1"/>
  <c r="AJ348" i="1"/>
  <c r="AJ417" i="1"/>
  <c r="AJ423" i="1"/>
  <c r="AJ424" i="1"/>
  <c r="AJ428" i="1"/>
  <c r="AJ430" i="1"/>
  <c r="AJ257" i="1"/>
  <c r="AJ269" i="1"/>
  <c r="AJ270" i="1"/>
  <c r="AJ289" i="1"/>
  <c r="AJ166" i="1"/>
  <c r="AJ175" i="1"/>
  <c r="AJ176" i="1"/>
  <c r="AJ183" i="1"/>
  <c r="AJ185" i="1"/>
  <c r="X1317" i="1"/>
  <c r="X1122" i="1"/>
  <c r="AC1031" i="1"/>
  <c r="AC1040" i="1"/>
  <c r="T1530" i="1"/>
  <c r="T1529" i="1"/>
  <c r="AA259" i="1"/>
  <c r="AA285" i="1"/>
  <c r="AK962" i="1"/>
  <c r="AK677" i="1"/>
  <c r="P210" i="1"/>
  <c r="P184" i="1"/>
  <c r="L184" i="1"/>
  <c r="L210" i="1"/>
  <c r="AL417" i="1"/>
  <c r="AL423" i="1"/>
  <c r="AL424" i="1"/>
  <c r="AL428" i="1"/>
  <c r="AL430" i="1"/>
  <c r="AL257" i="1"/>
  <c r="AL166" i="1"/>
  <c r="AL175" i="1"/>
  <c r="AL176" i="1"/>
  <c r="AL183" i="1"/>
  <c r="AL185" i="1"/>
  <c r="AL348" i="1"/>
  <c r="AL362" i="1"/>
  <c r="AL363" i="1"/>
  <c r="Q1573" i="1"/>
  <c r="U1573" i="1"/>
  <c r="U1570" i="1"/>
  <c r="T1590" i="1"/>
  <c r="T1594" i="1"/>
  <c r="T1613" i="1"/>
  <c r="T1285" i="1"/>
  <c r="AI316" i="1"/>
  <c r="AH294" i="1"/>
  <c r="AH510" i="1"/>
  <c r="AE257" i="1"/>
  <c r="AE269" i="1" s="1"/>
  <c r="AE270" i="1" s="1"/>
  <c r="AE27" i="1"/>
  <c r="AE166" i="1"/>
  <c r="AE175" i="1" s="1"/>
  <c r="AE176" i="1" s="1"/>
  <c r="AJ1351" i="1"/>
  <c r="AE630" i="1"/>
  <c r="AI312" i="1"/>
  <c r="AH293" i="1"/>
  <c r="Z761" i="1"/>
  <c r="V634" i="1"/>
  <c r="Z630" i="1"/>
  <c r="O184" i="1"/>
  <c r="O210" i="1"/>
  <c r="K184" i="1"/>
  <c r="K210" i="1"/>
  <c r="X348" i="1"/>
  <c r="X417" i="1"/>
  <c r="X423" i="1"/>
  <c r="X424" i="1"/>
  <c r="X428" i="1"/>
  <c r="X429" i="1"/>
  <c r="X257" i="1"/>
  <c r="X269" i="1"/>
  <c r="X270" i="1"/>
  <c r="X166" i="1"/>
  <c r="X175" i="1"/>
  <c r="X176" i="1"/>
  <c r="X183" i="1"/>
  <c r="AL1545" i="1"/>
  <c r="AG296" i="1"/>
  <c r="AD15" i="1"/>
  <c r="AD47" i="1" s="1"/>
  <c r="AD49" i="1" s="1"/>
  <c r="AD51" i="1" s="1"/>
  <c r="AD62" i="1" s="1"/>
  <c r="AD64" i="1" s="1"/>
  <c r="AC15" i="1"/>
  <c r="AC47" i="1" s="1"/>
  <c r="AC49" i="1" s="1"/>
  <c r="AC51" i="1" s="1"/>
  <c r="AC62" i="1" s="1"/>
  <c r="Y1568" i="1"/>
  <c r="Z1568" i="1"/>
  <c r="Y1601" i="1"/>
  <c r="AH205" i="1"/>
  <c r="AG192" i="1"/>
  <c r="AK689" i="1"/>
  <c r="AJ680" i="1"/>
  <c r="AJ696" i="1"/>
  <c r="AH292" i="1"/>
  <c r="AH508" i="1"/>
  <c r="AI311" i="1"/>
  <c r="AF189" i="1"/>
  <c r="AF211" i="1"/>
  <c r="AG187" i="1"/>
  <c r="AH203" i="1"/>
  <c r="AI371" i="1"/>
  <c r="AJ393" i="1"/>
  <c r="AC1601" i="1"/>
  <c r="AC1568" i="1"/>
  <c r="AK688" i="1"/>
  <c r="AJ679" i="1"/>
  <c r="AC211" i="1"/>
  <c r="AG188" i="1"/>
  <c r="AH206" i="1"/>
  <c r="AI375" i="1"/>
  <c r="AJ392" i="1"/>
  <c r="Z257" i="1"/>
  <c r="Z269" i="1"/>
  <c r="Z270" i="1"/>
  <c r="AB792" i="1"/>
  <c r="AB785" i="1"/>
  <c r="AB183" i="1"/>
  <c r="AB184" i="1"/>
  <c r="AE184" i="1"/>
  <c r="AB962" i="1"/>
  <c r="X289" i="1"/>
  <c r="X290" i="1"/>
  <c r="AE771" i="1"/>
  <c r="V690" i="1"/>
  <c r="V635" i="1"/>
  <c r="AL269" i="1"/>
  <c r="AL270" i="1"/>
  <c r="AL289" i="1"/>
  <c r="AA286" i="1"/>
  <c r="AA357" i="1"/>
  <c r="AA358" i="1"/>
  <c r="AA269" i="1"/>
  <c r="AA270" i="1"/>
  <c r="AA210" i="1"/>
  <c r="AB62" i="1"/>
  <c r="Z183" i="1"/>
  <c r="Z47" i="1"/>
  <c r="AE772" i="1"/>
  <c r="Y62" i="1"/>
  <c r="Y63" i="1"/>
  <c r="AB289" i="1"/>
  <c r="AB290" i="1"/>
  <c r="AL357" i="1"/>
  <c r="AL358" i="1"/>
  <c r="AL366" i="1"/>
  <c r="AL368" i="1"/>
  <c r="AL373" i="1"/>
  <c r="AL962" i="1"/>
  <c r="AL677" i="1"/>
  <c r="AC1164" i="1"/>
  <c r="AC1170" i="1"/>
  <c r="AC1106" i="1"/>
  <c r="AG547" i="1"/>
  <c r="AF548" i="1"/>
  <c r="AF1546" i="1"/>
  <c r="AE634" i="1"/>
  <c r="AJ316" i="1"/>
  <c r="AI294" i="1"/>
  <c r="AI510" i="1"/>
  <c r="AJ1254" i="1"/>
  <c r="AC1119" i="1"/>
  <c r="AC1120" i="1"/>
  <c r="AC1317" i="1"/>
  <c r="AC1114" i="1"/>
  <c r="AE548" i="1"/>
  <c r="AE26" i="1"/>
  <c r="AB363" i="1"/>
  <c r="AB357" i="1"/>
  <c r="AB358" i="1"/>
  <c r="AB819" i="1"/>
  <c r="AB793" i="1"/>
  <c r="AB1254" i="1"/>
  <c r="V290" i="1"/>
  <c r="X210" i="1"/>
  <c r="X184" i="1"/>
  <c r="AB969" i="1"/>
  <c r="AB791" i="1"/>
  <c r="AB820" i="1"/>
  <c r="AB1038" i="1"/>
  <c r="AB696" i="1"/>
  <c r="AF1125" i="1"/>
  <c r="AF1108" i="1"/>
  <c r="AF1102" i="1"/>
  <c r="Z348" i="1"/>
  <c r="V357" i="1"/>
  <c r="V358" i="1"/>
  <c r="V366" i="1"/>
  <c r="Z634" i="1"/>
  <c r="M1573" i="1"/>
  <c r="P1573" i="1"/>
  <c r="P1570" i="1"/>
  <c r="AC1254" i="1"/>
  <c r="AK1597" i="1"/>
  <c r="X965" i="1"/>
  <c r="X972" i="1"/>
  <c r="X973" i="1"/>
  <c r="Y190" i="1"/>
  <c r="AA1040" i="1"/>
  <c r="AE1040" i="1"/>
  <c r="AA1031" i="1"/>
  <c r="AE1031" i="1"/>
  <c r="AD1038" i="1"/>
  <c r="AD696" i="1"/>
  <c r="AK362" i="1"/>
  <c r="AK363" i="1"/>
  <c r="AK357" i="1"/>
  <c r="AK358" i="1"/>
  <c r="W184" i="1"/>
  <c r="W210" i="1"/>
  <c r="X362" i="1"/>
  <c r="X363" i="1"/>
  <c r="X357" i="1"/>
  <c r="X358" i="1"/>
  <c r="AK681" i="1"/>
  <c r="AK676" i="1"/>
  <c r="AK966" i="1"/>
  <c r="AJ291" i="1"/>
  <c r="Y681" i="1"/>
  <c r="Z677" i="1"/>
  <c r="AD1119" i="1"/>
  <c r="AD1120" i="1"/>
  <c r="AD1317" i="1"/>
  <c r="AD1114" i="1"/>
  <c r="AB1164" i="1"/>
  <c r="AB1170" i="1"/>
  <c r="AB1106" i="1"/>
  <c r="AB1256" i="1"/>
  <c r="W1027" i="1"/>
  <c r="W1034" i="1"/>
  <c r="W972" i="1"/>
  <c r="W973" i="1"/>
  <c r="W1253" i="1"/>
  <c r="AG321" i="1"/>
  <c r="Z1547" i="1"/>
  <c r="Z1410" i="1"/>
  <c r="Z1414" i="1"/>
  <c r="AK291" i="1"/>
  <c r="W290" i="1"/>
  <c r="AD1170" i="1"/>
  <c r="AD1106" i="1"/>
  <c r="AD1164" i="1"/>
  <c r="AA1111" i="1"/>
  <c r="AE1108" i="1"/>
  <c r="W362" i="1"/>
  <c r="W363" i="1"/>
  <c r="W357" i="1"/>
  <c r="W358" i="1"/>
  <c r="Y362" i="1"/>
  <c r="Y363" i="1"/>
  <c r="Y357" i="1"/>
  <c r="Y358" i="1"/>
  <c r="AJ315" i="1"/>
  <c r="AI295" i="1"/>
  <c r="AK1351" i="1"/>
  <c r="AL1597" i="1"/>
  <c r="AH296" i="1"/>
  <c r="AJ312" i="1"/>
  <c r="AI293" i="1"/>
  <c r="AJ362" i="1"/>
  <c r="AJ363" i="1"/>
  <c r="AJ357" i="1"/>
  <c r="AJ358" i="1"/>
  <c r="AI362" i="1"/>
  <c r="AI363" i="1"/>
  <c r="AI357" i="1"/>
  <c r="AI358" i="1"/>
  <c r="V184" i="1"/>
  <c r="V210" i="1"/>
  <c r="T1294" i="1"/>
  <c r="T1293" i="1"/>
  <c r="AE1102" i="1"/>
  <c r="AA1164" i="1"/>
  <c r="AA1170" i="1"/>
  <c r="AA1188" i="1"/>
  <c r="AA1106" i="1"/>
  <c r="AA1256" i="1"/>
  <c r="V784" i="1"/>
  <c r="V785" i="1"/>
  <c r="U1581" i="1"/>
  <c r="U1584" i="1"/>
  <c r="U1386" i="1"/>
  <c r="U1387" i="1"/>
  <c r="AJ314" i="1"/>
  <c r="AI299" i="1"/>
  <c r="AC1038" i="1"/>
  <c r="AC696" i="1"/>
  <c r="AI1361" i="1"/>
  <c r="AJ1360" i="1"/>
  <c r="AD1254" i="1"/>
  <c r="AB1119" i="1"/>
  <c r="AB1120" i="1"/>
  <c r="AB1317" i="1"/>
  <c r="AB1114" i="1"/>
  <c r="AG1107" i="1"/>
  <c r="AH1181" i="1"/>
  <c r="Z417" i="1"/>
  <c r="AI206" i="1"/>
  <c r="AH188" i="1"/>
  <c r="AH187" i="1"/>
  <c r="AI203" i="1"/>
  <c r="AG189" i="1"/>
  <c r="AG211" i="1"/>
  <c r="AK393" i="1"/>
  <c r="AJ371" i="1"/>
  <c r="AI372" i="1"/>
  <c r="AI400" i="1"/>
  <c r="AI205" i="1"/>
  <c r="AH192" i="1"/>
  <c r="AK680" i="1"/>
  <c r="AK696" i="1"/>
  <c r="AL689" i="1"/>
  <c r="AL680" i="1"/>
  <c r="AK392" i="1"/>
  <c r="AJ375" i="1"/>
  <c r="AK679" i="1"/>
  <c r="AL688" i="1"/>
  <c r="AL679" i="1"/>
  <c r="AJ311" i="1"/>
  <c r="AI292" i="1"/>
  <c r="AI508" i="1"/>
  <c r="Z289" i="1"/>
  <c r="AB70" i="1"/>
  <c r="AB71" i="1"/>
  <c r="AB63" i="1"/>
  <c r="AA289" i="1"/>
  <c r="AA290" i="1"/>
  <c r="AE290" i="1"/>
  <c r="AA366" i="1"/>
  <c r="AA367" i="1"/>
  <c r="AA792" i="1"/>
  <c r="Z184" i="1"/>
  <c r="Z290" i="1"/>
  <c r="Z690" i="1"/>
  <c r="Z635" i="1"/>
  <c r="AE635" i="1"/>
  <c r="AI366" i="1"/>
  <c r="AI368" i="1"/>
  <c r="AI373" i="1"/>
  <c r="AI399" i="1"/>
  <c r="Y366" i="1"/>
  <c r="Y367" i="1"/>
  <c r="W366" i="1"/>
  <c r="W367" i="1"/>
  <c r="V367" i="1"/>
  <c r="AL399" i="1"/>
  <c r="AJ366" i="1"/>
  <c r="AJ368" i="1"/>
  <c r="AJ373" i="1"/>
  <c r="AJ399" i="1"/>
  <c r="AK366" i="1"/>
  <c r="AK368" i="1"/>
  <c r="AK373" i="1"/>
  <c r="AK399" i="1"/>
  <c r="V962" i="1"/>
  <c r="X366" i="1"/>
  <c r="X367" i="1"/>
  <c r="AB366" i="1"/>
  <c r="AI296" i="1"/>
  <c r="AE677" i="1"/>
  <c r="AL505" i="1"/>
  <c r="AL291" i="1"/>
  <c r="AE1164" i="1"/>
  <c r="AE1170" i="1"/>
  <c r="AJ295" i="1"/>
  <c r="AK315" i="1"/>
  <c r="Y297" i="1"/>
  <c r="Z90" i="1"/>
  <c r="Y70" i="1"/>
  <c r="Z70" i="1"/>
  <c r="AJ299" i="1"/>
  <c r="AK314" i="1"/>
  <c r="AB1045" i="1"/>
  <c r="AB1258" i="1"/>
  <c r="AF1410" i="1"/>
  <c r="AF1414" i="1"/>
  <c r="AF1547" i="1"/>
  <c r="Y210" i="1"/>
  <c r="Y191" i="1"/>
  <c r="Z191" i="1"/>
  <c r="Z190" i="1"/>
  <c r="Z210" i="1"/>
  <c r="AH547" i="1"/>
  <c r="AG548" i="1"/>
  <c r="AG1546" i="1"/>
  <c r="Z423" i="1"/>
  <c r="AB297" i="1"/>
  <c r="AD1160" i="1"/>
  <c r="AD1126" i="1"/>
  <c r="AB1160" i="1"/>
  <c r="AB1126" i="1"/>
  <c r="X1027" i="1"/>
  <c r="X1034" i="1"/>
  <c r="X1253" i="1"/>
  <c r="V963" i="1"/>
  <c r="Z362" i="1"/>
  <c r="Z363" i="1"/>
  <c r="Z357" i="1"/>
  <c r="Z358" i="1"/>
  <c r="AB92" i="1"/>
  <c r="AB74" i="1"/>
  <c r="AJ294" i="1"/>
  <c r="AJ510" i="1"/>
  <c r="AK316" i="1"/>
  <c r="Y1038" i="1"/>
  <c r="Z1038" i="1"/>
  <c r="Z681" i="1"/>
  <c r="Z696" i="1"/>
  <c r="Y696" i="1"/>
  <c r="AA1160" i="1"/>
  <c r="AE1106" i="1"/>
  <c r="AE1160" i="1"/>
  <c r="AA1126" i="1"/>
  <c r="AK312" i="1"/>
  <c r="AJ293" i="1"/>
  <c r="AL1351" i="1"/>
  <c r="AC1160" i="1"/>
  <c r="AC1126" i="1"/>
  <c r="AL681" i="1"/>
  <c r="AL676" i="1"/>
  <c r="AL966" i="1"/>
  <c r="AK1360" i="1"/>
  <c r="AJ1361" i="1"/>
  <c r="Z1598" i="1"/>
  <c r="Z1601" i="1"/>
  <c r="Z1678" i="1"/>
  <c r="Z1683" i="1"/>
  <c r="AF1170" i="1"/>
  <c r="AF1164" i="1"/>
  <c r="AF1106" i="1"/>
  <c r="AF1160" i="1"/>
  <c r="AA1546" i="1"/>
  <c r="AA1547" i="1"/>
  <c r="AA1598" i="1"/>
  <c r="AE1546" i="1"/>
  <c r="AH1107" i="1"/>
  <c r="AH1102" i="1"/>
  <c r="AI1181" i="1"/>
  <c r="W1528" i="1"/>
  <c r="W1308" i="1"/>
  <c r="W1261" i="1"/>
  <c r="W1262" i="1"/>
  <c r="W1304" i="1"/>
  <c r="W1307" i="1"/>
  <c r="W552" i="1"/>
  <c r="AG1125" i="1"/>
  <c r="AG1108" i="1"/>
  <c r="AG1102" i="1"/>
  <c r="AA1119" i="1"/>
  <c r="AA1114" i="1"/>
  <c r="AE1114" i="1"/>
  <c r="AH321" i="1"/>
  <c r="AK1254" i="1"/>
  <c r="AK371" i="1"/>
  <c r="AK372" i="1"/>
  <c r="AK400" i="1"/>
  <c r="AL393" i="1"/>
  <c r="AL371" i="1"/>
  <c r="AH189" i="1"/>
  <c r="AJ372" i="1"/>
  <c r="AJ400" i="1"/>
  <c r="AH211" i="1"/>
  <c r="AL696" i="1"/>
  <c r="AI192" i="1"/>
  <c r="AJ205" i="1"/>
  <c r="AI188" i="1"/>
  <c r="AJ206" i="1"/>
  <c r="AJ203" i="1"/>
  <c r="AI187" i="1"/>
  <c r="AK311" i="1"/>
  <c r="AJ292" i="1"/>
  <c r="AJ508" i="1"/>
  <c r="AK375" i="1"/>
  <c r="AL392" i="1"/>
  <c r="AL375" i="1"/>
  <c r="AB373" i="1"/>
  <c r="AB374" i="1"/>
  <c r="AB367" i="1"/>
  <c r="AE367" i="1"/>
  <c r="AJ297" i="1"/>
  <c r="AJ298" i="1"/>
  <c r="AB210" i="1"/>
  <c r="AB191" i="1"/>
  <c r="AE963" i="1"/>
  <c r="AF635" i="1"/>
  <c r="AE636" i="1"/>
  <c r="AA71" i="1"/>
  <c r="Y507" i="1"/>
  <c r="Y505" i="1"/>
  <c r="Y373" i="1"/>
  <c r="Z373" i="1"/>
  <c r="Z399" i="1"/>
  <c r="W505" i="1"/>
  <c r="W506" i="1"/>
  <c r="V965" i="1"/>
  <c r="V972" i="1"/>
  <c r="V973" i="1"/>
  <c r="V976" i="1"/>
  <c r="AI374" i="1"/>
  <c r="AJ507" i="1"/>
  <c r="AJ564" i="1"/>
  <c r="AJ374" i="1"/>
  <c r="AK374" i="1"/>
  <c r="AK507" i="1"/>
  <c r="AK564" i="1"/>
  <c r="Z367" i="1"/>
  <c r="Z366" i="1"/>
  <c r="AK505" i="1"/>
  <c r="AJ505" i="1"/>
  <c r="Z507" i="1"/>
  <c r="Z564" i="1"/>
  <c r="X505" i="1"/>
  <c r="X506" i="1"/>
  <c r="AB507" i="1"/>
  <c r="AB399" i="1"/>
  <c r="AB505" i="1"/>
  <c r="AE1119" i="1"/>
  <c r="AA1120" i="1"/>
  <c r="AF1126" i="1"/>
  <c r="AB77" i="1"/>
  <c r="AB82" i="1"/>
  <c r="AB83" i="1"/>
  <c r="AE1126" i="1"/>
  <c r="AF690" i="1"/>
  <c r="AG690" i="1"/>
  <c r="AH690" i="1"/>
  <c r="AI690" i="1"/>
  <c r="AJ690" i="1"/>
  <c r="AK690" i="1"/>
  <c r="AL690" i="1"/>
  <c r="AC690" i="1"/>
  <c r="AG1170" i="1"/>
  <c r="AG1106" i="1"/>
  <c r="AG1160" i="1"/>
  <c r="AG1164" i="1"/>
  <c r="AJ296" i="1"/>
  <c r="AL314" i="1"/>
  <c r="AL299" i="1"/>
  <c r="AK299" i="1"/>
  <c r="AL312" i="1"/>
  <c r="AL293" i="1"/>
  <c r="AK293" i="1"/>
  <c r="AF1678" i="1"/>
  <c r="AF1683" i="1"/>
  <c r="AF1598" i="1"/>
  <c r="AH1108" i="1"/>
  <c r="AH1125" i="1"/>
  <c r="AL316" i="1"/>
  <c r="AL294" i="1"/>
  <c r="AL510" i="1"/>
  <c r="AK294" i="1"/>
  <c r="AK510" i="1"/>
  <c r="Z424" i="1"/>
  <c r="V428" i="1"/>
  <c r="AA373" i="1"/>
  <c r="AA399" i="1"/>
  <c r="AL507" i="1"/>
  <c r="AE1547" i="1"/>
  <c r="AE1414" i="1"/>
  <c r="AE1410" i="1"/>
  <c r="AL1360" i="1"/>
  <c r="AK1361" i="1"/>
  <c r="AA1568" i="1"/>
  <c r="AA1601" i="1"/>
  <c r="AL1254" i="1"/>
  <c r="AG1547" i="1"/>
  <c r="AG1598" i="1"/>
  <c r="AG1414" i="1"/>
  <c r="AG1410" i="1"/>
  <c r="AI321" i="1"/>
  <c r="AI547" i="1"/>
  <c r="AH548" i="1"/>
  <c r="AH1546" i="1"/>
  <c r="Y71" i="1"/>
  <c r="Z71" i="1"/>
  <c r="AL315" i="1"/>
  <c r="AL295" i="1"/>
  <c r="AK295" i="1"/>
  <c r="AA1038" i="1"/>
  <c r="AE1038" i="1"/>
  <c r="AE681" i="1"/>
  <c r="AE696" i="1"/>
  <c r="AA297" i="1"/>
  <c r="AA320" i="1"/>
  <c r="Y298" i="1"/>
  <c r="Z298" i="1"/>
  <c r="Y320" i="1"/>
  <c r="Z297" i="1"/>
  <c r="Z320" i="1"/>
  <c r="AA819" i="1"/>
  <c r="AA793" i="1"/>
  <c r="AA428" i="1"/>
  <c r="AA429" i="1"/>
  <c r="AE429" i="1"/>
  <c r="AA791" i="1"/>
  <c r="AE676" i="1"/>
  <c r="AE966" i="1"/>
  <c r="AJ1181" i="1"/>
  <c r="AI1107" i="1"/>
  <c r="X552" i="1"/>
  <c r="AB298" i="1"/>
  <c r="AB320" i="1"/>
  <c r="AK203" i="1"/>
  <c r="AJ187" i="1"/>
  <c r="AK205" i="1"/>
  <c r="AJ192" i="1"/>
  <c r="AI189" i="1"/>
  <c r="AI190" i="1"/>
  <c r="AI211" i="1"/>
  <c r="AL372" i="1"/>
  <c r="AL400" i="1"/>
  <c r="AL374" i="1"/>
  <c r="Y564" i="1"/>
  <c r="Y567" i="1"/>
  <c r="Y533" i="1"/>
  <c r="Y374" i="1"/>
  <c r="Z374" i="1"/>
  <c r="AL311" i="1"/>
  <c r="AL292" i="1"/>
  <c r="AL508" i="1"/>
  <c r="AK292" i="1"/>
  <c r="AK508" i="1"/>
  <c r="AK206" i="1"/>
  <c r="AJ188" i="1"/>
  <c r="AJ320" i="1"/>
  <c r="V1253" i="1"/>
  <c r="V1261" i="1"/>
  <c r="V1262" i="1"/>
  <c r="V1304" i="1"/>
  <c r="V1027" i="1"/>
  <c r="V1034" i="1"/>
  <c r="AG635" i="1"/>
  <c r="AF963" i="1"/>
  <c r="Y399" i="1"/>
  <c r="Y506" i="1"/>
  <c r="AJ506" i="1"/>
  <c r="AJ565" i="1"/>
  <c r="AJ584" i="1"/>
  <c r="AK533" i="1"/>
  <c r="AK506" i="1"/>
  <c r="AK565" i="1"/>
  <c r="AK584" i="1"/>
  <c r="Z533" i="1"/>
  <c r="AB506" i="1"/>
  <c r="AB584" i="1"/>
  <c r="AB564" i="1"/>
  <c r="Z428" i="1"/>
  <c r="Z505" i="1"/>
  <c r="Z506" i="1"/>
  <c r="V429" i="1"/>
  <c r="Z429" i="1"/>
  <c r="V505" i="1"/>
  <c r="V506" i="1"/>
  <c r="AE1678" i="1"/>
  <c r="AE1683" i="1"/>
  <c r="AE1598" i="1"/>
  <c r="AE1601" i="1"/>
  <c r="V979" i="1"/>
  <c r="V985" i="1"/>
  <c r="V986" i="1"/>
  <c r="V1316" i="1"/>
  <c r="V1011" i="1"/>
  <c r="V1013" i="1"/>
  <c r="V1272" i="1"/>
  <c r="Y1029" i="1"/>
  <c r="Z1029" i="1"/>
  <c r="Y682" i="1"/>
  <c r="AA820" i="1"/>
  <c r="AL297" i="1"/>
  <c r="AL296" i="1"/>
  <c r="AA74" i="1"/>
  <c r="AA92" i="1"/>
  <c r="AA191" i="1"/>
  <c r="AL506" i="1"/>
  <c r="AL565" i="1"/>
  <c r="AL584" i="1"/>
  <c r="AL564" i="1"/>
  <c r="AL533" i="1"/>
  <c r="AF1568" i="1"/>
  <c r="AF1601" i="1"/>
  <c r="AA1317" i="1"/>
  <c r="AE1120" i="1"/>
  <c r="AA1045" i="1"/>
  <c r="AA1258" i="1"/>
  <c r="AA374" i="1"/>
  <c r="AA505" i="1"/>
  <c r="AG1601" i="1"/>
  <c r="AG1568" i="1"/>
  <c r="AA298" i="1"/>
  <c r="AH1547" i="1"/>
  <c r="AH1598" i="1"/>
  <c r="AH1414" i="1"/>
  <c r="AH1410" i="1"/>
  <c r="AH1170" i="1"/>
  <c r="AH1106" i="1"/>
  <c r="AH1160" i="1"/>
  <c r="AH1164" i="1"/>
  <c r="AB1314" i="1"/>
  <c r="AB141" i="1"/>
  <c r="AJ547" i="1"/>
  <c r="AI548" i="1"/>
  <c r="AI1546" i="1"/>
  <c r="AG1126" i="1"/>
  <c r="AJ321" i="1"/>
  <c r="AB79" i="1"/>
  <c r="AB80" i="1"/>
  <c r="AI1125" i="1"/>
  <c r="AI1102" i="1"/>
  <c r="AI1108" i="1"/>
  <c r="AA1254" i="1"/>
  <c r="Y74" i="1"/>
  <c r="Z74" i="1"/>
  <c r="Y92" i="1"/>
  <c r="Z92" i="1"/>
  <c r="AL1361" i="1"/>
  <c r="AK297" i="1"/>
  <c r="AK1181" i="1"/>
  <c r="AJ1107" i="1"/>
  <c r="AK296" i="1"/>
  <c r="AK192" i="1"/>
  <c r="AL205" i="1"/>
  <c r="AL192" i="1"/>
  <c r="AK188" i="1"/>
  <c r="AL206" i="1"/>
  <c r="AL188" i="1"/>
  <c r="AJ189" i="1"/>
  <c r="AJ190" i="1"/>
  <c r="AI210" i="1"/>
  <c r="AI191" i="1"/>
  <c r="AL203" i="1"/>
  <c r="AL187" i="1"/>
  <c r="AK187" i="1"/>
  <c r="Z77" i="1"/>
  <c r="Z82" i="1"/>
  <c r="Z83" i="1"/>
  <c r="Z141" i="1"/>
  <c r="V1528" i="1"/>
  <c r="AJ211" i="1"/>
  <c r="V1308" i="1"/>
  <c r="AJ567" i="1"/>
  <c r="AG963" i="1"/>
  <c r="AH635" i="1"/>
  <c r="V1307" i="1"/>
  <c r="AA1029" i="1"/>
  <c r="AA682" i="1"/>
  <c r="V552" i="1"/>
  <c r="AK567" i="1"/>
  <c r="AL567" i="1"/>
  <c r="AB567" i="1"/>
  <c r="AH1601" i="1"/>
  <c r="AH1568" i="1"/>
  <c r="Y683" i="1"/>
  <c r="Z683" i="1"/>
  <c r="Y695" i="1"/>
  <c r="Z682" i="1"/>
  <c r="Z695" i="1"/>
  <c r="Z725" i="1"/>
  <c r="AK547" i="1"/>
  <c r="AJ548" i="1"/>
  <c r="AJ1546" i="1"/>
  <c r="AH1126" i="1"/>
  <c r="AE1317" i="1"/>
  <c r="AE1122" i="1"/>
  <c r="AJ1102" i="1"/>
  <c r="AJ1125" i="1"/>
  <c r="AJ1108" i="1"/>
  <c r="AA77" i="1"/>
  <c r="AA79" i="1"/>
  <c r="AA80" i="1"/>
  <c r="AA82" i="1"/>
  <c r="AA83" i="1"/>
  <c r="AL1181" i="1"/>
  <c r="AL1107" i="1"/>
  <c r="AK1107" i="1"/>
  <c r="AK321" i="1"/>
  <c r="AI1164" i="1"/>
  <c r="AI1170" i="1"/>
  <c r="AI1106" i="1"/>
  <c r="AI1160" i="1"/>
  <c r="AA507" i="1"/>
  <c r="AL320" i="1"/>
  <c r="AL298" i="1"/>
  <c r="V1296" i="1"/>
  <c r="V1297" i="1"/>
  <c r="V1305" i="1"/>
  <c r="V1273" i="1"/>
  <c r="V1278" i="1"/>
  <c r="V106" i="1"/>
  <c r="V108" i="1"/>
  <c r="Z567" i="1"/>
  <c r="AL321" i="1"/>
  <c r="Y82" i="1"/>
  <c r="Y83" i="1"/>
  <c r="Y77" i="1"/>
  <c r="V1326" i="1"/>
  <c r="V1325" i="1"/>
  <c r="V1319" i="1"/>
  <c r="V1327" i="1"/>
  <c r="V1324" i="1"/>
  <c r="V981" i="1"/>
  <c r="V982" i="1"/>
  <c r="AK320" i="1"/>
  <c r="AK298" i="1"/>
  <c r="AI1547" i="1"/>
  <c r="AI1598" i="1"/>
  <c r="AI1414" i="1"/>
  <c r="AI1410" i="1"/>
  <c r="AE1254" i="1"/>
  <c r="AL211" i="1"/>
  <c r="AJ210" i="1"/>
  <c r="AJ191" i="1"/>
  <c r="AK190" i="1"/>
  <c r="AK189" i="1"/>
  <c r="AK211" i="1"/>
  <c r="AL189" i="1"/>
  <c r="AL190" i="1"/>
  <c r="AA683" i="1"/>
  <c r="AA695" i="1"/>
  <c r="AH963" i="1"/>
  <c r="AI635" i="1"/>
  <c r="Y79" i="1"/>
  <c r="Z79" i="1"/>
  <c r="Z80" i="1"/>
  <c r="AA564" i="1"/>
  <c r="AA567" i="1"/>
  <c r="AA506" i="1"/>
  <c r="Z724" i="1"/>
  <c r="Z726" i="1"/>
  <c r="V1279" i="1"/>
  <c r="V1306" i="1"/>
  <c r="AK1125" i="1"/>
  <c r="AK1108" i="1"/>
  <c r="AK1102" i="1"/>
  <c r="AJ1164" i="1"/>
  <c r="AJ1170" i="1"/>
  <c r="AJ1106" i="1"/>
  <c r="AJ1160" i="1"/>
  <c r="AL1102" i="1"/>
  <c r="AL1125" i="1"/>
  <c r="AL1108" i="1"/>
  <c r="AA1314" i="1"/>
  <c r="AA141" i="1"/>
  <c r="AJ1547" i="1"/>
  <c r="AJ1598" i="1"/>
  <c r="AJ1414" i="1"/>
  <c r="AJ1410" i="1"/>
  <c r="AI1601" i="1"/>
  <c r="AI1568" i="1"/>
  <c r="AI1126" i="1"/>
  <c r="AL547" i="1"/>
  <c r="AL548" i="1"/>
  <c r="AL1546" i="1"/>
  <c r="AK548" i="1"/>
  <c r="AK1546" i="1"/>
  <c r="Y1314" i="1"/>
  <c r="Y141" i="1"/>
  <c r="V1283" i="1"/>
  <c r="V1285" i="1"/>
  <c r="V1281" i="1"/>
  <c r="AL191" i="1"/>
  <c r="AL210" i="1"/>
  <c r="AK191" i="1"/>
  <c r="AK210" i="1"/>
  <c r="AI963" i="1"/>
  <c r="AJ635" i="1"/>
  <c r="AL1170" i="1"/>
  <c r="AL1164" i="1"/>
  <c r="AL1106" i="1"/>
  <c r="AL1160" i="1"/>
  <c r="Z91" i="1"/>
  <c r="AJ1126" i="1"/>
  <c r="Z727" i="1"/>
  <c r="AK1547" i="1"/>
  <c r="AK1598" i="1"/>
  <c r="AK1410" i="1"/>
  <c r="AK1414" i="1"/>
  <c r="AJ1568" i="1"/>
  <c r="AJ1601" i="1"/>
  <c r="Y80" i="1"/>
  <c r="AL1547" i="1"/>
  <c r="AL1598" i="1"/>
  <c r="AL1410" i="1"/>
  <c r="AL1414" i="1"/>
  <c r="V1571" i="1"/>
  <c r="V1567" i="1"/>
  <c r="V1566" i="1"/>
  <c r="AK1164" i="1"/>
  <c r="AK1170" i="1"/>
  <c r="AK1106" i="1"/>
  <c r="AK1160" i="1"/>
  <c r="V1286" i="1"/>
  <c r="AK635" i="1"/>
  <c r="AJ963" i="1"/>
  <c r="AJ965" i="1"/>
  <c r="AJ636" i="1"/>
  <c r="AJ682" i="1"/>
  <c r="V1570" i="1"/>
  <c r="Z1314" i="1"/>
  <c r="AL1601" i="1"/>
  <c r="AL1568" i="1"/>
  <c r="AK1601" i="1"/>
  <c r="AK1568" i="1"/>
  <c r="AL1126" i="1"/>
  <c r="V1529" i="1"/>
  <c r="V1530" i="1"/>
  <c r="AK1126" i="1"/>
  <c r="AJ695" i="1"/>
  <c r="AJ683" i="1"/>
  <c r="AK963" i="1"/>
  <c r="AK965" i="1"/>
  <c r="AL635" i="1"/>
  <c r="AK636" i="1"/>
  <c r="AK682" i="1"/>
  <c r="V1573" i="1"/>
  <c r="AK695" i="1"/>
  <c r="AK683" i="1"/>
  <c r="AL963" i="1"/>
  <c r="AL965" i="1"/>
  <c r="AL636" i="1"/>
  <c r="AL682" i="1"/>
  <c r="AL683" i="1"/>
  <c r="AL695" i="1"/>
  <c r="P93" i="29"/>
  <c r="Q93" i="29"/>
  <c r="R93" i="29"/>
  <c r="H93" i="29"/>
  <c r="I93" i="29"/>
  <c r="J93" i="29"/>
  <c r="H88" i="29"/>
  <c r="P88" i="29"/>
  <c r="I88" i="29"/>
  <c r="J152" i="29"/>
  <c r="AP151" i="29"/>
  <c r="AS150" i="29"/>
  <c r="AP150" i="29"/>
  <c r="AQ146" i="29"/>
  <c r="AQ150" i="29"/>
  <c r="I143" i="29"/>
  <c r="J148" i="29"/>
  <c r="J153" i="29"/>
  <c r="AU141" i="29"/>
  <c r="AT141" i="29"/>
  <c r="AU139" i="29"/>
  <c r="AT139" i="29"/>
  <c r="AR139" i="29"/>
  <c r="AQ139" i="29"/>
  <c r="AP139" i="29"/>
  <c r="AO139" i="29"/>
  <c r="AN139" i="29"/>
  <c r="AM139" i="29"/>
  <c r="AL139" i="29"/>
  <c r="AQ137" i="29"/>
  <c r="AQ141" i="29"/>
  <c r="AP136" i="29"/>
  <c r="AP140" i="29"/>
  <c r="AL136" i="29"/>
  <c r="AL140" i="29"/>
  <c r="L116" i="29"/>
  <c r="AO115" i="29"/>
  <c r="AO137" i="29"/>
  <c r="AO141" i="29"/>
  <c r="AN115" i="29"/>
  <c r="AN137" i="29"/>
  <c r="AN141" i="29"/>
  <c r="AM115" i="29"/>
  <c r="AM137" i="29"/>
  <c r="AM141" i="29"/>
  <c r="AL115" i="29"/>
  <c r="AM116" i="29"/>
  <c r="AM136" i="29"/>
  <c r="AM140" i="29"/>
  <c r="M113" i="29"/>
  <c r="N113" i="29" s="1"/>
  <c r="I113" i="29"/>
  <c r="J113" i="29"/>
  <c r="M112" i="29"/>
  <c r="N112" i="29"/>
  <c r="I112" i="29"/>
  <c r="J112" i="29"/>
  <c r="M111" i="29"/>
  <c r="N111" i="29" s="1"/>
  <c r="I111" i="29"/>
  <c r="J111" i="29"/>
  <c r="M110" i="29"/>
  <c r="N110" i="29"/>
  <c r="M109" i="29"/>
  <c r="N109" i="29"/>
  <c r="J109" i="29"/>
  <c r="I109" i="29"/>
  <c r="M108" i="29"/>
  <c r="N108" i="29" s="1"/>
  <c r="I108" i="29"/>
  <c r="J108" i="29"/>
  <c r="M88" i="29"/>
  <c r="N88" i="29"/>
  <c r="N84" i="29"/>
  <c r="N97" i="29" s="1"/>
  <c r="M84" i="29"/>
  <c r="R83" i="29"/>
  <c r="R92" i="29"/>
  <c r="Q83" i="29"/>
  <c r="Q92" i="29"/>
  <c r="P83" i="29"/>
  <c r="P92" i="29"/>
  <c r="N83" i="29"/>
  <c r="N89" i="29" s="1"/>
  <c r="M83" i="29"/>
  <c r="M39" i="29"/>
  <c r="N39" i="29"/>
  <c r="J39" i="29"/>
  <c r="I39" i="29"/>
  <c r="Y20" i="29" s="1"/>
  <c r="H39" i="29"/>
  <c r="M38" i="29"/>
  <c r="N38" i="29"/>
  <c r="J38" i="29"/>
  <c r="I38" i="29"/>
  <c r="Y19" i="29" s="1"/>
  <c r="H38" i="29"/>
  <c r="M37" i="29"/>
  <c r="N37" i="29" s="1"/>
  <c r="J37" i="29"/>
  <c r="I37" i="29"/>
  <c r="H37" i="29"/>
  <c r="M36" i="29"/>
  <c r="N36" i="29" s="1"/>
  <c r="J36" i="29"/>
  <c r="I36" i="29"/>
  <c r="Y18" i="29" s="1"/>
  <c r="H36" i="29"/>
  <c r="B22" i="29"/>
  <c r="B24" i="29"/>
  <c r="U19" i="29"/>
  <c r="U18" i="29"/>
  <c r="N18" i="29"/>
  <c r="M18" i="29"/>
  <c r="L18" i="29"/>
  <c r="N17" i="29"/>
  <c r="M17" i="29"/>
  <c r="AC26" i="29"/>
  <c r="L17" i="29"/>
  <c r="AB17" i="29" s="1"/>
  <c r="P48" i="28"/>
  <c r="E10" i="29"/>
  <c r="R84" i="29"/>
  <c r="L22" i="29"/>
  <c r="Q84" i="29"/>
  <c r="H3" i="29"/>
  <c r="P84" i="29"/>
  <c r="H22" i="29"/>
  <c r="F3" i="29"/>
  <c r="E9" i="29"/>
  <c r="P22" i="29"/>
  <c r="P89" i="29"/>
  <c r="P100" i="29"/>
  <c r="Q89" i="29"/>
  <c r="U17" i="29"/>
  <c r="U21" i="29" s="1"/>
  <c r="I144" i="29"/>
  <c r="K148" i="29"/>
  <c r="K153" i="29"/>
  <c r="J156" i="29"/>
  <c r="AR141" i="29"/>
  <c r="AZ141" i="29"/>
  <c r="BA139" i="29"/>
  <c r="J144" i="29"/>
  <c r="K149" i="29"/>
  <c r="K154" i="29"/>
  <c r="R26" i="29"/>
  <c r="R24" i="29"/>
  <c r="J88" i="29"/>
  <c r="L23" i="29"/>
  <c r="P97" i="29"/>
  <c r="P96" i="29"/>
  <c r="P90" i="29"/>
  <c r="AZ137" i="29"/>
  <c r="BA135" i="29"/>
  <c r="Q97" i="29"/>
  <c r="Q90" i="29"/>
  <c r="Q88" i="29"/>
  <c r="R88" i="29"/>
  <c r="R96" i="29"/>
  <c r="R89" i="29"/>
  <c r="P23" i="29"/>
  <c r="Q22" i="29"/>
  <c r="E12" i="29"/>
  <c r="P25" i="29"/>
  <c r="P24" i="29"/>
  <c r="P26" i="29"/>
  <c r="R97" i="29"/>
  <c r="R90" i="29"/>
  <c r="Q24" i="29"/>
  <c r="Q26" i="29"/>
  <c r="AN116" i="29"/>
  <c r="AL137" i="29"/>
  <c r="AL141" i="29"/>
  <c r="AP115" i="29"/>
  <c r="AP137" i="29"/>
  <c r="AB27" i="29"/>
  <c r="M90" i="29"/>
  <c r="M97" i="29"/>
  <c r="M96" i="29"/>
  <c r="M89" i="29"/>
  <c r="AD26" i="29"/>
  <c r="N90" i="29"/>
  <c r="J143" i="29"/>
  <c r="J149" i="29"/>
  <c r="J154" i="29" s="1"/>
  <c r="J157" i="29" s="1"/>
  <c r="L25" i="29"/>
  <c r="N96" i="29"/>
  <c r="M19" i="29"/>
  <c r="L26" i="29"/>
  <c r="L24" i="29"/>
  <c r="AQ147" i="29"/>
  <c r="Q102" i="29"/>
  <c r="Q100" i="29"/>
  <c r="Q101" i="29"/>
  <c r="AP141" i="29"/>
  <c r="AQ136" i="29"/>
  <c r="AR146" i="29"/>
  <c r="AQ151" i="29"/>
  <c r="Q23" i="29"/>
  <c r="R22" i="29"/>
  <c r="Q96" i="29"/>
  <c r="Q25" i="29"/>
  <c r="P31" i="29"/>
  <c r="P30" i="29"/>
  <c r="P29" i="29"/>
  <c r="AN136" i="29"/>
  <c r="AN140" i="29"/>
  <c r="AO116" i="29"/>
  <c r="AO136" i="29"/>
  <c r="AO140" i="29"/>
  <c r="P101" i="29"/>
  <c r="P102" i="29"/>
  <c r="R102" i="29"/>
  <c r="R100" i="29"/>
  <c r="R101" i="29"/>
  <c r="Q29" i="29"/>
  <c r="Q31" i="29"/>
  <c r="Q30" i="29"/>
  <c r="AS147" i="29"/>
  <c r="AR150" i="29"/>
  <c r="AS151" i="29"/>
  <c r="AQ140" i="29"/>
  <c r="AR140" i="29"/>
  <c r="AS141" i="29"/>
  <c r="AT140" i="29"/>
  <c r="AU140" i="29"/>
  <c r="AV141" i="29"/>
  <c r="AR136" i="29"/>
  <c r="AS137" i="29"/>
  <c r="AT136" i="29"/>
  <c r="AU136" i="29"/>
  <c r="AV137" i="29"/>
  <c r="R23" i="29"/>
  <c r="R25" i="29"/>
  <c r="R31" i="29"/>
  <c r="R30" i="29"/>
  <c r="R29" i="29"/>
  <c r="J98" i="28"/>
  <c r="AP97" i="28"/>
  <c r="AS96" i="28"/>
  <c r="AP96" i="28"/>
  <c r="AQ92" i="28"/>
  <c r="AQ96" i="28"/>
  <c r="I89" i="28"/>
  <c r="J94" i="28"/>
  <c r="J99" i="28"/>
  <c r="AU87" i="28"/>
  <c r="AT87" i="28"/>
  <c r="AU85" i="28"/>
  <c r="AT85" i="28"/>
  <c r="AR85" i="28"/>
  <c r="AQ85" i="28"/>
  <c r="AP85" i="28"/>
  <c r="AO85" i="28"/>
  <c r="AN85" i="28"/>
  <c r="AM85" i="28"/>
  <c r="AL85" i="28"/>
  <c r="AQ83" i="28"/>
  <c r="AQ87" i="28"/>
  <c r="AN83" i="28"/>
  <c r="AN87" i="28"/>
  <c r="AP82" i="28"/>
  <c r="AP86" i="28"/>
  <c r="AL82" i="28"/>
  <c r="AL86" i="28"/>
  <c r="L78" i="28"/>
  <c r="AO77" i="28"/>
  <c r="AO83" i="28"/>
  <c r="AO87" i="28"/>
  <c r="AN77" i="28"/>
  <c r="AM77" i="28"/>
  <c r="AM83" i="28"/>
  <c r="AM87" i="28"/>
  <c r="AL77" i="28"/>
  <c r="AL83" i="28"/>
  <c r="AL87" i="28"/>
  <c r="M75" i="28"/>
  <c r="N75" i="28" s="1"/>
  <c r="I75" i="28"/>
  <c r="J75" i="28"/>
  <c r="M74" i="28"/>
  <c r="N74" i="28"/>
  <c r="I74" i="28"/>
  <c r="J74" i="28"/>
  <c r="M73" i="28"/>
  <c r="N73" i="28" s="1"/>
  <c r="I73" i="28"/>
  <c r="J73" i="28"/>
  <c r="M72" i="28"/>
  <c r="N72" i="28"/>
  <c r="M71" i="28"/>
  <c r="N71" i="28"/>
  <c r="J71" i="28"/>
  <c r="I71" i="28"/>
  <c r="M70" i="28"/>
  <c r="N70" i="28" s="1"/>
  <c r="I70" i="28"/>
  <c r="J70" i="28"/>
  <c r="M69" i="28"/>
  <c r="N69" i="28"/>
  <c r="I69" i="28"/>
  <c r="J69" i="28"/>
  <c r="M68" i="28"/>
  <c r="N68" i="28" s="1"/>
  <c r="I68" i="28"/>
  <c r="J68" i="28"/>
  <c r="V61" i="28"/>
  <c r="U61" i="28"/>
  <c r="M53" i="28"/>
  <c r="N53" i="28"/>
  <c r="N49" i="28"/>
  <c r="N57" i="28" s="1"/>
  <c r="M49" i="28"/>
  <c r="AC53" i="28" s="1"/>
  <c r="H49" i="28"/>
  <c r="AB44" i="28"/>
  <c r="N48" i="28"/>
  <c r="M48" i="28"/>
  <c r="AC52" i="28" s="1"/>
  <c r="AC58" i="28"/>
  <c r="M39" i="28"/>
  <c r="N39" i="28"/>
  <c r="J39" i="28"/>
  <c r="I39" i="28"/>
  <c r="Y20" i="28"/>
  <c r="H39" i="28"/>
  <c r="M38" i="28"/>
  <c r="N38" i="28"/>
  <c r="J38" i="28"/>
  <c r="I38" i="28"/>
  <c r="Y19" i="28" s="1"/>
  <c r="H38" i="28"/>
  <c r="M37" i="28"/>
  <c r="N37" i="28" s="1"/>
  <c r="J37" i="28"/>
  <c r="I37" i="28"/>
  <c r="H37" i="28"/>
  <c r="M36" i="28"/>
  <c r="N36" i="28" s="1"/>
  <c r="J36" i="28"/>
  <c r="I36" i="28"/>
  <c r="Y18" i="28" s="1"/>
  <c r="H36" i="28"/>
  <c r="B22" i="28"/>
  <c r="B24" i="28"/>
  <c r="U19" i="28"/>
  <c r="U18" i="28"/>
  <c r="N18" i="28"/>
  <c r="M18" i="28"/>
  <c r="L18" i="28"/>
  <c r="N17" i="28"/>
  <c r="M17" i="28"/>
  <c r="AC26" i="28" s="1"/>
  <c r="L17" i="28"/>
  <c r="J98" i="10"/>
  <c r="AP97" i="10"/>
  <c r="AS96" i="10"/>
  <c r="AP96" i="10"/>
  <c r="AQ92" i="10"/>
  <c r="AQ96" i="10"/>
  <c r="I89" i="10"/>
  <c r="J94" i="10"/>
  <c r="J99" i="10"/>
  <c r="AU87" i="10"/>
  <c r="AT87" i="10"/>
  <c r="AU85" i="10"/>
  <c r="AT85" i="10"/>
  <c r="AR85" i="10"/>
  <c r="AQ85" i="10"/>
  <c r="AP85" i="10"/>
  <c r="AO85" i="10"/>
  <c r="AN85" i="10"/>
  <c r="AM85" i="10"/>
  <c r="AL85" i="10"/>
  <c r="AQ83" i="10"/>
  <c r="AQ87" i="10"/>
  <c r="AP82" i="10"/>
  <c r="AP86" i="10"/>
  <c r="AL82" i="10"/>
  <c r="AL86" i="10"/>
  <c r="L78" i="10"/>
  <c r="AO77" i="10"/>
  <c r="AO83" i="10"/>
  <c r="AO87" i="10"/>
  <c r="AN77" i="10"/>
  <c r="AN83" i="10"/>
  <c r="AN87" i="10"/>
  <c r="AM77" i="10"/>
  <c r="AM83" i="10"/>
  <c r="AM87" i="10"/>
  <c r="AL77" i="10"/>
  <c r="AL83" i="10"/>
  <c r="AL87" i="10"/>
  <c r="M75" i="10"/>
  <c r="N75" i="10"/>
  <c r="I75" i="10"/>
  <c r="J75" i="10"/>
  <c r="M74" i="10"/>
  <c r="N74" i="10"/>
  <c r="I74" i="10"/>
  <c r="J74" i="10"/>
  <c r="M73" i="10"/>
  <c r="N73" i="10"/>
  <c r="I73" i="10"/>
  <c r="J73" i="10"/>
  <c r="M72" i="10"/>
  <c r="N72" i="10"/>
  <c r="M71" i="10"/>
  <c r="N71" i="10"/>
  <c r="J71" i="10"/>
  <c r="I71" i="10"/>
  <c r="M70" i="10"/>
  <c r="N70" i="10" s="1"/>
  <c r="I70" i="10"/>
  <c r="J70" i="10"/>
  <c r="M69" i="10"/>
  <c r="N69" i="10"/>
  <c r="I69" i="10"/>
  <c r="J69" i="10"/>
  <c r="M68" i="10"/>
  <c r="N68" i="10" s="1"/>
  <c r="I68" i="10"/>
  <c r="J68" i="10"/>
  <c r="V61" i="10"/>
  <c r="U61" i="10"/>
  <c r="P53" i="28"/>
  <c r="H53" i="28"/>
  <c r="E9" i="28"/>
  <c r="E10" i="28"/>
  <c r="F3" i="28"/>
  <c r="H3" i="28"/>
  <c r="P49" i="28"/>
  <c r="L22" i="28"/>
  <c r="H22" i="28"/>
  <c r="Q17" i="10"/>
  <c r="P22" i="28"/>
  <c r="Q18" i="28"/>
  <c r="R18" i="28"/>
  <c r="R49" i="28"/>
  <c r="Q49" i="28"/>
  <c r="P18" i="28"/>
  <c r="R17" i="10"/>
  <c r="AD58" i="28"/>
  <c r="J89" i="28"/>
  <c r="J95" i="28" s="1"/>
  <c r="J100" i="28" s="1"/>
  <c r="J103" i="28" s="1"/>
  <c r="H78" i="28"/>
  <c r="H18" i="28"/>
  <c r="H9" i="28"/>
  <c r="H10" i="28" s="1"/>
  <c r="H55" i="28"/>
  <c r="Q22" i="28"/>
  <c r="Q25" i="28"/>
  <c r="AF44" i="28"/>
  <c r="P57" i="28"/>
  <c r="P56" i="28"/>
  <c r="P55" i="28"/>
  <c r="AB53" i="28"/>
  <c r="P26" i="28"/>
  <c r="P25" i="28"/>
  <c r="P24" i="28"/>
  <c r="R57" i="28"/>
  <c r="R55" i="28"/>
  <c r="Q57" i="28"/>
  <c r="Q55" i="28"/>
  <c r="Q48" i="28"/>
  <c r="J90" i="28"/>
  <c r="K95" i="28"/>
  <c r="K100" i="28"/>
  <c r="Q26" i="28"/>
  <c r="Q19" i="28"/>
  <c r="Q24" i="28"/>
  <c r="H57" i="28"/>
  <c r="Q53" i="28"/>
  <c r="R53" i="28"/>
  <c r="R56" i="28"/>
  <c r="R48" i="28"/>
  <c r="AD51" i="28"/>
  <c r="R26" i="28"/>
  <c r="R19" i="28"/>
  <c r="R24" i="28"/>
  <c r="L23" i="28"/>
  <c r="M22" i="28"/>
  <c r="I53" i="28"/>
  <c r="E12" i="28"/>
  <c r="AZ83" i="28"/>
  <c r="BA81" i="28"/>
  <c r="AD26" i="28"/>
  <c r="AD27" i="28"/>
  <c r="L26" i="28"/>
  <c r="L24" i="28"/>
  <c r="AM78" i="28"/>
  <c r="L25" i="28"/>
  <c r="N24" i="28"/>
  <c r="N19" i="28"/>
  <c r="M26" i="28"/>
  <c r="AB27" i="28"/>
  <c r="M56" i="28"/>
  <c r="L19" i="28"/>
  <c r="M24" i="28"/>
  <c r="N26" i="28"/>
  <c r="AC27" i="28"/>
  <c r="N54" i="28"/>
  <c r="N60" i="28" s="1"/>
  <c r="AP77" i="28"/>
  <c r="AP83" i="28"/>
  <c r="AQ93" i="28"/>
  <c r="AM78" i="10"/>
  <c r="AP77" i="10"/>
  <c r="AP83" i="10"/>
  <c r="AQ93" i="10"/>
  <c r="AF18" i="28"/>
  <c r="H26" i="28"/>
  <c r="H24" i="28"/>
  <c r="H25" i="28"/>
  <c r="AB18" i="28"/>
  <c r="N61" i="28"/>
  <c r="N62" i="28"/>
  <c r="AR92" i="28"/>
  <c r="AQ97" i="28"/>
  <c r="AP87" i="28"/>
  <c r="AQ82" i="28"/>
  <c r="J53" i="28"/>
  <c r="AD52" i="28"/>
  <c r="L31" i="28"/>
  <c r="L30" i="28"/>
  <c r="L29" i="28"/>
  <c r="Q54" i="28"/>
  <c r="Q56" i="28"/>
  <c r="AM82" i="28"/>
  <c r="AM86" i="28"/>
  <c r="AN78" i="28"/>
  <c r="AC51" i="28"/>
  <c r="R54" i="28"/>
  <c r="R22" i="28"/>
  <c r="Q23" i="28"/>
  <c r="AP87" i="10"/>
  <c r="AQ82" i="10"/>
  <c r="AR92" i="10"/>
  <c r="AQ97" i="10"/>
  <c r="AM82" i="10"/>
  <c r="AM86" i="10"/>
  <c r="AN78" i="10"/>
  <c r="Q49" i="10"/>
  <c r="R49" i="10"/>
  <c r="P49" i="10"/>
  <c r="AS93" i="28"/>
  <c r="AR96" i="28"/>
  <c r="AS97" i="28"/>
  <c r="Q30" i="28"/>
  <c r="Q31" i="28"/>
  <c r="Q29" i="28"/>
  <c r="R23" i="28"/>
  <c r="R25" i="28"/>
  <c r="R62" i="28"/>
  <c r="R61" i="28"/>
  <c r="R60" i="28"/>
  <c r="AN82" i="28"/>
  <c r="AN86" i="28"/>
  <c r="AO78" i="28"/>
  <c r="AO82" i="28"/>
  <c r="AO86" i="28"/>
  <c r="Q62" i="28"/>
  <c r="Q61" i="28"/>
  <c r="Q60" i="28"/>
  <c r="AQ86" i="28"/>
  <c r="AR86" i="28"/>
  <c r="AR82" i="28"/>
  <c r="AS83" i="28"/>
  <c r="AT82" i="28"/>
  <c r="AU82" i="28"/>
  <c r="AV83" i="28"/>
  <c r="P56" i="10"/>
  <c r="AB53" i="10"/>
  <c r="Q56" i="10"/>
  <c r="R56" i="10"/>
  <c r="AS93" i="10"/>
  <c r="AR96" i="10"/>
  <c r="AS97" i="10"/>
  <c r="AQ86" i="10"/>
  <c r="AR86" i="10"/>
  <c r="AR82" i="10"/>
  <c r="AS83" i="10"/>
  <c r="AT82" i="10"/>
  <c r="AU82" i="10"/>
  <c r="AV83" i="10"/>
  <c r="AN82" i="10"/>
  <c r="AN86" i="10"/>
  <c r="AO78" i="10"/>
  <c r="AO82" i="10"/>
  <c r="AO86" i="10"/>
  <c r="N49" i="10"/>
  <c r="M49" i="10"/>
  <c r="H49" i="10"/>
  <c r="AF44" i="10"/>
  <c r="N48" i="10"/>
  <c r="M48" i="10"/>
  <c r="M39" i="10"/>
  <c r="N39" i="10"/>
  <c r="J39" i="10"/>
  <c r="I39" i="10"/>
  <c r="Y20" i="10" s="1"/>
  <c r="H39" i="10"/>
  <c r="M38" i="10"/>
  <c r="N38" i="10"/>
  <c r="J38" i="10"/>
  <c r="I38" i="10"/>
  <c r="Y19" i="10" s="1"/>
  <c r="H38" i="10"/>
  <c r="M37" i="10"/>
  <c r="N37" i="10"/>
  <c r="J37" i="10"/>
  <c r="I37" i="10"/>
  <c r="H37" i="10"/>
  <c r="M36" i="10"/>
  <c r="N36" i="10"/>
  <c r="J36" i="10"/>
  <c r="I36" i="10"/>
  <c r="H36" i="10"/>
  <c r="P22" i="10"/>
  <c r="R30" i="28"/>
  <c r="R31" i="28"/>
  <c r="R29" i="28"/>
  <c r="I88" i="10"/>
  <c r="I94" i="10"/>
  <c r="I99" i="10"/>
  <c r="H54" i="10"/>
  <c r="H78" i="10"/>
  <c r="H56" i="10"/>
  <c r="AB44" i="10"/>
  <c r="M54" i="10"/>
  <c r="J89" i="10"/>
  <c r="J95" i="10" s="1"/>
  <c r="J100" i="10" s="1"/>
  <c r="J103" i="10" s="1"/>
  <c r="AC58" i="10"/>
  <c r="AB43" i="10"/>
  <c r="N54" i="10"/>
  <c r="AD58" i="10"/>
  <c r="AD53" i="10"/>
  <c r="N56" i="10"/>
  <c r="L22" i="10"/>
  <c r="H62" i="10"/>
  <c r="H61" i="10"/>
  <c r="H60" i="10"/>
  <c r="M62" i="10"/>
  <c r="H22" i="10"/>
  <c r="B22" i="10"/>
  <c r="B24" i="10"/>
  <c r="U19" i="10"/>
  <c r="Y18" i="10"/>
  <c r="U18" i="10"/>
  <c r="Q18" i="10"/>
  <c r="P18" i="10"/>
  <c r="R18" i="10"/>
  <c r="P25" i="10"/>
  <c r="Q22" i="10"/>
  <c r="Q25" i="10"/>
  <c r="N18" i="10"/>
  <c r="M18" i="10"/>
  <c r="M22" i="10" s="1"/>
  <c r="L18" i="10"/>
  <c r="L25" i="10" s="1"/>
  <c r="H18" i="10"/>
  <c r="AF18" i="10"/>
  <c r="Q48" i="10"/>
  <c r="Q19" i="10"/>
  <c r="R48" i="10"/>
  <c r="R19" i="10"/>
  <c r="H25" i="10"/>
  <c r="AB18" i="10"/>
  <c r="AC27" i="10"/>
  <c r="AD27" i="10"/>
  <c r="Q23" i="10"/>
  <c r="R22" i="10"/>
  <c r="N17" i="10"/>
  <c r="M17" i="10"/>
  <c r="L17" i="10"/>
  <c r="L23" i="10" s="1"/>
  <c r="E10" i="10"/>
  <c r="H23" i="10"/>
  <c r="H29" i="10"/>
  <c r="P17" i="10"/>
  <c r="AF17" i="10"/>
  <c r="P57" i="10"/>
  <c r="Q57" i="10"/>
  <c r="R57" i="10"/>
  <c r="N57" i="10"/>
  <c r="H57" i="10"/>
  <c r="P26" i="10"/>
  <c r="Q26" i="10"/>
  <c r="R26" i="10"/>
  <c r="N26" i="10"/>
  <c r="H26" i="10"/>
  <c r="R23" i="10"/>
  <c r="R25" i="10"/>
  <c r="J90" i="10"/>
  <c r="K95" i="10"/>
  <c r="K100" i="10"/>
  <c r="Q54" i="10"/>
  <c r="AC51" i="10"/>
  <c r="AC52" i="10"/>
  <c r="Q29" i="10"/>
  <c r="Q31" i="10"/>
  <c r="Q30" i="10"/>
  <c r="R54" i="10"/>
  <c r="AD52" i="10"/>
  <c r="AD51" i="10"/>
  <c r="AD26" i="10"/>
  <c r="N19" i="10"/>
  <c r="H19" i="10"/>
  <c r="H9" i="10"/>
  <c r="H10" i="10" s="1"/>
  <c r="E9" i="10"/>
  <c r="AB26" i="10"/>
  <c r="H30" i="10"/>
  <c r="H31" i="10"/>
  <c r="P48" i="10"/>
  <c r="P19" i="10"/>
  <c r="P23" i="10"/>
  <c r="AZ83" i="10"/>
  <c r="BA81" i="10"/>
  <c r="R55" i="10"/>
  <c r="P55" i="10"/>
  <c r="Q55" i="10"/>
  <c r="H55" i="10"/>
  <c r="N55" i="10"/>
  <c r="Q24" i="10"/>
  <c r="P24" i="10"/>
  <c r="R24" i="10"/>
  <c r="H24" i="10"/>
  <c r="N24" i="10"/>
  <c r="E12" i="10"/>
  <c r="L24" i="10"/>
  <c r="Q62" i="10"/>
  <c r="Q61" i="10"/>
  <c r="Q60" i="10"/>
  <c r="R62" i="10"/>
  <c r="R61" i="10"/>
  <c r="R60" i="10"/>
  <c r="L31" i="10"/>
  <c r="R31" i="10"/>
  <c r="R29" i="10"/>
  <c r="R30" i="10"/>
  <c r="P30" i="10"/>
  <c r="P29" i="10"/>
  <c r="AF19" i="10"/>
  <c r="P31" i="10"/>
  <c r="I90" i="10"/>
  <c r="K94" i="10"/>
  <c r="K99" i="10"/>
  <c r="AB51" i="10"/>
  <c r="AB52" i="10"/>
  <c r="P54" i="10"/>
  <c r="AF43" i="10"/>
  <c r="P61" i="10"/>
  <c r="P60" i="10"/>
  <c r="P62" i="10"/>
  <c r="J102" i="10"/>
  <c r="AR87" i="10"/>
  <c r="I102" i="10"/>
  <c r="AF51" i="10"/>
  <c r="AS87" i="10"/>
  <c r="AT86" i="10"/>
  <c r="AU86" i="10"/>
  <c r="AV87" i="10"/>
  <c r="AZ87" i="10"/>
  <c r="BA85" i="10"/>
  <c r="H48" i="28"/>
  <c r="H17" i="28"/>
  <c r="AF17" i="28"/>
  <c r="AB43" i="28"/>
  <c r="I88" i="28"/>
  <c r="I94" i="28"/>
  <c r="I99" i="28"/>
  <c r="H54" i="28"/>
  <c r="AB26" i="28"/>
  <c r="P19" i="28"/>
  <c r="P23" i="28"/>
  <c r="H60" i="28"/>
  <c r="H61" i="28"/>
  <c r="H62" i="28"/>
  <c r="AB17" i="28"/>
  <c r="H19" i="28"/>
  <c r="H23" i="28"/>
  <c r="AF19" i="28"/>
  <c r="P54" i="28"/>
  <c r="AB51" i="28"/>
  <c r="AB52" i="28"/>
  <c r="I90" i="28"/>
  <c r="K94" i="28"/>
  <c r="K99" i="28"/>
  <c r="AF43" i="28"/>
  <c r="P29" i="28"/>
  <c r="P31" i="28"/>
  <c r="AB28" i="28"/>
  <c r="P30" i="28"/>
  <c r="H29" i="28"/>
  <c r="AB19" i="28"/>
  <c r="H31" i="28"/>
  <c r="H30" i="28"/>
  <c r="J102" i="28"/>
  <c r="AR87" i="28"/>
  <c r="I102" i="28"/>
  <c r="P61" i="28"/>
  <c r="P62" i="28"/>
  <c r="P60" i="28"/>
  <c r="AF51" i="28"/>
  <c r="AZ87" i="28"/>
  <c r="BA85" i="28"/>
  <c r="AS87" i="28"/>
  <c r="AT86" i="28"/>
  <c r="AU86" i="28"/>
  <c r="AV87" i="28"/>
  <c r="G11" i="24"/>
  <c r="G10" i="24"/>
  <c r="G9" i="24"/>
  <c r="G8" i="24"/>
  <c r="G7" i="24"/>
  <c r="G6" i="24"/>
  <c r="G5" i="24"/>
  <c r="G4" i="24"/>
  <c r="G12" i="24"/>
  <c r="B6" i="18"/>
  <c r="B5" i="18"/>
  <c r="DQ13" i="18"/>
  <c r="DP13" i="18"/>
  <c r="DO13" i="18"/>
  <c r="DN13" i="18"/>
  <c r="DM13" i="18"/>
  <c r="DL13" i="18"/>
  <c r="DK13" i="18"/>
  <c r="DJ13" i="18"/>
  <c r="DI13" i="18"/>
  <c r="DH13" i="18"/>
  <c r="DG13" i="18"/>
  <c r="DF13" i="18"/>
  <c r="DE13" i="18"/>
  <c r="DD13" i="18"/>
  <c r="DC13" i="18"/>
  <c r="DB13" i="18"/>
  <c r="DA13" i="18"/>
  <c r="CZ13" i="18"/>
  <c r="CY13" i="18"/>
  <c r="CX13" i="18"/>
  <c r="CW13" i="18"/>
  <c r="CV13" i="18"/>
  <c r="CU13" i="18"/>
  <c r="CT13" i="18"/>
  <c r="CS13" i="18"/>
  <c r="CR13" i="18"/>
  <c r="CQ13" i="18"/>
  <c r="CP13" i="18"/>
  <c r="CO13" i="18"/>
  <c r="CN13" i="18"/>
  <c r="CM13" i="18"/>
  <c r="CL13" i="18"/>
  <c r="CK13" i="18"/>
  <c r="CJ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G5" i="18"/>
  <c r="AH5" i="18"/>
  <c r="AI5" i="18"/>
  <c r="AJ5" i="18"/>
  <c r="AK5" i="18"/>
  <c r="AL5" i="18"/>
  <c r="AM5" i="18"/>
  <c r="AN5" i="18"/>
  <c r="AO5" i="18"/>
  <c r="AP5" i="18"/>
  <c r="AQ5" i="18"/>
  <c r="AR5" i="18"/>
  <c r="AS5" i="18"/>
  <c r="AT5" i="18"/>
  <c r="AU5" i="18"/>
  <c r="AV5" i="18"/>
  <c r="AW5" i="18"/>
  <c r="AX5" i="18"/>
  <c r="AY5" i="18"/>
  <c r="AZ5" i="18"/>
  <c r="BA5" i="18"/>
  <c r="BB5" i="18"/>
  <c r="BC5" i="18"/>
  <c r="BD5" i="18"/>
  <c r="BE5" i="18"/>
  <c r="BF5" i="18"/>
  <c r="BG5" i="18"/>
  <c r="BH5" i="18"/>
  <c r="BI5" i="18"/>
  <c r="BJ5" i="18"/>
  <c r="BK5" i="18"/>
  <c r="BL5" i="18"/>
  <c r="BM5" i="18"/>
  <c r="BN5" i="18"/>
  <c r="BO5" i="18"/>
  <c r="BP5" i="18"/>
  <c r="BQ5" i="18"/>
  <c r="BR5" i="18"/>
  <c r="BS5" i="18"/>
  <c r="BT5" i="18"/>
  <c r="BU5" i="18"/>
  <c r="BV5" i="18"/>
  <c r="BW5" i="18"/>
  <c r="BX5" i="18"/>
  <c r="BY5" i="18"/>
  <c r="BZ5" i="18"/>
  <c r="CA5" i="18"/>
  <c r="CB5" i="18"/>
  <c r="CC5" i="18"/>
  <c r="CD5" i="18"/>
  <c r="CE5" i="18"/>
  <c r="CF5" i="18"/>
  <c r="CG5" i="18"/>
  <c r="CH5" i="18"/>
  <c r="CI5" i="18"/>
  <c r="F6" i="18"/>
  <c r="G6" i="18"/>
  <c r="G4" i="18"/>
  <c r="G12" i="18"/>
  <c r="H6" i="18"/>
  <c r="I6" i="18"/>
  <c r="J6" i="18"/>
  <c r="K6" i="18"/>
  <c r="L6" i="18"/>
  <c r="M6" i="18"/>
  <c r="M4" i="18"/>
  <c r="M12" i="18"/>
  <c r="N6" i="18"/>
  <c r="O6" i="18"/>
  <c r="P6" i="18"/>
  <c r="Q6" i="18"/>
  <c r="R6" i="18"/>
  <c r="S6" i="18"/>
  <c r="T6" i="18"/>
  <c r="U6" i="18"/>
  <c r="U4" i="18"/>
  <c r="U12" i="18"/>
  <c r="V6" i="18"/>
  <c r="V4" i="18"/>
  <c r="V12" i="18"/>
  <c r="W6" i="18"/>
  <c r="X6" i="18"/>
  <c r="Y6" i="18"/>
  <c r="Z6" i="18"/>
  <c r="AA6" i="18"/>
  <c r="AB6" i="18"/>
  <c r="AC6" i="18"/>
  <c r="AC4" i="18"/>
  <c r="AC12" i="18"/>
  <c r="AD6" i="18"/>
  <c r="AD4" i="18"/>
  <c r="AD12" i="18"/>
  <c r="AE6" i="18"/>
  <c r="AE4" i="18"/>
  <c r="AE12" i="18"/>
  <c r="AF6" i="18"/>
  <c r="AG6" i="18"/>
  <c r="AG4" i="18"/>
  <c r="AG12" i="18"/>
  <c r="AH6" i="18"/>
  <c r="AI6" i="18"/>
  <c r="AJ6" i="18"/>
  <c r="AK6" i="18"/>
  <c r="AK4" i="18"/>
  <c r="AK12" i="18"/>
  <c r="AL6" i="18"/>
  <c r="AL4" i="18"/>
  <c r="AL12" i="18"/>
  <c r="AM6" i="18"/>
  <c r="AN6" i="18"/>
  <c r="AN4" i="18"/>
  <c r="AN12" i="18"/>
  <c r="AO6" i="18"/>
  <c r="AO4" i="18"/>
  <c r="AO12" i="18"/>
  <c r="AP6" i="18"/>
  <c r="AQ6" i="18"/>
  <c r="AR6" i="18"/>
  <c r="AR4" i="18"/>
  <c r="AR12" i="18"/>
  <c r="AS6" i="18"/>
  <c r="AS4" i="18"/>
  <c r="AS12" i="18"/>
  <c r="AT6" i="18"/>
  <c r="AT4" i="18"/>
  <c r="AT12" i="18"/>
  <c r="AU6" i="18"/>
  <c r="AU4" i="18"/>
  <c r="AU12" i="18"/>
  <c r="AV6" i="18"/>
  <c r="AV4" i="18"/>
  <c r="AV12" i="18"/>
  <c r="AW6" i="18"/>
  <c r="AW4" i="18"/>
  <c r="AW12" i="18"/>
  <c r="AX6" i="18"/>
  <c r="AY6" i="18"/>
  <c r="AZ6" i="18"/>
  <c r="BA6" i="18"/>
  <c r="BA4" i="18"/>
  <c r="BA12" i="18"/>
  <c r="BB6" i="18"/>
  <c r="BB4" i="18"/>
  <c r="BB12" i="18"/>
  <c r="BC6" i="18"/>
  <c r="BD6" i="18"/>
  <c r="BD4" i="18"/>
  <c r="BD12" i="18"/>
  <c r="BE6" i="18"/>
  <c r="BE4" i="18"/>
  <c r="BE12" i="18"/>
  <c r="BF6" i="18"/>
  <c r="BG6" i="18"/>
  <c r="BH6" i="18"/>
  <c r="BI6" i="18"/>
  <c r="BI4" i="18"/>
  <c r="BI12" i="18"/>
  <c r="BJ6" i="18"/>
  <c r="BJ4" i="18"/>
  <c r="BJ12" i="18"/>
  <c r="BK6" i="18"/>
  <c r="BL6" i="18"/>
  <c r="BL4" i="18"/>
  <c r="BL12" i="18"/>
  <c r="BM6" i="18"/>
  <c r="BN6" i="18"/>
  <c r="BO6" i="18"/>
  <c r="BP6" i="18"/>
  <c r="BQ6" i="18"/>
  <c r="BQ4" i="18"/>
  <c r="BQ12" i="18"/>
  <c r="BR6" i="18"/>
  <c r="BR4" i="18"/>
  <c r="BR12" i="18"/>
  <c r="BS6" i="18"/>
  <c r="BT6" i="18"/>
  <c r="BT4" i="18"/>
  <c r="BT12" i="18"/>
  <c r="BU6" i="18"/>
  <c r="BU4" i="18"/>
  <c r="BU12" i="18"/>
  <c r="BV6" i="18"/>
  <c r="BW6" i="18"/>
  <c r="BX6" i="18"/>
  <c r="BY6" i="18"/>
  <c r="BY4" i="18"/>
  <c r="BY12" i="18"/>
  <c r="BZ6" i="18"/>
  <c r="BZ4" i="18"/>
  <c r="BZ12" i="18"/>
  <c r="CA6" i="18"/>
  <c r="CB6" i="18"/>
  <c r="CB4" i="18"/>
  <c r="CB12" i="18"/>
  <c r="CC6" i="18"/>
  <c r="CC4" i="18"/>
  <c r="CC12" i="18"/>
  <c r="CD6" i="18"/>
  <c r="CE6" i="18"/>
  <c r="CF6" i="18"/>
  <c r="CG6" i="18"/>
  <c r="CH6" i="18"/>
  <c r="CH4" i="18"/>
  <c r="CH12" i="18"/>
  <c r="CI6" i="18"/>
  <c r="CJ6" i="18"/>
  <c r="C5" i="18"/>
  <c r="C4" i="18"/>
  <c r="C12" i="18"/>
  <c r="D5" i="18"/>
  <c r="E5" i="18"/>
  <c r="C6" i="18"/>
  <c r="D6" i="18"/>
  <c r="E6" i="18"/>
  <c r="F4" i="18"/>
  <c r="F12" i="18"/>
  <c r="N4" i="18"/>
  <c r="N12" i="18"/>
  <c r="B4" i="18"/>
  <c r="B12" i="18"/>
  <c r="AF4" i="18"/>
  <c r="AF12" i="18"/>
  <c r="X4" i="18"/>
  <c r="X12" i="18"/>
  <c r="P4" i="18"/>
  <c r="P12" i="18"/>
  <c r="H4" i="18"/>
  <c r="H12" i="18"/>
  <c r="CE4" i="18"/>
  <c r="CE12" i="18"/>
  <c r="BW4" i="18"/>
  <c r="BW12" i="18"/>
  <c r="BO4" i="18"/>
  <c r="BO12" i="18"/>
  <c r="BG4" i="18"/>
  <c r="BG12" i="18"/>
  <c r="AY4" i="18"/>
  <c r="AY12" i="18"/>
  <c r="AQ4" i="18"/>
  <c r="AQ12" i="18"/>
  <c r="AI4" i="18"/>
  <c r="AI12" i="18"/>
  <c r="AA4" i="18"/>
  <c r="AA12" i="18"/>
  <c r="S4" i="18"/>
  <c r="S12" i="18"/>
  <c r="E4" i="18"/>
  <c r="E12" i="18"/>
  <c r="F13" i="18"/>
  <c r="Y4" i="18"/>
  <c r="Y12" i="18"/>
  <c r="K4" i="18"/>
  <c r="K12" i="18"/>
  <c r="BS4" i="18"/>
  <c r="BS12" i="18"/>
  <c r="BS13" i="18"/>
  <c r="O37" i="1"/>
  <c r="AM4" i="18"/>
  <c r="AM12" i="18"/>
  <c r="AL13" i="18"/>
  <c r="CA4" i="18"/>
  <c r="CA12" i="18"/>
  <c r="CA13" i="18"/>
  <c r="BK4" i="18"/>
  <c r="BK12" i="18"/>
  <c r="BJ13" i="18"/>
  <c r="L37" i="1"/>
  <c r="W4" i="18"/>
  <c r="W12" i="18"/>
  <c r="D4" i="18"/>
  <c r="D12" i="18"/>
  <c r="C13" i="18"/>
  <c r="BM4" i="18"/>
  <c r="BM12" i="18"/>
  <c r="Q4" i="18"/>
  <c r="Q12" i="18"/>
  <c r="I4" i="18"/>
  <c r="I12" i="18"/>
  <c r="CI4" i="18"/>
  <c r="CI12" i="18"/>
  <c r="BC4" i="18"/>
  <c r="BC12" i="18"/>
  <c r="BB13" i="18"/>
  <c r="O4" i="18"/>
  <c r="O12" i="18"/>
  <c r="N13" i="18"/>
  <c r="CD4" i="18"/>
  <c r="CD12" i="18"/>
  <c r="CB13" i="18"/>
  <c r="S37" i="1"/>
  <c r="BV4" i="18"/>
  <c r="BV12" i="18"/>
  <c r="BN4" i="18"/>
  <c r="BN12" i="18"/>
  <c r="BF4" i="18"/>
  <c r="BF12" i="18"/>
  <c r="BF13" i="18"/>
  <c r="AX4" i="18"/>
  <c r="AX12" i="18"/>
  <c r="AP4" i="18"/>
  <c r="AP12" i="18"/>
  <c r="AO13" i="18"/>
  <c r="AH4" i="18"/>
  <c r="AH12" i="18"/>
  <c r="AG13" i="18"/>
  <c r="Z4" i="18"/>
  <c r="Z12" i="18"/>
  <c r="R4" i="18"/>
  <c r="R12" i="18"/>
  <c r="J4" i="18"/>
  <c r="J12" i="18"/>
  <c r="CF4" i="18"/>
  <c r="CF12" i="18"/>
  <c r="BX4" i="18"/>
  <c r="BX12" i="18"/>
  <c r="BP4" i="18"/>
  <c r="BP12" i="18"/>
  <c r="BR13" i="18"/>
  <c r="BH4" i="18"/>
  <c r="BH12" i="18"/>
  <c r="AZ4" i="18"/>
  <c r="AZ12" i="18"/>
  <c r="AJ4" i="18"/>
  <c r="AJ12" i="18"/>
  <c r="AI13" i="18"/>
  <c r="AB4" i="18"/>
  <c r="AB12" i="18"/>
  <c r="T4" i="18"/>
  <c r="T12" i="18"/>
  <c r="V13" i="18"/>
  <c r="L4" i="18"/>
  <c r="L12" i="18"/>
  <c r="CJ4" i="18"/>
  <c r="CJ12" i="18"/>
  <c r="AW13" i="18"/>
  <c r="AV13" i="18"/>
  <c r="AU13" i="18"/>
  <c r="AD13" i="18"/>
  <c r="AC13" i="18"/>
  <c r="AE13" i="18"/>
  <c r="BZ13" i="18"/>
  <c r="AT13" i="18"/>
  <c r="AS13" i="18"/>
  <c r="AR13" i="18"/>
  <c r="BK13" i="18"/>
  <c r="CG4" i="18"/>
  <c r="CG12" i="18"/>
  <c r="BT13" i="18"/>
  <c r="AN13" i="18"/>
  <c r="G13" i="18"/>
  <c r="E13" i="18"/>
  <c r="O277" i="1"/>
  <c r="O278" i="1"/>
  <c r="O279" i="1"/>
  <c r="O280" i="1"/>
  <c r="O289" i="1"/>
  <c r="O861" i="1"/>
  <c r="O862" i="1"/>
  <c r="O863" i="1"/>
  <c r="O864" i="1"/>
  <c r="O878" i="1"/>
  <c r="O879" i="1"/>
  <c r="O769" i="1"/>
  <c r="O770" i="1"/>
  <c r="O771" i="1"/>
  <c r="O772" i="1"/>
  <c r="O784" i="1"/>
  <c r="L277" i="1"/>
  <c r="L278" i="1"/>
  <c r="L279" i="1"/>
  <c r="L280" i="1"/>
  <c r="L289" i="1"/>
  <c r="L769" i="1"/>
  <c r="L770" i="1"/>
  <c r="L771" i="1"/>
  <c r="L772" i="1"/>
  <c r="L784" i="1"/>
  <c r="L861" i="1"/>
  <c r="L862" i="1"/>
  <c r="L863" i="1"/>
  <c r="L864" i="1"/>
  <c r="L878" i="1"/>
  <c r="L879" i="1"/>
  <c r="BY13" i="18"/>
  <c r="R37" i="1"/>
  <c r="BI13" i="18"/>
  <c r="CH13" i="18"/>
  <c r="BC13" i="18"/>
  <c r="K13" i="18"/>
  <c r="BL13" i="18"/>
  <c r="BU13" i="18"/>
  <c r="BA13" i="18"/>
  <c r="BP13" i="18"/>
  <c r="N37" i="1"/>
  <c r="S861" i="1"/>
  <c r="S862" i="1"/>
  <c r="S863" i="1"/>
  <c r="S864" i="1"/>
  <c r="S878" i="1"/>
  <c r="S879" i="1"/>
  <c r="S769" i="1"/>
  <c r="S770" i="1"/>
  <c r="S771" i="1"/>
  <c r="S772" i="1"/>
  <c r="S784" i="1"/>
  <c r="S277" i="1"/>
  <c r="S278" i="1"/>
  <c r="S279" i="1"/>
  <c r="S280" i="1"/>
  <c r="S289" i="1"/>
  <c r="Y13" i="18"/>
  <c r="BN13" i="18"/>
  <c r="L13" i="18"/>
  <c r="M13" i="18"/>
  <c r="B13" i="18"/>
  <c r="BD13" i="18"/>
  <c r="Q13" i="18"/>
  <c r="BO13" i="18"/>
  <c r="AM13" i="18"/>
  <c r="CE13" i="18"/>
  <c r="T37" i="1"/>
  <c r="D13" i="18"/>
  <c r="W13" i="18"/>
  <c r="AY13" i="18"/>
  <c r="BG13" i="18"/>
  <c r="BQ13" i="18"/>
  <c r="BH13" i="18"/>
  <c r="AQ13" i="18"/>
  <c r="BM13" i="18"/>
  <c r="M37" i="1"/>
  <c r="X13" i="18"/>
  <c r="AZ13" i="18"/>
  <c r="CJ13" i="18"/>
  <c r="R13" i="18"/>
  <c r="CI13" i="18"/>
  <c r="BE13" i="18"/>
  <c r="S13" i="18"/>
  <c r="AJ13" i="18"/>
  <c r="AX13" i="18"/>
  <c r="AK13" i="18"/>
  <c r="AF13" i="18"/>
  <c r="AB13" i="18"/>
  <c r="AH13" i="18"/>
  <c r="CC13" i="18"/>
  <c r="CD13" i="18"/>
  <c r="AP13" i="18"/>
  <c r="J13" i="18"/>
  <c r="BW13" i="18"/>
  <c r="BV13" i="18"/>
  <c r="Q37" i="1"/>
  <c r="Z13" i="18"/>
  <c r="BX13" i="18"/>
  <c r="O13" i="18"/>
  <c r="H13" i="18"/>
  <c r="T13" i="18"/>
  <c r="P13" i="18"/>
  <c r="AA13" i="18"/>
  <c r="I13" i="18"/>
  <c r="U13" i="18"/>
  <c r="CF13" i="18"/>
  <c r="CG13" i="18"/>
  <c r="AW14" i="18"/>
  <c r="J37" i="1"/>
  <c r="Q769" i="1"/>
  <c r="Q770" i="1"/>
  <c r="Q771" i="1"/>
  <c r="Q772" i="1"/>
  <c r="Q784" i="1"/>
  <c r="Q861" i="1"/>
  <c r="Q862" i="1"/>
  <c r="Q863" i="1"/>
  <c r="Q864" i="1"/>
  <c r="Q878" i="1"/>
  <c r="Q879" i="1"/>
  <c r="Q277" i="1"/>
  <c r="Q278" i="1"/>
  <c r="Q279" i="1"/>
  <c r="Q280" i="1"/>
  <c r="Q289" i="1"/>
  <c r="N861" i="1"/>
  <c r="N862" i="1"/>
  <c r="N863" i="1"/>
  <c r="N864" i="1"/>
  <c r="N878" i="1"/>
  <c r="N879" i="1"/>
  <c r="N769" i="1"/>
  <c r="N770" i="1"/>
  <c r="N771" i="1"/>
  <c r="N772" i="1"/>
  <c r="N784" i="1"/>
  <c r="N277" i="1"/>
  <c r="N278" i="1"/>
  <c r="N279" i="1"/>
  <c r="N280" i="1"/>
  <c r="N289" i="1"/>
  <c r="R769" i="1"/>
  <c r="R770" i="1"/>
  <c r="R771" i="1"/>
  <c r="R772" i="1"/>
  <c r="R784" i="1"/>
  <c r="R861" i="1"/>
  <c r="R862" i="1"/>
  <c r="R863" i="1"/>
  <c r="R864" i="1"/>
  <c r="R878" i="1"/>
  <c r="R879" i="1"/>
  <c r="R277" i="1"/>
  <c r="R278" i="1"/>
  <c r="R279" i="1"/>
  <c r="R280" i="1"/>
  <c r="R289" i="1"/>
  <c r="L785" i="1"/>
  <c r="L963" i="1"/>
  <c r="L962" i="1"/>
  <c r="M769" i="1"/>
  <c r="M770" i="1"/>
  <c r="M771" i="1"/>
  <c r="M772" i="1"/>
  <c r="M784" i="1"/>
  <c r="M861" i="1"/>
  <c r="M862" i="1"/>
  <c r="M863" i="1"/>
  <c r="M864" i="1"/>
  <c r="M878" i="1"/>
  <c r="M879" i="1"/>
  <c r="M277" i="1"/>
  <c r="M278" i="1"/>
  <c r="M279" i="1"/>
  <c r="M280" i="1"/>
  <c r="M289" i="1"/>
  <c r="T861" i="1"/>
  <c r="T862" i="1"/>
  <c r="T863" i="1"/>
  <c r="T864" i="1"/>
  <c r="T878" i="1"/>
  <c r="T879" i="1"/>
  <c r="T769" i="1"/>
  <c r="T770" i="1"/>
  <c r="T771" i="1"/>
  <c r="T772" i="1"/>
  <c r="T784" i="1"/>
  <c r="T277" i="1"/>
  <c r="T278" i="1"/>
  <c r="T279" i="1"/>
  <c r="T280" i="1"/>
  <c r="T289" i="1"/>
  <c r="L290" i="1"/>
  <c r="L505" i="1"/>
  <c r="L506" i="1"/>
  <c r="J769" i="1"/>
  <c r="J770" i="1"/>
  <c r="J771" i="1"/>
  <c r="J772" i="1"/>
  <c r="J784" i="1"/>
  <c r="J861" i="1"/>
  <c r="J862" i="1"/>
  <c r="J863" i="1"/>
  <c r="J864" i="1"/>
  <c r="J878" i="1"/>
  <c r="J879" i="1"/>
  <c r="J277" i="1"/>
  <c r="J278" i="1"/>
  <c r="J279" i="1"/>
  <c r="J280" i="1"/>
  <c r="J289" i="1"/>
  <c r="O785" i="1"/>
  <c r="O963" i="1"/>
  <c r="O962" i="1"/>
  <c r="S505" i="1"/>
  <c r="S506" i="1"/>
  <c r="S290" i="1"/>
  <c r="CS14" i="18"/>
  <c r="S785" i="1"/>
  <c r="S963" i="1"/>
  <c r="S962" i="1"/>
  <c r="O505" i="1"/>
  <c r="O506" i="1"/>
  <c r="O290" i="1"/>
  <c r="BI14" i="18"/>
  <c r="K37" i="1"/>
  <c r="BU14" i="18"/>
  <c r="P37" i="1"/>
  <c r="AK14" i="18"/>
  <c r="I37" i="1"/>
  <c r="Y14" i="18"/>
  <c r="G37" i="1"/>
  <c r="CG14" i="18"/>
  <c r="U37" i="1"/>
  <c r="T785" i="1"/>
  <c r="T963" i="1"/>
  <c r="T962" i="1"/>
  <c r="R785" i="1"/>
  <c r="R963" i="1"/>
  <c r="R962" i="1"/>
  <c r="J505" i="1"/>
  <c r="J506" i="1"/>
  <c r="J290" i="1"/>
  <c r="M505" i="1"/>
  <c r="M506" i="1"/>
  <c r="M290" i="1"/>
  <c r="N290" i="1"/>
  <c r="N505" i="1"/>
  <c r="N506" i="1"/>
  <c r="K277" i="1"/>
  <c r="K278" i="1"/>
  <c r="K279" i="1"/>
  <c r="K280" i="1"/>
  <c r="K289" i="1"/>
  <c r="K861" i="1"/>
  <c r="K862" i="1"/>
  <c r="K863" i="1"/>
  <c r="K864" i="1"/>
  <c r="K878" i="1"/>
  <c r="K879" i="1"/>
  <c r="K769" i="1"/>
  <c r="K770" i="1"/>
  <c r="K771" i="1"/>
  <c r="K772" i="1"/>
  <c r="K784" i="1"/>
  <c r="N785" i="1"/>
  <c r="N963" i="1"/>
  <c r="N962" i="1"/>
  <c r="U861" i="1"/>
  <c r="U862" i="1"/>
  <c r="U863" i="1"/>
  <c r="U864" i="1"/>
  <c r="U878" i="1"/>
  <c r="U879" i="1"/>
  <c r="U769" i="1"/>
  <c r="U770" i="1"/>
  <c r="U771" i="1"/>
  <c r="U772" i="1"/>
  <c r="U784" i="1"/>
  <c r="U277" i="1"/>
  <c r="U278" i="1"/>
  <c r="U279" i="1"/>
  <c r="U280" i="1"/>
  <c r="U289" i="1"/>
  <c r="J785" i="1"/>
  <c r="J963" i="1"/>
  <c r="J962" i="1"/>
  <c r="M785" i="1"/>
  <c r="M963" i="1"/>
  <c r="M962" i="1"/>
  <c r="G861" i="1"/>
  <c r="G862" i="1"/>
  <c r="G863" i="1"/>
  <c r="G864" i="1"/>
  <c r="G878" i="1"/>
  <c r="G879" i="1"/>
  <c r="G769" i="1"/>
  <c r="G770" i="1"/>
  <c r="G771" i="1"/>
  <c r="G772" i="1"/>
  <c r="G784" i="1"/>
  <c r="G277" i="1"/>
  <c r="G278" i="1"/>
  <c r="G279" i="1"/>
  <c r="G280" i="1"/>
  <c r="G289" i="1"/>
  <c r="Q505" i="1"/>
  <c r="Q506" i="1"/>
  <c r="Q290" i="1"/>
  <c r="I277" i="1"/>
  <c r="I278" i="1"/>
  <c r="I279" i="1"/>
  <c r="I280" i="1"/>
  <c r="I289" i="1"/>
  <c r="I861" i="1"/>
  <c r="I862" i="1"/>
  <c r="I863" i="1"/>
  <c r="I864" i="1"/>
  <c r="I878" i="1"/>
  <c r="I879" i="1"/>
  <c r="I769" i="1"/>
  <c r="I770" i="1"/>
  <c r="I771" i="1"/>
  <c r="I772" i="1"/>
  <c r="I784" i="1"/>
  <c r="P769" i="1"/>
  <c r="P770" i="1"/>
  <c r="P771" i="1"/>
  <c r="P772" i="1"/>
  <c r="P784" i="1"/>
  <c r="P277" i="1"/>
  <c r="P278" i="1"/>
  <c r="P279" i="1"/>
  <c r="P280" i="1"/>
  <c r="P289" i="1"/>
  <c r="P861" i="1"/>
  <c r="P862" i="1"/>
  <c r="P863" i="1"/>
  <c r="P864" i="1"/>
  <c r="P878" i="1"/>
  <c r="P879" i="1"/>
  <c r="T505" i="1"/>
  <c r="T506" i="1"/>
  <c r="T290" i="1"/>
  <c r="R505" i="1"/>
  <c r="R506" i="1"/>
  <c r="R290" i="1"/>
  <c r="Q785" i="1"/>
  <c r="Q963" i="1"/>
  <c r="Q962" i="1"/>
  <c r="G785" i="1"/>
  <c r="G963" i="1"/>
  <c r="G962" i="1"/>
  <c r="I785" i="1"/>
  <c r="I963" i="1"/>
  <c r="I962" i="1"/>
  <c r="P785" i="1"/>
  <c r="P963" i="1"/>
  <c r="P962" i="1"/>
  <c r="K785" i="1"/>
  <c r="K963" i="1"/>
  <c r="K962" i="1"/>
  <c r="P505" i="1"/>
  <c r="P506" i="1"/>
  <c r="P290" i="1"/>
  <c r="I290" i="1"/>
  <c r="I505" i="1"/>
  <c r="I506" i="1"/>
  <c r="K505" i="1"/>
  <c r="K506" i="1"/>
  <c r="K290" i="1"/>
  <c r="U505" i="1"/>
  <c r="U506" i="1"/>
  <c r="U290" i="1"/>
  <c r="G290" i="1"/>
  <c r="G505" i="1"/>
  <c r="G506" i="1"/>
  <c r="U785" i="1"/>
  <c r="U963" i="1"/>
  <c r="U962" i="1"/>
  <c r="D27" i="14"/>
  <c r="K46" i="14"/>
  <c r="D17" i="14"/>
  <c r="G46" i="14"/>
  <c r="D23" i="14"/>
  <c r="K38" i="14"/>
  <c r="D14" i="14"/>
  <c r="H38" i="14"/>
  <c r="D11" i="14"/>
  <c r="G37" i="14"/>
  <c r="E3" i="14"/>
  <c r="F3" i="14"/>
  <c r="G3" i="14"/>
  <c r="H3" i="14"/>
  <c r="I3" i="14"/>
  <c r="J3" i="14"/>
  <c r="K3" i="14"/>
  <c r="L3" i="14"/>
  <c r="M3" i="14"/>
  <c r="N3" i="14"/>
  <c r="O3" i="14"/>
  <c r="P3" i="14"/>
  <c r="Q3" i="14"/>
  <c r="R3" i="14"/>
  <c r="S3" i="14"/>
  <c r="T3" i="14"/>
  <c r="U3" i="14"/>
  <c r="V3" i="14"/>
  <c r="W3" i="14"/>
  <c r="X3" i="14"/>
  <c r="Y3" i="14"/>
  <c r="Z3" i="14"/>
  <c r="AA3" i="14"/>
  <c r="AB3" i="14"/>
  <c r="D3" i="14"/>
  <c r="F46" i="14"/>
  <c r="E46" i="14"/>
  <c r="J46" i="14"/>
  <c r="Q46" i="14"/>
  <c r="P46" i="14"/>
  <c r="H45" i="14"/>
  <c r="I46" i="14"/>
  <c r="J37" i="14"/>
  <c r="Z46" i="14"/>
  <c r="X46" i="14"/>
  <c r="Y46" i="14"/>
  <c r="R46" i="14"/>
  <c r="H46" i="14"/>
  <c r="AE46" i="14"/>
  <c r="W46" i="14"/>
  <c r="O46" i="14"/>
  <c r="D38" i="14"/>
  <c r="AD46" i="14"/>
  <c r="V46" i="14"/>
  <c r="N46" i="14"/>
  <c r="B5" i="14"/>
  <c r="B7" i="14"/>
  <c r="J38" i="14"/>
  <c r="U46" i="14"/>
  <c r="D46" i="14"/>
  <c r="AB46" i="14"/>
  <c r="T46" i="14"/>
  <c r="L46" i="14"/>
  <c r="AC46" i="14"/>
  <c r="M46" i="14"/>
  <c r="AA46" i="14"/>
  <c r="S46" i="14"/>
  <c r="Y45" i="14"/>
  <c r="Q45" i="14"/>
  <c r="U37" i="14"/>
  <c r="D37" i="14"/>
  <c r="X45" i="14"/>
  <c r="AD37" i="14"/>
  <c r="AE45" i="14"/>
  <c r="O45" i="14"/>
  <c r="AC37" i="14"/>
  <c r="R37" i="14"/>
  <c r="E45" i="14"/>
  <c r="AD45" i="14"/>
  <c r="V45" i="14"/>
  <c r="N45" i="14"/>
  <c r="D45" i="14"/>
  <c r="P45" i="14"/>
  <c r="S37" i="14"/>
  <c r="E37" i="14"/>
  <c r="F45" i="14"/>
  <c r="W45" i="14"/>
  <c r="AB37" i="14"/>
  <c r="N37" i="14"/>
  <c r="AC45" i="14"/>
  <c r="U45" i="14"/>
  <c r="M45" i="14"/>
  <c r="T37" i="14"/>
  <c r="AA37" i="14"/>
  <c r="T45" i="14"/>
  <c r="AA45" i="14"/>
  <c r="S45" i="14"/>
  <c r="K45" i="14"/>
  <c r="K47" i="14"/>
  <c r="K48" i="14"/>
  <c r="F37" i="14"/>
  <c r="G45" i="14"/>
  <c r="G47" i="14"/>
  <c r="G48" i="14"/>
  <c r="M37" i="14"/>
  <c r="AB45" i="14"/>
  <c r="L45" i="14"/>
  <c r="Z37" i="14"/>
  <c r="L37" i="14"/>
  <c r="V37" i="14"/>
  <c r="K37" i="14"/>
  <c r="K39" i="14"/>
  <c r="K40" i="14"/>
  <c r="I45" i="14"/>
  <c r="Z45" i="14"/>
  <c r="R45" i="14"/>
  <c r="J45" i="14"/>
  <c r="Y37" i="14"/>
  <c r="Q37" i="14"/>
  <c r="I37" i="14"/>
  <c r="X37" i="14"/>
  <c r="P37" i="14"/>
  <c r="H37" i="14"/>
  <c r="H39" i="14"/>
  <c r="H40" i="14"/>
  <c r="AE37" i="14"/>
  <c r="W37" i="14"/>
  <c r="O37" i="14"/>
  <c r="Z38" i="14"/>
  <c r="R38" i="14"/>
  <c r="I38" i="14"/>
  <c r="Y38" i="14"/>
  <c r="Q38" i="14"/>
  <c r="X38" i="14"/>
  <c r="P38" i="14"/>
  <c r="AE38" i="14"/>
  <c r="O38" i="14"/>
  <c r="AD38" i="14"/>
  <c r="V38" i="14"/>
  <c r="N38" i="14"/>
  <c r="W38" i="14"/>
  <c r="AC38" i="14"/>
  <c r="U38" i="14"/>
  <c r="M38" i="14"/>
  <c r="AB38" i="14"/>
  <c r="T38" i="14"/>
  <c r="L38" i="14"/>
  <c r="AA38" i="14"/>
  <c r="S38" i="14"/>
  <c r="G38" i="14"/>
  <c r="G39" i="14"/>
  <c r="G40" i="14"/>
  <c r="F38" i="14"/>
  <c r="E38" i="14"/>
  <c r="R47" i="14"/>
  <c r="R48" i="14"/>
  <c r="S47" i="14"/>
  <c r="S48" i="14"/>
  <c r="AA47" i="14"/>
  <c r="AA48" i="14"/>
  <c r="E47" i="14"/>
  <c r="E48" i="14"/>
  <c r="X47" i="14"/>
  <c r="X48" i="14"/>
  <c r="D47" i="14"/>
  <c r="D48" i="14"/>
  <c r="D39" i="14"/>
  <c r="D40" i="14"/>
  <c r="F47" i="14"/>
  <c r="F48" i="14"/>
  <c r="Z47" i="14"/>
  <c r="Z48" i="14"/>
  <c r="M47" i="14"/>
  <c r="M48" i="14"/>
  <c r="J47" i="14"/>
  <c r="J48" i="14"/>
  <c r="E39" i="14"/>
  <c r="E40" i="14"/>
  <c r="Y47" i="14"/>
  <c r="Y48" i="14"/>
  <c r="J39" i="14"/>
  <c r="J40" i="14"/>
  <c r="Q47" i="14"/>
  <c r="Q48" i="14"/>
  <c r="H47" i="14"/>
  <c r="H48" i="14"/>
  <c r="I47" i="14"/>
  <c r="I48" i="14"/>
  <c r="W47" i="14"/>
  <c r="W48" i="14"/>
  <c r="AE47" i="14"/>
  <c r="AE48" i="14"/>
  <c r="U39" i="14"/>
  <c r="U40" i="14"/>
  <c r="T39" i="14"/>
  <c r="T40" i="14"/>
  <c r="U47" i="14"/>
  <c r="U48" i="14"/>
  <c r="P47" i="14"/>
  <c r="P48" i="14"/>
  <c r="AB39" i="14"/>
  <c r="AB40" i="14"/>
  <c r="AC47" i="14"/>
  <c r="AC48" i="14"/>
  <c r="O47" i="14"/>
  <c r="O48" i="14"/>
  <c r="R39" i="14"/>
  <c r="R40" i="14"/>
  <c r="F39" i="14"/>
  <c r="F40" i="14"/>
  <c r="AC39" i="14"/>
  <c r="AC40" i="14"/>
  <c r="L47" i="14"/>
  <c r="L48" i="14"/>
  <c r="T47" i="14"/>
  <c r="T48" i="14"/>
  <c r="N47" i="14"/>
  <c r="N48" i="14"/>
  <c r="AB47" i="14"/>
  <c r="AB48" i="14"/>
  <c r="V47" i="14"/>
  <c r="V48" i="14"/>
  <c r="S39" i="14"/>
  <c r="S40" i="14"/>
  <c r="AD47" i="14"/>
  <c r="AD48" i="14"/>
  <c r="AA39" i="14"/>
  <c r="AA40" i="14"/>
  <c r="N39" i="14"/>
  <c r="N40" i="14"/>
  <c r="Y39" i="14"/>
  <c r="Y40" i="14"/>
  <c r="L39" i="14"/>
  <c r="L40" i="14"/>
  <c r="V39" i="14"/>
  <c r="V40" i="14"/>
  <c r="AD39" i="14"/>
  <c r="AD40" i="14"/>
  <c r="O39" i="14"/>
  <c r="O40" i="14"/>
  <c r="M39" i="14"/>
  <c r="M40" i="14"/>
  <c r="AE39" i="14"/>
  <c r="AE40" i="14"/>
  <c r="Z39" i="14"/>
  <c r="Z40" i="14"/>
  <c r="I39" i="14"/>
  <c r="I40" i="14"/>
  <c r="P39" i="14"/>
  <c r="P40" i="14"/>
  <c r="X39" i="14"/>
  <c r="X40" i="14"/>
  <c r="W39" i="14"/>
  <c r="W40" i="14"/>
  <c r="Q39" i="14"/>
  <c r="Q40" i="14"/>
  <c r="F3" i="11"/>
  <c r="B50" i="14"/>
  <c r="B42" i="14"/>
  <c r="B3" i="11"/>
  <c r="E3" i="11"/>
  <c r="G3" i="11"/>
  <c r="X1258" i="1"/>
  <c r="X810" i="1"/>
  <c r="X1259" i="1"/>
  <c r="X1591" i="1"/>
  <c r="Z787" i="1"/>
  <c r="X806" i="1"/>
  <c r="Z967" i="1"/>
  <c r="Z993" i="1"/>
  <c r="Z806" i="1"/>
  <c r="AE806" i="1"/>
  <c r="X1256" i="1"/>
  <c r="AF806" i="1"/>
  <c r="AC806" i="1"/>
  <c r="AC787" i="1"/>
  <c r="AD806" i="1"/>
  <c r="AD787" i="1"/>
  <c r="X791" i="1"/>
  <c r="X792" i="1"/>
  <c r="X819" i="1"/>
  <c r="X1036" i="1"/>
  <c r="X1257" i="1"/>
  <c r="X807" i="1"/>
  <c r="AC967" i="1"/>
  <c r="AC1256" i="1"/>
  <c r="AE787" i="1"/>
  <c r="AE967" i="1"/>
  <c r="AD967" i="1"/>
  <c r="AG806" i="1"/>
  <c r="AF787" i="1"/>
  <c r="X1041" i="1"/>
  <c r="X1048" i="1"/>
  <c r="X1056" i="1"/>
  <c r="X820" i="1"/>
  <c r="X793" i="1"/>
  <c r="X1260" i="1"/>
  <c r="X1261" i="1"/>
  <c r="X1262" i="1"/>
  <c r="X1304" i="1"/>
  <c r="X1058" i="1"/>
  <c r="X1060" i="1"/>
  <c r="X1062" i="1"/>
  <c r="AF967" i="1"/>
  <c r="AH806" i="1"/>
  <c r="AG787" i="1"/>
  <c r="AF993" i="1"/>
  <c r="AE993" i="1"/>
  <c r="X808" i="1"/>
  <c r="X809" i="1"/>
  <c r="Y768" i="1"/>
  <c r="Z768" i="1"/>
  <c r="V815" i="1"/>
  <c r="Y948" i="1"/>
  <c r="Y1052" i="1"/>
  <c r="Y801" i="1"/>
  <c r="Z676" i="1"/>
  <c r="Z966" i="1"/>
  <c r="W815" i="1"/>
  <c r="Y767" i="1"/>
  <c r="Z767" i="1"/>
  <c r="AG967" i="1"/>
  <c r="AF1256" i="1"/>
  <c r="Y810" i="1"/>
  <c r="Y809" i="1"/>
  <c r="AI806" i="1"/>
  <c r="AH787" i="1"/>
  <c r="Y770" i="1"/>
  <c r="Z770" i="1"/>
  <c r="Z794" i="1"/>
  <c r="Y802" i="1"/>
  <c r="Y807" i="1"/>
  <c r="Z801" i="1"/>
  <c r="Y966" i="1"/>
  <c r="X815" i="1"/>
  <c r="Y964" i="1"/>
  <c r="Z964" i="1"/>
  <c r="Z948" i="1"/>
  <c r="Z1052" i="1"/>
  <c r="Z809" i="1"/>
  <c r="AE809" i="1"/>
  <c r="Z808" i="1"/>
  <c r="AE808" i="1"/>
  <c r="AJ806" i="1"/>
  <c r="AI787" i="1"/>
  <c r="AH967" i="1"/>
  <c r="AG1256" i="1"/>
  <c r="Y771" i="1"/>
  <c r="Y772" i="1"/>
  <c r="Z772" i="1"/>
  <c r="Y1031" i="1"/>
  <c r="Z1031" i="1"/>
  <c r="Y1040" i="1"/>
  <c r="Z1040" i="1"/>
  <c r="Y1254" i="1"/>
  <c r="Z790" i="1"/>
  <c r="Z810" i="1"/>
  <c r="AE810" i="1"/>
  <c r="Z802" i="1"/>
  <c r="AH1256" i="1"/>
  <c r="AD808" i="1"/>
  <c r="AC808" i="1"/>
  <c r="AF808" i="1"/>
  <c r="AG808" i="1"/>
  <c r="AH808" i="1"/>
  <c r="AI808" i="1"/>
  <c r="AJ808" i="1"/>
  <c r="AK808" i="1"/>
  <c r="AL808" i="1"/>
  <c r="AC810" i="1"/>
  <c r="AC790" i="1"/>
  <c r="AD810" i="1"/>
  <c r="AD790" i="1"/>
  <c r="AF810" i="1"/>
  <c r="AI967" i="1"/>
  <c r="AK806" i="1"/>
  <c r="AJ787" i="1"/>
  <c r="AF809" i="1"/>
  <c r="AD809" i="1"/>
  <c r="AD794" i="1"/>
  <c r="AC809" i="1"/>
  <c r="AC794" i="1"/>
  <c r="AE794" i="1"/>
  <c r="Z771" i="1"/>
  <c r="Z1254" i="1"/>
  <c r="Y968" i="1"/>
  <c r="Z788" i="1"/>
  <c r="AE790" i="1"/>
  <c r="Z968" i="1"/>
  <c r="Z807" i="1"/>
  <c r="AE807" i="1"/>
  <c r="AG809" i="1"/>
  <c r="AF794" i="1"/>
  <c r="AL806" i="1"/>
  <c r="AL787" i="1"/>
  <c r="AK787" i="1"/>
  <c r="AG810" i="1"/>
  <c r="AF790" i="1"/>
  <c r="AJ967" i="1"/>
  <c r="AI1256" i="1"/>
  <c r="X1492" i="1"/>
  <c r="AL967" i="1"/>
  <c r="AH809" i="1"/>
  <c r="AG794" i="1"/>
  <c r="AK967" i="1"/>
  <c r="AH810" i="1"/>
  <c r="AG790" i="1"/>
  <c r="AF807" i="1"/>
  <c r="AC807" i="1"/>
  <c r="AC788" i="1"/>
  <c r="AD807" i="1"/>
  <c r="AD788" i="1"/>
  <c r="AD968" i="1"/>
  <c r="AJ1256" i="1"/>
  <c r="Y778" i="1"/>
  <c r="Z778" i="1"/>
  <c r="Y949" i="1"/>
  <c r="Z949" i="1"/>
  <c r="Y777" i="1"/>
  <c r="Z777" i="1"/>
  <c r="AI810" i="1"/>
  <c r="AH790" i="1"/>
  <c r="AK1256" i="1"/>
  <c r="AE788" i="1"/>
  <c r="AE968" i="1"/>
  <c r="AC968" i="1"/>
  <c r="AC789" i="1"/>
  <c r="AC969" i="1"/>
  <c r="AI809" i="1"/>
  <c r="AH794" i="1"/>
  <c r="AG807" i="1"/>
  <c r="AF788" i="1"/>
  <c r="AL1256" i="1"/>
  <c r="X816" i="1"/>
  <c r="W816" i="1"/>
  <c r="V816" i="1"/>
  <c r="Y780" i="1"/>
  <c r="AC792" i="1"/>
  <c r="AC791" i="1"/>
  <c r="AC820" i="1"/>
  <c r="AC819" i="1"/>
  <c r="AC793" i="1"/>
  <c r="AF968" i="1"/>
  <c r="AH807" i="1"/>
  <c r="AG788" i="1"/>
  <c r="AJ809" i="1"/>
  <c r="AI794" i="1"/>
  <c r="AC1258" i="1"/>
  <c r="AC1045" i="1"/>
  <c r="AJ810" i="1"/>
  <c r="AI790" i="1"/>
  <c r="Z780" i="1"/>
  <c r="Y781" i="1"/>
  <c r="AG968" i="1"/>
  <c r="AI807" i="1"/>
  <c r="AH788" i="1"/>
  <c r="AK810" i="1"/>
  <c r="AJ790" i="1"/>
  <c r="AK809" i="1"/>
  <c r="AJ794" i="1"/>
  <c r="Z781" i="1"/>
  <c r="Y782" i="1"/>
  <c r="AJ807" i="1"/>
  <c r="AI788" i="1"/>
  <c r="AL810" i="1"/>
  <c r="AL790" i="1"/>
  <c r="AK790" i="1"/>
  <c r="AL809" i="1"/>
  <c r="AL794" i="1"/>
  <c r="AK794" i="1"/>
  <c r="AH968" i="1"/>
  <c r="Y784" i="1"/>
  <c r="Y785" i="1"/>
  <c r="Z782" i="1"/>
  <c r="Z784" i="1"/>
  <c r="AI968" i="1"/>
  <c r="AK807" i="1"/>
  <c r="AJ788" i="1"/>
  <c r="Y963" i="1"/>
  <c r="Z785" i="1"/>
  <c r="Z963" i="1"/>
  <c r="Z962" i="1"/>
  <c r="Y962" i="1"/>
  <c r="AL807" i="1"/>
  <c r="AL788" i="1"/>
  <c r="AK788" i="1"/>
  <c r="AJ968" i="1"/>
  <c r="AJ789" i="1"/>
  <c r="Z965" i="1"/>
  <c r="Y965" i="1"/>
  <c r="Y1027" i="1"/>
  <c r="Z786" i="1"/>
  <c r="Z818" i="1"/>
  <c r="AJ792" i="1"/>
  <c r="AJ969" i="1"/>
  <c r="AJ1258" i="1"/>
  <c r="AJ791" i="1"/>
  <c r="AJ820" i="1"/>
  <c r="AK968" i="1"/>
  <c r="AK789" i="1"/>
  <c r="AK791" i="1"/>
  <c r="AK820" i="1"/>
  <c r="AL968" i="1"/>
  <c r="AL789" i="1"/>
  <c r="Y1253" i="1"/>
  <c r="Y791" i="1"/>
  <c r="Z789" i="1"/>
  <c r="Z969" i="1"/>
  <c r="Y969" i="1"/>
  <c r="Y792" i="1"/>
  <c r="Y1034" i="1"/>
  <c r="Z1034" i="1"/>
  <c r="Z1027" i="1"/>
  <c r="AJ972" i="1"/>
  <c r="AL792" i="1"/>
  <c r="AL969" i="1"/>
  <c r="AL1258" i="1"/>
  <c r="AJ793" i="1"/>
  <c r="AJ819" i="1"/>
  <c r="AL791" i="1"/>
  <c r="AL820" i="1"/>
  <c r="AK792" i="1"/>
  <c r="AK969" i="1"/>
  <c r="AK1258" i="1"/>
  <c r="Z1253" i="1"/>
  <c r="Z1415" i="1"/>
  <c r="Y1258" i="1"/>
  <c r="Y972" i="1"/>
  <c r="Z972" i="1"/>
  <c r="Z792" i="1"/>
  <c r="Z819" i="1"/>
  <c r="Y819" i="1"/>
  <c r="Y793" i="1"/>
  <c r="Z793" i="1"/>
  <c r="Z791" i="1"/>
  <c r="Z820" i="1"/>
  <c r="Y820" i="1"/>
  <c r="AL793" i="1"/>
  <c r="AL819" i="1"/>
  <c r="AK793" i="1"/>
  <c r="AK819" i="1"/>
  <c r="AL972" i="1"/>
  <c r="AK972" i="1"/>
  <c r="Z1340" i="1"/>
  <c r="Z1480" i="1"/>
  <c r="Z1302" i="1"/>
  <c r="Z1368" i="1"/>
  <c r="Z1366" i="1"/>
  <c r="Z1482" i="1"/>
  <c r="Z1258" i="1"/>
  <c r="Z1365" i="1"/>
  <c r="AE1338" i="1"/>
  <c r="Z1339" i="1"/>
  <c r="Y1482" i="1"/>
  <c r="AE1364" i="1"/>
  <c r="Y1480" i="1"/>
  <c r="X1500" i="1"/>
  <c r="X1493" i="1"/>
  <c r="X1528" i="1"/>
  <c r="X107" i="1"/>
  <c r="X553" i="1"/>
  <c r="X1569" i="1"/>
  <c r="X1532" i="1"/>
  <c r="X1512" i="1"/>
  <c r="X1513" i="1"/>
  <c r="X1524" i="1"/>
  <c r="X1522" i="1"/>
  <c r="Z440" i="1"/>
  <c r="Z508" i="1"/>
  <c r="Y440" i="1"/>
  <c r="Y508" i="1"/>
  <c r="Y1256" i="1"/>
  <c r="Z1256" i="1"/>
  <c r="Y435" i="1"/>
  <c r="Z435" i="1"/>
  <c r="Z448" i="1"/>
  <c r="Y509" i="1"/>
  <c r="Y441" i="1"/>
  <c r="Z509" i="1"/>
  <c r="Z513" i="1"/>
  <c r="Z441" i="1"/>
  <c r="AE441" i="1"/>
  <c r="Y513" i="1"/>
  <c r="Y1257" i="1"/>
  <c r="Z1257" i="1"/>
  <c r="Z1261" i="1"/>
  <c r="AC441" i="1"/>
  <c r="AC432" i="1"/>
  <c r="AD441" i="1"/>
  <c r="AD432" i="1"/>
  <c r="AF441" i="1"/>
  <c r="Y448" i="1"/>
  <c r="Y1261" i="1"/>
  <c r="AB435" i="1"/>
  <c r="AB448" i="1"/>
  <c r="AB509" i="1"/>
  <c r="AC509" i="1"/>
  <c r="AF432" i="1"/>
  <c r="AG441" i="1"/>
  <c r="AE432" i="1"/>
  <c r="AA509" i="1"/>
  <c r="AA513" i="1"/>
  <c r="AA1257" i="1"/>
  <c r="AG432" i="1"/>
  <c r="AH441" i="1"/>
  <c r="AB1257" i="1"/>
  <c r="AB513" i="1"/>
  <c r="AF509" i="1"/>
  <c r="AC1257" i="1"/>
  <c r="AG509" i="1"/>
  <c r="AH432" i="1"/>
  <c r="AI441" i="1"/>
  <c r="AF1257" i="1"/>
  <c r="AJ441" i="1"/>
  <c r="AI432" i="1"/>
  <c r="AH509" i="1"/>
  <c r="AG1257" i="1"/>
  <c r="AK441" i="1"/>
  <c r="AJ432" i="1"/>
  <c r="AI435" i="1"/>
  <c r="AI509" i="1"/>
  <c r="AH1257" i="1"/>
  <c r="AL441" i="1"/>
  <c r="AL432" i="1"/>
  <c r="AK432" i="1"/>
  <c r="AI448" i="1"/>
  <c r="AJ435" i="1"/>
  <c r="AJ509" i="1"/>
  <c r="AI1257" i="1"/>
  <c r="AJ448" i="1"/>
  <c r="AJ1257" i="1"/>
  <c r="AJ513" i="1"/>
  <c r="AK435" i="1"/>
  <c r="AK509" i="1"/>
  <c r="AL435" i="1"/>
  <c r="AL509" i="1"/>
  <c r="AL448" i="1"/>
  <c r="AK1257" i="1"/>
  <c r="AK513" i="1"/>
  <c r="AL1257" i="1"/>
  <c r="AL513" i="1"/>
  <c r="AK448" i="1"/>
  <c r="Y436" i="1"/>
  <c r="Z436" i="1"/>
  <c r="Y434" i="1"/>
  <c r="Z434" i="1"/>
  <c r="Z512" i="1"/>
  <c r="Z569" i="1"/>
  <c r="Y511" i="1"/>
  <c r="Y570" i="1"/>
  <c r="Y442" i="1"/>
  <c r="Z442" i="1"/>
  <c r="AE442" i="1"/>
  <c r="Y514" i="1"/>
  <c r="Z449" i="1"/>
  <c r="AD442" i="1"/>
  <c r="AD433" i="1"/>
  <c r="AC442" i="1"/>
  <c r="AC433" i="1"/>
  <c r="AF442" i="1"/>
  <c r="Z511" i="1"/>
  <c r="Y449" i="1"/>
  <c r="Y512" i="1"/>
  <c r="Y569" i="1"/>
  <c r="Y575" i="1"/>
  <c r="Y581" i="1"/>
  <c r="Y583" i="1"/>
  <c r="Y585" i="1"/>
  <c r="Y535" i="1"/>
  <c r="AC434" i="1"/>
  <c r="AC512" i="1"/>
  <c r="AC569" i="1"/>
  <c r="AC511" i="1"/>
  <c r="AD434" i="1"/>
  <c r="AB436" i="1"/>
  <c r="AB511" i="1"/>
  <c r="AB434" i="1"/>
  <c r="AB512" i="1"/>
  <c r="AB569" i="1"/>
  <c r="Z570" i="1"/>
  <c r="Z575" i="1"/>
  <c r="Z581" i="1"/>
  <c r="Z583" i="1"/>
  <c r="Z585" i="1"/>
  <c r="Z514" i="1"/>
  <c r="AF433" i="1"/>
  <c r="AG442" i="1"/>
  <c r="AE433" i="1"/>
  <c r="AA511" i="1"/>
  <c r="AD449" i="1"/>
  <c r="Z535" i="1"/>
  <c r="AC570" i="1"/>
  <c r="AC575" i="1"/>
  <c r="AC581" i="1"/>
  <c r="AC583" i="1"/>
  <c r="AF511" i="1"/>
  <c r="AF434" i="1"/>
  <c r="AF512" i="1"/>
  <c r="AF569" i="1"/>
  <c r="AB570" i="1"/>
  <c r="AB575" i="1"/>
  <c r="AB581" i="1"/>
  <c r="AB583" i="1"/>
  <c r="AB585" i="1"/>
  <c r="AB514" i="1"/>
  <c r="AA570" i="1"/>
  <c r="AA514" i="1"/>
  <c r="AA535" i="1"/>
  <c r="AG433" i="1"/>
  <c r="AH442" i="1"/>
  <c r="AA512" i="1"/>
  <c r="AA569" i="1"/>
  <c r="AE434" i="1"/>
  <c r="AB449" i="1"/>
  <c r="AC449" i="1"/>
  <c r="AF449" i="1"/>
  <c r="AE449" i="1"/>
  <c r="AA575" i="1"/>
  <c r="AA581" i="1"/>
  <c r="AA583" i="1"/>
  <c r="AA585" i="1"/>
  <c r="AI442" i="1"/>
  <c r="AH433" i="1"/>
  <c r="AG434" i="1"/>
  <c r="AG512" i="1"/>
  <c r="AG569" i="1"/>
  <c r="AG511" i="1"/>
  <c r="AF570" i="1"/>
  <c r="AF575" i="1"/>
  <c r="AF581" i="1"/>
  <c r="AF583" i="1"/>
  <c r="AB535" i="1"/>
  <c r="AB517" i="1"/>
  <c r="AA517" i="1"/>
  <c r="AJ442" i="1"/>
  <c r="AI433" i="1"/>
  <c r="AH434" i="1"/>
  <c r="AH512" i="1"/>
  <c r="AH569" i="1"/>
  <c r="AH511" i="1"/>
  <c r="AG570" i="1"/>
  <c r="AG575" i="1"/>
  <c r="AG581" i="1"/>
  <c r="AG583" i="1"/>
  <c r="AB521" i="1"/>
  <c r="AB526" i="1"/>
  <c r="AB527" i="1"/>
  <c r="AB559" i="1"/>
  <c r="AA521" i="1"/>
  <c r="AA526" i="1"/>
  <c r="AA527" i="1"/>
  <c r="AG449" i="1"/>
  <c r="AA523" i="1"/>
  <c r="AA524" i="1"/>
  <c r="AH570" i="1"/>
  <c r="AJ433" i="1"/>
  <c r="AK442" i="1"/>
  <c r="AI436" i="1"/>
  <c r="AI511" i="1"/>
  <c r="AI434" i="1"/>
  <c r="AI512" i="1"/>
  <c r="AI569" i="1"/>
  <c r="AH449" i="1"/>
  <c r="AA559" i="1"/>
  <c r="AA1315" i="1"/>
  <c r="AH575" i="1"/>
  <c r="AH581" i="1"/>
  <c r="AH583" i="1"/>
  <c r="AB1315" i="1"/>
  <c r="AB523" i="1"/>
  <c r="AB524" i="1"/>
  <c r="AI449" i="1"/>
  <c r="AK433" i="1"/>
  <c r="AL442" i="1"/>
  <c r="AL433" i="1"/>
  <c r="AJ436" i="1"/>
  <c r="AJ434" i="1"/>
  <c r="AJ512" i="1"/>
  <c r="AJ569" i="1"/>
  <c r="AJ511" i="1"/>
  <c r="AI570" i="1"/>
  <c r="AI575" i="1"/>
  <c r="AI581" i="1"/>
  <c r="AI583" i="1"/>
  <c r="AJ449" i="1"/>
  <c r="AJ570" i="1"/>
  <c r="AJ575" i="1"/>
  <c r="AJ581" i="1"/>
  <c r="AJ583" i="1"/>
  <c r="AJ585" i="1"/>
  <c r="AJ514" i="1"/>
  <c r="AL436" i="1"/>
  <c r="AL434" i="1"/>
  <c r="AL512" i="1"/>
  <c r="AL569" i="1"/>
  <c r="AL511" i="1"/>
  <c r="AK436" i="1"/>
  <c r="AK434" i="1"/>
  <c r="AK512" i="1"/>
  <c r="AK569" i="1"/>
  <c r="AK511" i="1"/>
  <c r="AK449" i="1"/>
  <c r="AL449" i="1"/>
  <c r="AL570" i="1"/>
  <c r="AL575" i="1"/>
  <c r="AL581" i="1"/>
  <c r="AL583" i="1"/>
  <c r="AL585" i="1"/>
  <c r="AL514" i="1"/>
  <c r="AJ535" i="1"/>
  <c r="AK570" i="1"/>
  <c r="AK575" i="1"/>
  <c r="AK581" i="1"/>
  <c r="AK583" i="1"/>
  <c r="AK585" i="1"/>
  <c r="AK514" i="1"/>
  <c r="AL535" i="1"/>
  <c r="AK535" i="1"/>
  <c r="Y1270" i="1"/>
  <c r="Z516" i="1"/>
  <c r="AE516" i="1"/>
  <c r="Y517" i="1"/>
  <c r="Y526" i="1"/>
  <c r="Y534" i="1"/>
  <c r="Y552" i="1"/>
  <c r="AD516" i="1"/>
  <c r="AK516" i="1"/>
  <c r="AF516" i="1"/>
  <c r="Z517" i="1"/>
  <c r="Y521" i="1"/>
  <c r="Y527" i="1"/>
  <c r="Y559" i="1"/>
  <c r="AK1270" i="1"/>
  <c r="AK517" i="1"/>
  <c r="Y1315" i="1"/>
  <c r="Z521" i="1"/>
  <c r="Z552" i="1"/>
  <c r="Z526" i="1"/>
  <c r="AF1270" i="1"/>
  <c r="AL516" i="1"/>
  <c r="AD1270" i="1"/>
  <c r="AE1270" i="1"/>
  <c r="AJ516" i="1"/>
  <c r="Y523" i="1"/>
  <c r="Z523" i="1"/>
  <c r="AL1270" i="1"/>
  <c r="AL517" i="1"/>
  <c r="AK521" i="1"/>
  <c r="AK526" i="1"/>
  <c r="Z534" i="1"/>
  <c r="Z527" i="1"/>
  <c r="Y524" i="1"/>
  <c r="Z524" i="1"/>
  <c r="AJ1270" i="1"/>
  <c r="AJ517" i="1"/>
  <c r="Z559" i="1"/>
  <c r="H18" i="29"/>
  <c r="H17" i="29"/>
  <c r="Z1315" i="1"/>
  <c r="AK1315" i="1"/>
  <c r="AK527" i="1"/>
  <c r="AK559" i="1"/>
  <c r="AK523" i="1"/>
  <c r="AK524" i="1"/>
  <c r="AJ521" i="1"/>
  <c r="AJ526" i="1"/>
  <c r="AK534" i="1"/>
  <c r="AL521" i="1"/>
  <c r="AL526" i="1"/>
  <c r="H23" i="29"/>
  <c r="AF17" i="29"/>
  <c r="H83" i="29"/>
  <c r="AL534" i="1"/>
  <c r="AL527" i="1"/>
  <c r="AL559" i="1"/>
  <c r="AL1315" i="1"/>
  <c r="AL523" i="1"/>
  <c r="AL524" i="1"/>
  <c r="AJ527" i="1"/>
  <c r="AJ559" i="1"/>
  <c r="AJ1315" i="1"/>
  <c r="H25" i="29"/>
  <c r="AB18" i="29"/>
  <c r="H26" i="29"/>
  <c r="AF18" i="29"/>
  <c r="H84" i="29"/>
  <c r="H19" i="29"/>
  <c r="H9" i="29"/>
  <c r="H10" i="29"/>
  <c r="H24" i="29"/>
  <c r="AJ523" i="1"/>
  <c r="AJ524" i="1"/>
  <c r="H89" i="29"/>
  <c r="H92" i="29"/>
  <c r="H95" i="29"/>
  <c r="I142" i="29"/>
  <c r="I148" i="29"/>
  <c r="I153" i="29"/>
  <c r="I156" i="29"/>
  <c r="H116" i="29"/>
  <c r="H97" i="29"/>
  <c r="H90" i="29"/>
  <c r="AF19" i="29"/>
  <c r="H31" i="29"/>
  <c r="H30" i="29"/>
  <c r="H29" i="29"/>
  <c r="H100" i="29"/>
  <c r="H101" i="29"/>
  <c r="H102" i="29"/>
  <c r="AE974" i="1"/>
  <c r="AF974" i="1"/>
  <c r="AA1269" i="1"/>
  <c r="AB974" i="1"/>
  <c r="AG974" i="1"/>
  <c r="AF1269" i="1"/>
  <c r="AG1269" i="1"/>
  <c r="AH974" i="1"/>
  <c r="AB1269" i="1"/>
  <c r="AC974" i="1"/>
  <c r="AC1269" i="1"/>
  <c r="AI974" i="1"/>
  <c r="AH1269" i="1"/>
  <c r="AD974" i="1"/>
  <c r="AD1269" i="1"/>
  <c r="AE1269" i="1"/>
  <c r="AI1269" i="1"/>
  <c r="AJ974" i="1"/>
  <c r="AJ1269" i="1"/>
  <c r="AK974" i="1"/>
  <c r="AL974" i="1"/>
  <c r="AL1269" i="1"/>
  <c r="AK1269" i="1"/>
  <c r="AA494" i="1"/>
  <c r="AA496" i="1"/>
  <c r="AA939" i="1"/>
  <c r="AD319" i="1"/>
  <c r="AD239" i="1"/>
  <c r="AD238" i="1"/>
  <c r="AD494" i="1"/>
  <c r="AD496" i="1"/>
  <c r="AD240" i="1"/>
  <c r="AD235" i="1"/>
  <c r="AD926" i="1"/>
  <c r="AD939" i="1"/>
  <c r="AD234" i="1"/>
  <c r="AE235" i="1"/>
  <c r="AE247" i="1"/>
  <c r="AD247" i="1"/>
  <c r="AD253" i="1"/>
  <c r="AE939" i="1"/>
  <c r="AD233" i="1"/>
  <c r="AE233" i="1"/>
  <c r="AD223" i="1"/>
  <c r="AD305" i="1"/>
  <c r="AD292" i="1"/>
  <c r="AD245" i="1"/>
  <c r="AD251" i="1"/>
  <c r="AD284" i="1"/>
  <c r="AD285" i="1"/>
  <c r="AD286" i="1"/>
  <c r="AD228" i="1"/>
  <c r="AE234" i="1"/>
  <c r="AD246" i="1"/>
  <c r="AD252" i="1"/>
  <c r="AD500" i="1"/>
  <c r="AD306" i="1"/>
  <c r="AD307" i="1"/>
  <c r="AD266" i="1"/>
  <c r="AD275" i="1"/>
  <c r="AD276" i="1"/>
  <c r="AD928" i="1"/>
  <c r="AD1052" i="1"/>
  <c r="AD1053" i="1"/>
  <c r="AE228" i="1"/>
  <c r="AE246" i="1"/>
  <c r="AE292" i="1"/>
  <c r="AE508" i="1"/>
  <c r="AD508" i="1"/>
  <c r="AD1256" i="1"/>
  <c r="AE245" i="1"/>
  <c r="AE223" i="1"/>
  <c r="AE305" i="1"/>
  <c r="AD268" i="1"/>
  <c r="AE1256" i="1"/>
  <c r="AD294" i="1"/>
  <c r="AD295" i="1"/>
  <c r="AD293" i="1"/>
  <c r="AD299" i="1"/>
  <c r="AD278" i="1"/>
  <c r="AD279" i="1"/>
  <c r="AD280" i="1"/>
  <c r="AD502" i="1"/>
  <c r="AD577" i="1"/>
  <c r="AD582" i="1"/>
  <c r="AD511" i="1"/>
  <c r="AE295" i="1"/>
  <c r="AE293" i="1"/>
  <c r="AE509" i="1"/>
  <c r="AD509" i="1"/>
  <c r="AD1257" i="1"/>
  <c r="AD296" i="1"/>
  <c r="AE299" i="1"/>
  <c r="AD547" i="1"/>
  <c r="AD548" i="1"/>
  <c r="AD1546" i="1"/>
  <c r="AD1547" i="1"/>
  <c r="AD1598" i="1"/>
  <c r="AE294" i="1"/>
  <c r="AE510" i="1"/>
  <c r="AD510" i="1"/>
  <c r="AD1601" i="1"/>
  <c r="AD1568" i="1"/>
  <c r="AE1568" i="1"/>
  <c r="AD512" i="1"/>
  <c r="AD569" i="1"/>
  <c r="AE296" i="1"/>
  <c r="AE512" i="1"/>
  <c r="AE569" i="1"/>
  <c r="AE511" i="1"/>
  <c r="AE570" i="1"/>
  <c r="AE1257" i="1"/>
  <c r="AD570" i="1"/>
  <c r="AD321" i="1"/>
  <c r="AE321" i="1"/>
  <c r="AD575" i="1"/>
  <c r="AD581" i="1"/>
  <c r="AD583" i="1"/>
  <c r="AE575" i="1"/>
  <c r="AE581" i="1"/>
  <c r="AE583" i="1"/>
  <c r="AA949" i="1"/>
  <c r="AA778" i="1"/>
  <c r="AA780" i="1"/>
  <c r="AA816" i="1"/>
  <c r="AD816" i="1"/>
  <c r="AD758" i="1"/>
  <c r="AA777" i="1"/>
  <c r="AA781" i="1"/>
  <c r="AA782" i="1"/>
  <c r="AD949" i="1"/>
  <c r="AE949" i="1"/>
  <c r="AD777" i="1"/>
  <c r="AD778" i="1"/>
  <c r="AD780" i="1"/>
  <c r="AE780" i="1"/>
  <c r="AE778" i="1"/>
  <c r="AA784" i="1"/>
  <c r="AA962" i="1"/>
  <c r="AD781" i="1"/>
  <c r="AE777" i="1"/>
  <c r="AD782" i="1"/>
  <c r="AE781" i="1"/>
  <c r="AA785" i="1"/>
  <c r="AA963" i="1"/>
  <c r="AA965" i="1"/>
  <c r="AA972" i="1"/>
  <c r="AA1027" i="1"/>
  <c r="AA1253" i="1"/>
  <c r="AD784" i="1"/>
  <c r="AE782" i="1"/>
  <c r="AE784" i="1"/>
  <c r="AD786" i="1"/>
  <c r="AD962" i="1"/>
  <c r="AA552" i="1"/>
  <c r="AA1261" i="1"/>
  <c r="AE786" i="1"/>
  <c r="AE962" i="1"/>
  <c r="AE965" i="1"/>
  <c r="AA1034" i="1"/>
  <c r="AE818" i="1"/>
  <c r="AD789" i="1"/>
  <c r="AD791" i="1"/>
  <c r="AE789" i="1"/>
  <c r="AE969" i="1"/>
  <c r="AD969" i="1"/>
  <c r="AD792" i="1"/>
  <c r="AE1045" i="1"/>
  <c r="AE972" i="1"/>
  <c r="AD1045" i="1"/>
  <c r="AD1258" i="1"/>
  <c r="AD793" i="1"/>
  <c r="AE793" i="1"/>
  <c r="AE792" i="1"/>
  <c r="AE819" i="1"/>
  <c r="AD819" i="1"/>
  <c r="AE791" i="1"/>
  <c r="AE820" i="1"/>
  <c r="AD820" i="1"/>
  <c r="AE1258" i="1"/>
  <c r="AB1029" i="1"/>
  <c r="AB635" i="1"/>
  <c r="AB963" i="1"/>
  <c r="AB965" i="1"/>
  <c r="AB972" i="1"/>
  <c r="AB682" i="1"/>
  <c r="AB1027" i="1"/>
  <c r="AB1253" i="1"/>
  <c r="AC635" i="1"/>
  <c r="AB695" i="1"/>
  <c r="AB683" i="1"/>
  <c r="AB552" i="1"/>
  <c r="AB1261" i="1"/>
  <c r="AC636" i="1"/>
  <c r="AC963" i="1"/>
  <c r="AC965" i="1"/>
  <c r="AD635" i="1"/>
  <c r="AB1034" i="1"/>
  <c r="AD636" i="1"/>
  <c r="AD963" i="1"/>
  <c r="AD965" i="1"/>
  <c r="AC1029" i="1"/>
  <c r="AC682" i="1"/>
  <c r="AC1027" i="1"/>
  <c r="AC972" i="1"/>
  <c r="AD1027" i="1"/>
  <c r="AE1027" i="1"/>
  <c r="AD972" i="1"/>
  <c r="AC1034" i="1"/>
  <c r="AC695" i="1"/>
  <c r="AC683" i="1"/>
  <c r="AD1029" i="1"/>
  <c r="AE1029" i="1"/>
  <c r="AD682" i="1"/>
  <c r="AE682" i="1"/>
  <c r="AE695" i="1"/>
  <c r="AE725" i="1"/>
  <c r="AE724" i="1"/>
  <c r="AE726" i="1"/>
  <c r="AE683" i="1"/>
  <c r="AD1034" i="1"/>
  <c r="AD683" i="1"/>
  <c r="AD695" i="1"/>
  <c r="AE1034" i="1"/>
  <c r="AE727" i="1"/>
  <c r="X975" i="1"/>
  <c r="X1270" i="1"/>
  <c r="W975" i="1"/>
  <c r="W976" i="1"/>
  <c r="W1270" i="1"/>
  <c r="Z1270" i="1"/>
  <c r="X976" i="1"/>
  <c r="X979" i="1"/>
  <c r="W979" i="1"/>
  <c r="W985" i="1"/>
  <c r="W986" i="1"/>
  <c r="W1316" i="1"/>
  <c r="W1272" i="1"/>
  <c r="X1272" i="1"/>
  <c r="X985" i="1"/>
  <c r="X986" i="1"/>
  <c r="X1316" i="1"/>
  <c r="X981" i="1"/>
  <c r="X982" i="1"/>
  <c r="X1327" i="1"/>
  <c r="X1319" i="1"/>
  <c r="X1324" i="1"/>
  <c r="X1325" i="1"/>
  <c r="X1326" i="1"/>
  <c r="X1273" i="1"/>
  <c r="X1296" i="1"/>
  <c r="X1297" i="1"/>
  <c r="X1305" i="1"/>
  <c r="X106" i="1"/>
  <c r="X108" i="1"/>
  <c r="W106" i="1"/>
  <c r="W108" i="1"/>
  <c r="W1296" i="1"/>
  <c r="W1297" i="1"/>
  <c r="W1305" i="1"/>
  <c r="W1273" i="1"/>
  <c r="W1278" i="1"/>
  <c r="W1327" i="1"/>
  <c r="W1319" i="1"/>
  <c r="W1325" i="1"/>
  <c r="W1326" i="1"/>
  <c r="W1324" i="1"/>
  <c r="W981" i="1"/>
  <c r="W982" i="1"/>
  <c r="W1306" i="1"/>
  <c r="W1279" i="1"/>
  <c r="W1281" i="1"/>
  <c r="W1283" i="1"/>
  <c r="X1306" i="1"/>
  <c r="W1590" i="1"/>
  <c r="W1594" i="1"/>
  <c r="W1613" i="1"/>
  <c r="W1285" i="1"/>
  <c r="W1571" i="1"/>
  <c r="W1566" i="1"/>
  <c r="W1567" i="1"/>
  <c r="W1286" i="1"/>
  <c r="W1294" i="1"/>
  <c r="W1530" i="1"/>
  <c r="W1529" i="1"/>
  <c r="W1293" i="1"/>
  <c r="W1570" i="1"/>
  <c r="W1573" i="1"/>
  <c r="L51" i="35"/>
  <c r="AQ59" i="35" s="1"/>
  <c r="K51" i="35"/>
  <c r="AN59" i="35"/>
  <c r="M51" i="35"/>
  <c r="N51" i="35"/>
  <c r="K46" i="25"/>
  <c r="K84" i="35"/>
  <c r="BU163" i="35" s="1"/>
  <c r="BU162" i="35" s="1"/>
  <c r="CD155" i="35" s="1"/>
  <c r="L46" i="25"/>
  <c r="L84" i="35"/>
  <c r="BV163" i="35"/>
  <c r="BV162" i="35" s="1"/>
  <c r="CH155" i="35" s="1"/>
  <c r="CG155" i="35" s="1"/>
  <c r="J85" i="35"/>
  <c r="AI18" i="1"/>
  <c r="AH18" i="1"/>
  <c r="AG18" i="1"/>
  <c r="AI258" i="1"/>
  <c r="AI279" i="1" s="1"/>
  <c r="AI280" i="1" s="1"/>
  <c r="AI289" i="1" s="1"/>
  <c r="AI291" i="1" s="1"/>
  <c r="AI507" i="1" s="1"/>
  <c r="AI623" i="1"/>
  <c r="AI630" i="1" s="1"/>
  <c r="AI634" i="1" s="1"/>
  <c r="AI761" i="1"/>
  <c r="AH623" i="1"/>
  <c r="AH630" i="1" s="1"/>
  <c r="AH634" i="1" s="1"/>
  <c r="AF18" i="1"/>
  <c r="AI505" i="1"/>
  <c r="AF16" i="1"/>
  <c r="AG16" i="1"/>
  <c r="AI297" i="1"/>
  <c r="AI298" i="1" s="1"/>
  <c r="AH16" i="1"/>
  <c r="AG257" i="1"/>
  <c r="AG269" i="1" s="1"/>
  <c r="AG270" i="1" s="1"/>
  <c r="AH166" i="1"/>
  <c r="AH175" i="1"/>
  <c r="AH176" i="1" s="1"/>
  <c r="AH183" i="1" s="1"/>
  <c r="AH185" i="1" s="1"/>
  <c r="AH190" i="1" s="1"/>
  <c r="AH257" i="1"/>
  <c r="AH269" i="1"/>
  <c r="AH270" i="1"/>
  <c r="AH348" i="1"/>
  <c r="AH417" i="1"/>
  <c r="AH423" i="1" s="1"/>
  <c r="AH424" i="1" s="1"/>
  <c r="AH428" i="1" s="1"/>
  <c r="AH430" i="1" s="1"/>
  <c r="AH435" i="1" s="1"/>
  <c r="AF348" i="1"/>
  <c r="AF417" i="1"/>
  <c r="AF423" i="1"/>
  <c r="AF424" i="1"/>
  <c r="AF428" i="1"/>
  <c r="AF430" i="1" s="1"/>
  <c r="AF435" i="1"/>
  <c r="AF448" i="1" s="1"/>
  <c r="AF257" i="1"/>
  <c r="AF269" i="1" s="1"/>
  <c r="AF270" i="1" s="1"/>
  <c r="AF166" i="1"/>
  <c r="AF175" i="1"/>
  <c r="AF176" i="1" s="1"/>
  <c r="AF183" i="1" s="1"/>
  <c r="AF185" i="1" s="1"/>
  <c r="AF190" i="1" s="1"/>
  <c r="AI320" i="1"/>
  <c r="AH357" i="1"/>
  <c r="AH358" i="1" s="1"/>
  <c r="AH366" i="1" s="1"/>
  <c r="AH368" i="1" s="1"/>
  <c r="AH373" i="1" s="1"/>
  <c r="AH362" i="1"/>
  <c r="AH363" i="1"/>
  <c r="AF357" i="1"/>
  <c r="AF358" i="1"/>
  <c r="AF362" i="1"/>
  <c r="AF363" i="1"/>
  <c r="AF366" i="1" s="1"/>
  <c r="K85" i="35"/>
  <c r="AF368" i="1"/>
  <c r="AF373" i="1" s="1"/>
  <c r="AF399" i="1" s="1"/>
  <c r="AI15" i="1"/>
  <c r="AJ15" i="1" s="1"/>
  <c r="AJ47" i="1" s="1"/>
  <c r="AJ49" i="1" s="1"/>
  <c r="AJ51" i="1" s="1"/>
  <c r="AJ62" i="1" s="1"/>
  <c r="AF15" i="1"/>
  <c r="AF47" i="1"/>
  <c r="AF49" i="1" s="1"/>
  <c r="AF51" i="1" s="1"/>
  <c r="AF62" i="1" s="1"/>
  <c r="AF64" i="1" s="1"/>
  <c r="AI47" i="1"/>
  <c r="AI49" i="1" s="1"/>
  <c r="AI51" i="1" s="1"/>
  <c r="AI62" i="1" s="1"/>
  <c r="AI64" i="1" s="1"/>
  <c r="AH15" i="1"/>
  <c r="AH47" i="1"/>
  <c r="AH49" i="1" s="1"/>
  <c r="AH51" i="1" s="1"/>
  <c r="AH62" i="1" s="1"/>
  <c r="AH64" i="1" s="1"/>
  <c r="AG15" i="1"/>
  <c r="AG47" i="1" s="1"/>
  <c r="AG49" i="1" s="1"/>
  <c r="AG51" i="1"/>
  <c r="AG62" i="1" s="1"/>
  <c r="AG64" i="1" s="1"/>
  <c r="J46" i="25"/>
  <c r="J84" i="35"/>
  <c r="BT163" i="35"/>
  <c r="AJ64" i="1"/>
  <c r="AJ70" i="1" s="1"/>
  <c r="AJ71" i="1" s="1"/>
  <c r="M53" i="35"/>
  <c r="N52" i="35"/>
  <c r="AF374" i="1"/>
  <c r="L85" i="35"/>
  <c r="M52" i="35"/>
  <c r="N53" i="35"/>
  <c r="K52" i="35"/>
  <c r="AN60" i="35"/>
  <c r="L53" i="35"/>
  <c r="AQ61" i="35" s="1"/>
  <c r="K53" i="35"/>
  <c r="AN61" i="35"/>
  <c r="L52" i="35"/>
  <c r="AQ60" i="35"/>
  <c r="J52" i="35"/>
  <c r="M50" i="35"/>
  <c r="N50" i="35"/>
  <c r="L50" i="35"/>
  <c r="AQ58" i="35" s="1"/>
  <c r="N54" i="35"/>
  <c r="J53" i="35"/>
  <c r="J54" i="35"/>
  <c r="J51" i="35"/>
  <c r="K50" i="35"/>
  <c r="AN58" i="35"/>
  <c r="L54" i="35"/>
  <c r="AQ62" i="35" s="1"/>
  <c r="K54" i="35"/>
  <c r="AN62" i="35"/>
  <c r="M56" i="35"/>
  <c r="N56" i="35"/>
  <c r="L56" i="35"/>
  <c r="K56" i="35"/>
  <c r="J50" i="35"/>
  <c r="L68" i="35"/>
  <c r="BU153" i="35"/>
  <c r="BY155" i="35" s="1"/>
  <c r="BY156" i="35" s="1"/>
  <c r="K17" i="35"/>
  <c r="K92" i="35"/>
  <c r="K93" i="35" s="1"/>
  <c r="K94" i="35" s="1"/>
  <c r="K96" i="35" s="1"/>
  <c r="K97" i="35" s="1"/>
  <c r="K68" i="35"/>
  <c r="BU158" i="35"/>
  <c r="L59" i="35"/>
  <c r="L60" i="35"/>
  <c r="L61" i="35"/>
  <c r="BV161" i="35"/>
  <c r="CG156" i="35" s="1"/>
  <c r="K59" i="35"/>
  <c r="K60" i="35"/>
  <c r="K61" i="35"/>
  <c r="BU161" i="35"/>
  <c r="CC156" i="35"/>
  <c r="L57" i="35"/>
  <c r="K57" i="35"/>
  <c r="J59" i="35"/>
  <c r="BV159" i="35"/>
  <c r="L58" i="35"/>
  <c r="L71" i="35" s="1"/>
  <c r="L70" i="35"/>
  <c r="L73" i="35"/>
  <c r="K58" i="35"/>
  <c r="K71" i="35" s="1"/>
  <c r="K73" i="35"/>
  <c r="K70" i="35"/>
  <c r="J60" i="35"/>
  <c r="J61" i="35" s="1"/>
  <c r="BT161" i="35" s="1"/>
  <c r="BV155" i="35"/>
  <c r="BV156" i="35"/>
  <c r="J63" i="35"/>
  <c r="J57" i="35"/>
  <c r="J18" i="35" s="1"/>
  <c r="J70" i="35"/>
  <c r="J73" i="35"/>
  <c r="K63" i="35"/>
  <c r="J43" i="35"/>
  <c r="J44" i="35"/>
  <c r="J42" i="35" s="1"/>
  <c r="BT160" i="35"/>
  <c r="BY157" i="35"/>
  <c r="BY159" i="35"/>
  <c r="BY160" i="35" s="1"/>
  <c r="BY161" i="35" s="1"/>
  <c r="J67" i="35"/>
  <c r="J72" i="35"/>
  <c r="AV18" i="35"/>
  <c r="K64" i="35"/>
  <c r="L63" i="35"/>
  <c r="L64" i="35" s="1"/>
  <c r="BU160" i="35"/>
  <c r="K43" i="35"/>
  <c r="K44" i="35"/>
  <c r="K67" i="35"/>
  <c r="Z1073" i="1" l="1"/>
  <c r="I1074" i="1"/>
  <c r="I1076" i="1" s="1"/>
  <c r="I1078" i="1" s="1"/>
  <c r="X1074" i="1"/>
  <c r="X1076" i="1" s="1"/>
  <c r="X1078" i="1" s="1"/>
  <c r="X1099" i="1" s="1"/>
  <c r="X1100" i="1" s="1"/>
  <c r="X1158" i="1" s="1"/>
  <c r="X1159" i="1" s="1"/>
  <c r="G1074" i="1"/>
  <c r="G1076" i="1" s="1"/>
  <c r="G1078" i="1" s="1"/>
  <c r="J1074" i="1"/>
  <c r="J1076" i="1" s="1"/>
  <c r="J1078" i="1" s="1"/>
  <c r="Z1076" i="1"/>
  <c r="V1078" i="1"/>
  <c r="M1159" i="1"/>
  <c r="M1177" i="1" s="1"/>
  <c r="M1178" i="1"/>
  <c r="Z1158" i="1"/>
  <c r="W1159" i="1"/>
  <c r="Z1159" i="1" s="1"/>
  <c r="H1074" i="1"/>
  <c r="H1076" i="1" s="1"/>
  <c r="H1078" i="1" s="1"/>
  <c r="AF70" i="1"/>
  <c r="AF71" i="1" s="1"/>
  <c r="AI506" i="1"/>
  <c r="AI565" i="1" s="1"/>
  <c r="AI584" i="1" s="1"/>
  <c r="AI585" i="1" s="1"/>
  <c r="AI513" i="1"/>
  <c r="AI514" i="1" s="1"/>
  <c r="AJ533" i="1"/>
  <c r="AI564" i="1"/>
  <c r="AI567" i="1" s="1"/>
  <c r="AJ92" i="1"/>
  <c r="AJ74" i="1"/>
  <c r="AG70" i="1"/>
  <c r="AG71" i="1" s="1"/>
  <c r="AG90" i="1"/>
  <c r="AH374" i="1"/>
  <c r="AH399" i="1"/>
  <c r="AH210" i="1"/>
  <c r="AH191" i="1"/>
  <c r="AI70" i="1"/>
  <c r="AI71" i="1" s="1"/>
  <c r="AI90" i="1"/>
  <c r="CG157" i="35"/>
  <c r="CG158" i="35" s="1"/>
  <c r="AH90" i="1"/>
  <c r="AH70" i="1"/>
  <c r="AH71" i="1" s="1"/>
  <c r="AF191" i="1"/>
  <c r="AF210" i="1"/>
  <c r="AQ63" i="35"/>
  <c r="AZ59" i="35" s="1"/>
  <c r="AH436" i="1"/>
  <c r="AH448" i="1"/>
  <c r="AI677" i="1"/>
  <c r="AI636" i="1"/>
  <c r="AH636" i="1"/>
  <c r="N61" i="10"/>
  <c r="N60" i="10"/>
  <c r="N62" i="10"/>
  <c r="M102" i="29"/>
  <c r="M101" i="29"/>
  <c r="M100" i="29"/>
  <c r="AN63" i="35"/>
  <c r="AW61" i="35" s="1"/>
  <c r="AW58" i="35"/>
  <c r="N22" i="28"/>
  <c r="M25" i="28"/>
  <c r="M23" i="28"/>
  <c r="L92" i="35"/>
  <c r="L93" i="35" s="1"/>
  <c r="L94" i="35" s="1"/>
  <c r="L96" i="35" s="1"/>
  <c r="L97" i="35" s="1"/>
  <c r="BV153" i="35"/>
  <c r="AW60" i="35"/>
  <c r="AK15" i="1"/>
  <c r="AF436" i="1"/>
  <c r="AI771" i="1"/>
  <c r="AI772" i="1" s="1"/>
  <c r="AI784" i="1" s="1"/>
  <c r="AI786" i="1" s="1"/>
  <c r="AI675" i="1"/>
  <c r="AI964" i="1" s="1"/>
  <c r="AW59" i="35"/>
  <c r="L29" i="10"/>
  <c r="AB19" i="10"/>
  <c r="AB28" i="10"/>
  <c r="L30" i="10"/>
  <c r="M23" i="10"/>
  <c r="N22" i="10"/>
  <c r="AD27" i="29"/>
  <c r="N26" i="29"/>
  <c r="N19" i="29"/>
  <c r="N24" i="29"/>
  <c r="N102" i="29"/>
  <c r="N101" i="29"/>
  <c r="N100" i="29"/>
  <c r="AC26" i="10"/>
  <c r="U17" i="10"/>
  <c r="U21" i="10" s="1"/>
  <c r="Z31" i="35"/>
  <c r="Z29" i="35"/>
  <c r="Z30" i="35"/>
  <c r="J31" i="25"/>
  <c r="K29" i="25"/>
  <c r="K34" i="25" s="1"/>
  <c r="AG348" i="1"/>
  <c r="AG166" i="1"/>
  <c r="AG175" i="1" s="1"/>
  <c r="AG176" i="1" s="1"/>
  <c r="AG183" i="1" s="1"/>
  <c r="AG185" i="1" s="1"/>
  <c r="AG190" i="1" s="1"/>
  <c r="AG417" i="1"/>
  <c r="AG423" i="1" s="1"/>
  <c r="AG424" i="1" s="1"/>
  <c r="AG428" i="1" s="1"/>
  <c r="AG430" i="1" s="1"/>
  <c r="AG435" i="1" s="1"/>
  <c r="AH677" i="1"/>
  <c r="M60" i="10"/>
  <c r="M61" i="10"/>
  <c r="K69" i="35"/>
  <c r="L67" i="35"/>
  <c r="AG289" i="1"/>
  <c r="N55" i="28"/>
  <c r="N56" i="28"/>
  <c r="AD53" i="28"/>
  <c r="M57" i="10"/>
  <c r="M56" i="10"/>
  <c r="M55" i="10"/>
  <c r="AC53" i="10"/>
  <c r="AJ1253" i="1"/>
  <c r="AG761" i="1"/>
  <c r="AG623" i="1"/>
  <c r="AG630" i="1" s="1"/>
  <c r="AG634" i="1" s="1"/>
  <c r="AG258" i="1"/>
  <c r="AG279" i="1" s="1"/>
  <c r="AG280" i="1" s="1"/>
  <c r="BY162" i="35"/>
  <c r="CC155" i="35"/>
  <c r="CC157" i="35" s="1"/>
  <c r="CC158" i="35" s="1"/>
  <c r="S29" i="35"/>
  <c r="S31" i="35"/>
  <c r="S30" i="35"/>
  <c r="I22" i="35"/>
  <c r="AU18" i="35"/>
  <c r="I24" i="35"/>
  <c r="I26" i="35"/>
  <c r="AW62" i="35"/>
  <c r="K42" i="35"/>
  <c r="L43" i="35"/>
  <c r="L44" i="35" s="1"/>
  <c r="BV160" i="35"/>
  <c r="M43" i="35"/>
  <c r="M44" i="35" s="1"/>
  <c r="M42" i="35" s="1"/>
  <c r="J26" i="35"/>
  <c r="J24" i="35"/>
  <c r="K72" i="35"/>
  <c r="AJ90" i="1"/>
  <c r="AF761" i="1"/>
  <c r="AF623" i="1"/>
  <c r="AF630" i="1" s="1"/>
  <c r="AF634" i="1" s="1"/>
  <c r="AF258" i="1"/>
  <c r="AF279" i="1" s="1"/>
  <c r="AF280" i="1" s="1"/>
  <c r="AF289" i="1" s="1"/>
  <c r="AH761" i="1"/>
  <c r="AH258" i="1"/>
  <c r="AH279" i="1" s="1"/>
  <c r="AH280" i="1" s="1"/>
  <c r="AH289" i="1" s="1"/>
  <c r="L29" i="29"/>
  <c r="AB19" i="29"/>
  <c r="L30" i="29"/>
  <c r="L31" i="29"/>
  <c r="AB28" i="29"/>
  <c r="AR18" i="35"/>
  <c r="L26" i="10"/>
  <c r="Y31" i="35"/>
  <c r="J20" i="25"/>
  <c r="J33" i="25" s="1"/>
  <c r="J30" i="25"/>
  <c r="J32" i="25"/>
  <c r="J58" i="35"/>
  <c r="J71" i="35" s="1"/>
  <c r="AB27" i="10"/>
  <c r="M57" i="28"/>
  <c r="M19" i="28"/>
  <c r="U17" i="28"/>
  <c r="U21" i="28" s="1"/>
  <c r="M22" i="29"/>
  <c r="AB26" i="29"/>
  <c r="AQ18" i="35"/>
  <c r="R26" i="35"/>
  <c r="H77" i="35"/>
  <c r="R19" i="35"/>
  <c r="I17" i="35"/>
  <c r="AU17" i="35" s="1"/>
  <c r="K35" i="25"/>
  <c r="L19" i="10"/>
  <c r="AB17" i="10"/>
  <c r="M55" i="28"/>
  <c r="M26" i="29"/>
  <c r="W30" i="35"/>
  <c r="K25" i="25"/>
  <c r="P26" i="35"/>
  <c r="AI17" i="35"/>
  <c r="AI21" i="35" s="1"/>
  <c r="K32" i="25"/>
  <c r="J34" i="25"/>
  <c r="BU159" i="35"/>
  <c r="M19" i="10"/>
  <c r="M54" i="28"/>
  <c r="M24" i="29"/>
  <c r="AC27" i="29"/>
  <c r="W29" i="35"/>
  <c r="R24" i="35"/>
  <c r="H23" i="35"/>
  <c r="L20" i="25"/>
  <c r="L33" i="25" s="1"/>
  <c r="K18" i="35"/>
  <c r="BT159" i="35"/>
  <c r="M26" i="10"/>
  <c r="M25" i="10"/>
  <c r="L19" i="29"/>
  <c r="I76" i="35"/>
  <c r="H76" i="35"/>
  <c r="P22" i="35"/>
  <c r="AT17" i="35"/>
  <c r="M24" i="10"/>
  <c r="H19" i="35"/>
  <c r="AC257" i="1"/>
  <c r="AC269" i="1" s="1"/>
  <c r="AC270" i="1" s="1"/>
  <c r="AC289" i="1" s="1"/>
  <c r="AC291" i="1" s="1"/>
  <c r="AD257" i="1"/>
  <c r="AD269" i="1" s="1"/>
  <c r="AD270" i="1" s="1"/>
  <c r="AD289" i="1" s="1"/>
  <c r="AD291" i="1" s="1"/>
  <c r="AC348" i="1"/>
  <c r="AC362" i="1" s="1"/>
  <c r="AC363" i="1" s="1"/>
  <c r="AC166" i="1"/>
  <c r="AC175" i="1" s="1"/>
  <c r="AC176" i="1" s="1"/>
  <c r="AC183" i="1" s="1"/>
  <c r="AC185" i="1" s="1"/>
  <c r="AD166" i="1"/>
  <c r="AD175" i="1" s="1"/>
  <c r="AD176" i="1" s="1"/>
  <c r="AD183" i="1" s="1"/>
  <c r="AD185" i="1" s="1"/>
  <c r="AD190" i="1" s="1"/>
  <c r="AD210" i="1" s="1"/>
  <c r="AD348" i="1"/>
  <c r="AD362" i="1" s="1"/>
  <c r="AD363" i="1" s="1"/>
  <c r="AE417" i="1"/>
  <c r="AD424" i="1"/>
  <c r="AD428" i="1" s="1"/>
  <c r="AD430" i="1" s="1"/>
  <c r="AD435" i="1" s="1"/>
  <c r="AE423" i="1"/>
  <c r="AC64" i="1"/>
  <c r="AE62" i="1"/>
  <c r="AC428" i="1"/>
  <c r="AD70" i="1"/>
  <c r="AD71" i="1" s="1"/>
  <c r="M1181" i="1" l="1"/>
  <c r="V1099" i="1"/>
  <c r="Z1078" i="1"/>
  <c r="AF291" i="1"/>
  <c r="AF505" i="1"/>
  <c r="M23" i="29"/>
  <c r="N22" i="29"/>
  <c r="M25" i="29"/>
  <c r="AI681" i="1"/>
  <c r="AI696" i="1" s="1"/>
  <c r="AI676" i="1"/>
  <c r="AI966" i="1" s="1"/>
  <c r="AI1254" i="1" s="1"/>
  <c r="AG210" i="1"/>
  <c r="AG191" i="1"/>
  <c r="AC28" i="28"/>
  <c r="M30" i="28"/>
  <c r="M29" i="28"/>
  <c r="M31" i="28"/>
  <c r="AI962" i="1"/>
  <c r="AI965" i="1" s="1"/>
  <c r="BT155" i="35"/>
  <c r="BT156" i="35"/>
  <c r="L25" i="25"/>
  <c r="L26" i="25" s="1"/>
  <c r="K26" i="25"/>
  <c r="AH291" i="1"/>
  <c r="AH505" i="1"/>
  <c r="AZ62" i="35"/>
  <c r="AG362" i="1"/>
  <c r="AG363" i="1" s="1"/>
  <c r="AG357" i="1"/>
  <c r="AG358" i="1" s="1"/>
  <c r="AG366" i="1" s="1"/>
  <c r="AG368" i="1" s="1"/>
  <c r="AG373" i="1" s="1"/>
  <c r="AH74" i="1"/>
  <c r="AH92" i="1"/>
  <c r="I19" i="35"/>
  <c r="AI789" i="1"/>
  <c r="P23" i="35"/>
  <c r="R22" i="35"/>
  <c r="AI517" i="1"/>
  <c r="AI535" i="1"/>
  <c r="AP19" i="35"/>
  <c r="H29" i="35"/>
  <c r="H30" i="35"/>
  <c r="H31" i="35"/>
  <c r="AT19" i="35"/>
  <c r="BU155" i="35"/>
  <c r="BU156" i="35"/>
  <c r="AF677" i="1"/>
  <c r="AF636" i="1"/>
  <c r="I23" i="35"/>
  <c r="J22" i="35"/>
  <c r="AG677" i="1"/>
  <c r="AG636" i="1"/>
  <c r="AZ61" i="35"/>
  <c r="AL15" i="1"/>
  <c r="AL47" i="1" s="1"/>
  <c r="AL49" i="1" s="1"/>
  <c r="AL51" i="1" s="1"/>
  <c r="AL62" i="1" s="1"/>
  <c r="AL64" i="1" s="1"/>
  <c r="AK47" i="1"/>
  <c r="AK49" i="1" s="1"/>
  <c r="AK51" i="1" s="1"/>
  <c r="AK62" i="1" s="1"/>
  <c r="AK64" i="1" s="1"/>
  <c r="AH682" i="1"/>
  <c r="AZ58" i="35"/>
  <c r="AG92" i="1"/>
  <c r="AG74" i="1"/>
  <c r="AG291" i="1"/>
  <c r="AG505" i="1"/>
  <c r="K19" i="35"/>
  <c r="K24" i="35"/>
  <c r="K26" i="35"/>
  <c r="AH771" i="1"/>
  <c r="AH772" i="1" s="1"/>
  <c r="AH784" i="1" s="1"/>
  <c r="AH675" i="1"/>
  <c r="AH964" i="1" s="1"/>
  <c r="L72" i="35"/>
  <c r="L69" i="35"/>
  <c r="N23" i="28"/>
  <c r="N25" i="28"/>
  <c r="K76" i="35"/>
  <c r="K78" i="35"/>
  <c r="K77" i="35"/>
  <c r="AC28" i="10"/>
  <c r="M31" i="10"/>
  <c r="M30" i="10"/>
  <c r="M29" i="10"/>
  <c r="AF771" i="1"/>
  <c r="AF772" i="1" s="1"/>
  <c r="AF784" i="1" s="1"/>
  <c r="AF786" i="1" s="1"/>
  <c r="AF675" i="1"/>
  <c r="AF964" i="1" s="1"/>
  <c r="L42" i="35"/>
  <c r="I25" i="35"/>
  <c r="AG675" i="1"/>
  <c r="AG964" i="1" s="1"/>
  <c r="AG771" i="1"/>
  <c r="AG772" i="1" s="1"/>
  <c r="AG784" i="1" s="1"/>
  <c r="AG786" i="1" s="1"/>
  <c r="AI92" i="1"/>
  <c r="AI74" i="1"/>
  <c r="AZ60" i="35"/>
  <c r="AF92" i="1"/>
  <c r="AF74" i="1"/>
  <c r="AG436" i="1"/>
  <c r="AG448" i="1"/>
  <c r="AQ17" i="35"/>
  <c r="M61" i="28"/>
  <c r="M62" i="28"/>
  <c r="M60" i="28"/>
  <c r="K31" i="25"/>
  <c r="L29" i="25"/>
  <c r="N23" i="10"/>
  <c r="N25" i="10"/>
  <c r="P25" i="35"/>
  <c r="AJ1415" i="1"/>
  <c r="AJ1340" i="1"/>
  <c r="AJ1261" i="1"/>
  <c r="AH681" i="1"/>
  <c r="AH696" i="1" s="1"/>
  <c r="BV158" i="35"/>
  <c r="BZ155" i="35"/>
  <c r="BZ156" i="35" s="1"/>
  <c r="BZ157" i="35" s="1"/>
  <c r="BZ159" i="35" s="1"/>
  <c r="BZ160" i="35" s="1"/>
  <c r="BZ161" i="35" s="1"/>
  <c r="AI682" i="1"/>
  <c r="AJ77" i="1"/>
  <c r="AJ82" i="1"/>
  <c r="AE289" i="1"/>
  <c r="AC357" i="1"/>
  <c r="AC358" i="1" s="1"/>
  <c r="AC366" i="1" s="1"/>
  <c r="AC368" i="1" s="1"/>
  <c r="AC373" i="1" s="1"/>
  <c r="AC399" i="1" s="1"/>
  <c r="AE348" i="1"/>
  <c r="AE357" i="1" s="1"/>
  <c r="AE358" i="1" s="1"/>
  <c r="AD191" i="1"/>
  <c r="AD357" i="1"/>
  <c r="AD358" i="1" s="1"/>
  <c r="AD366" i="1" s="1"/>
  <c r="AD505" i="1" s="1"/>
  <c r="AE183" i="1"/>
  <c r="AD297" i="1"/>
  <c r="AC70" i="1"/>
  <c r="AE64" i="1"/>
  <c r="AD92" i="1"/>
  <c r="AD74" i="1"/>
  <c r="AD448" i="1"/>
  <c r="AD436" i="1"/>
  <c r="AC190" i="1"/>
  <c r="AE185" i="1"/>
  <c r="AC430" i="1"/>
  <c r="AE428" i="1"/>
  <c r="AE424" i="1"/>
  <c r="AE291" i="1"/>
  <c r="AC297" i="1"/>
  <c r="Z1099" i="1" l="1"/>
  <c r="V1100" i="1"/>
  <c r="Z1100" i="1" s="1"/>
  <c r="AG77" i="1"/>
  <c r="AG82" i="1"/>
  <c r="AG682" i="1"/>
  <c r="R23" i="35"/>
  <c r="R25" i="35"/>
  <c r="AI1253" i="1"/>
  <c r="AG374" i="1"/>
  <c r="AG399" i="1"/>
  <c r="AH786" i="1"/>
  <c r="AH962" i="1"/>
  <c r="AH965" i="1" s="1"/>
  <c r="AG676" i="1"/>
  <c r="AG966" i="1" s="1"/>
  <c r="AG1254" i="1" s="1"/>
  <c r="AG681" i="1"/>
  <c r="AG696" i="1" s="1"/>
  <c r="AH676" i="1"/>
  <c r="AH966" i="1" s="1"/>
  <c r="AH1254" i="1" s="1"/>
  <c r="L31" i="25"/>
  <c r="L34" i="25"/>
  <c r="AF82" i="1"/>
  <c r="AF77" i="1"/>
  <c r="K22" i="35"/>
  <c r="J25" i="35"/>
  <c r="AI969" i="1"/>
  <c r="AI1258" i="1" s="1"/>
  <c r="AI791" i="1"/>
  <c r="AI820" i="1" s="1"/>
  <c r="N23" i="29"/>
  <c r="N25" i="29"/>
  <c r="L77" i="35"/>
  <c r="L78" i="35"/>
  <c r="L76" i="35"/>
  <c r="AF681" i="1"/>
  <c r="AF696" i="1" s="1"/>
  <c r="AF676" i="1"/>
  <c r="AF966" i="1" s="1"/>
  <c r="AF1254" i="1" s="1"/>
  <c r="AI695" i="1"/>
  <c r="AI683" i="1"/>
  <c r="AG962" i="1"/>
  <c r="AG965" i="1" s="1"/>
  <c r="N29" i="10"/>
  <c r="N31" i="10"/>
  <c r="N30" i="10"/>
  <c r="AD28" i="10"/>
  <c r="AH683" i="1"/>
  <c r="AH695" i="1"/>
  <c r="I29" i="35"/>
  <c r="AU19" i="35"/>
  <c r="I30" i="35"/>
  <c r="I31" i="35"/>
  <c r="AI792" i="1"/>
  <c r="AH507" i="1"/>
  <c r="AH297" i="1"/>
  <c r="M31" i="29"/>
  <c r="M30" i="29"/>
  <c r="AC28" i="29"/>
  <c r="M29" i="29"/>
  <c r="AJ79" i="1"/>
  <c r="AJ80" i="1"/>
  <c r="P31" i="35"/>
  <c r="P30" i="35"/>
  <c r="AQ28" i="35"/>
  <c r="P29" i="35"/>
  <c r="AQ19" i="35"/>
  <c r="AF789" i="1"/>
  <c r="AF792" i="1" s="1"/>
  <c r="AF818" i="1"/>
  <c r="AK90" i="1"/>
  <c r="AK70" i="1"/>
  <c r="AK71" i="1" s="1"/>
  <c r="AK1253" i="1"/>
  <c r="AF962" i="1"/>
  <c r="AF965" i="1" s="1"/>
  <c r="AH82" i="1"/>
  <c r="AH77" i="1"/>
  <c r="AG789" i="1"/>
  <c r="AG297" i="1"/>
  <c r="AG507" i="1"/>
  <c r="AI526" i="1"/>
  <c r="AI521" i="1"/>
  <c r="AJ1314" i="1"/>
  <c r="AJ83" i="1"/>
  <c r="R35" i="36"/>
  <c r="R37" i="36" s="1"/>
  <c r="AK1338" i="1"/>
  <c r="AJ1480" i="1"/>
  <c r="AI77" i="1"/>
  <c r="AI82" i="1"/>
  <c r="N30" i="28"/>
  <c r="N29" i="28"/>
  <c r="N31" i="28"/>
  <c r="AD28" i="28"/>
  <c r="AL70" i="1"/>
  <c r="AL71" i="1" s="1"/>
  <c r="AL90" i="1"/>
  <c r="AL1253" i="1"/>
  <c r="AF682" i="1"/>
  <c r="AF507" i="1"/>
  <c r="AF297" i="1"/>
  <c r="AC374" i="1"/>
  <c r="AE366" i="1"/>
  <c r="AE505" i="1" s="1"/>
  <c r="AD368" i="1"/>
  <c r="AE368" i="1" s="1"/>
  <c r="AC505" i="1"/>
  <c r="AE362" i="1"/>
  <c r="AE363" i="1" s="1"/>
  <c r="AE430" i="1"/>
  <c r="AC435" i="1"/>
  <c r="AC507" i="1"/>
  <c r="AD77" i="1"/>
  <c r="AD82" i="1"/>
  <c r="AD83" i="1" s="1"/>
  <c r="AE297" i="1"/>
  <c r="AE320" i="1" s="1"/>
  <c r="AC298" i="1"/>
  <c r="AC320" i="1"/>
  <c r="AE90" i="1"/>
  <c r="AE61" i="1"/>
  <c r="AF90" i="1"/>
  <c r="AE70" i="1"/>
  <c r="AC71" i="1"/>
  <c r="AE190" i="1"/>
  <c r="AE210" i="1" s="1"/>
  <c r="AC191" i="1"/>
  <c r="AE191" i="1" s="1"/>
  <c r="AC210" i="1"/>
  <c r="AD320" i="1"/>
  <c r="AD298" i="1"/>
  <c r="AF793" i="1" l="1"/>
  <c r="AF819" i="1"/>
  <c r="AL1340" i="1"/>
  <c r="AL1261" i="1"/>
  <c r="AL1415" i="1"/>
  <c r="AI79" i="1"/>
  <c r="AI80" i="1" s="1"/>
  <c r="AI523" i="1"/>
  <c r="AI524" i="1" s="1"/>
  <c r="N31" i="29"/>
  <c r="N30" i="29"/>
  <c r="AD28" i="29"/>
  <c r="N29" i="29"/>
  <c r="AI1261" i="1"/>
  <c r="AI1340" i="1"/>
  <c r="AI1415" i="1"/>
  <c r="AI1315" i="1"/>
  <c r="AI527" i="1"/>
  <c r="AI559" i="1" s="1"/>
  <c r="AJ534" i="1"/>
  <c r="AK1340" i="1"/>
  <c r="AK1415" i="1"/>
  <c r="AK1261" i="1"/>
  <c r="AI972" i="1"/>
  <c r="AI91" i="1"/>
  <c r="AI83" i="1"/>
  <c r="AI1314" i="1"/>
  <c r="Q35" i="36"/>
  <c r="Q37" i="36" s="1"/>
  <c r="AL92" i="1"/>
  <c r="AL74" i="1"/>
  <c r="AG513" i="1"/>
  <c r="AG514" i="1" s="1"/>
  <c r="AG506" i="1"/>
  <c r="AG565" i="1" s="1"/>
  <c r="AG584" i="1" s="1"/>
  <c r="AG585" i="1" s="1"/>
  <c r="AG533" i="1"/>
  <c r="AG564" i="1"/>
  <c r="AG567" i="1" s="1"/>
  <c r="AG1253" i="1"/>
  <c r="AH298" i="1"/>
  <c r="AH320" i="1"/>
  <c r="AH533" i="1"/>
  <c r="AH564" i="1"/>
  <c r="AH567" i="1" s="1"/>
  <c r="AH506" i="1"/>
  <c r="AH565" i="1" s="1"/>
  <c r="AH584" i="1" s="1"/>
  <c r="AH585" i="1" s="1"/>
  <c r="AH513" i="1"/>
  <c r="AH514" i="1" s="1"/>
  <c r="AI533" i="1"/>
  <c r="AH1253" i="1"/>
  <c r="AH83" i="1"/>
  <c r="P35" i="36"/>
  <c r="P37" i="36" s="1"/>
  <c r="AH91" i="1"/>
  <c r="AH1314" i="1"/>
  <c r="AK74" i="1"/>
  <c r="AK92" i="1"/>
  <c r="AF298" i="1"/>
  <c r="AF320" i="1"/>
  <c r="AG298" i="1"/>
  <c r="AG320" i="1"/>
  <c r="AG969" i="1"/>
  <c r="AG1258" i="1" s="1"/>
  <c r="AG791" i="1"/>
  <c r="AG820" i="1" s="1"/>
  <c r="AI793" i="1"/>
  <c r="AI819" i="1"/>
  <c r="K23" i="35"/>
  <c r="K25" i="35"/>
  <c r="AG683" i="1"/>
  <c r="AG695" i="1"/>
  <c r="AR28" i="35"/>
  <c r="R31" i="35"/>
  <c r="R29" i="35"/>
  <c r="R30" i="35"/>
  <c r="AF506" i="1"/>
  <c r="AF565" i="1" s="1"/>
  <c r="AF584" i="1" s="1"/>
  <c r="AF585" i="1" s="1"/>
  <c r="AF564" i="1"/>
  <c r="AF567" i="1" s="1"/>
  <c r="AF513" i="1"/>
  <c r="AF514" i="1" s="1"/>
  <c r="AF1253" i="1"/>
  <c r="AJ141" i="1"/>
  <c r="AJ103" i="1"/>
  <c r="AG792" i="1"/>
  <c r="AF80" i="1"/>
  <c r="AF79" i="1"/>
  <c r="AH789" i="1"/>
  <c r="AH792" i="1" s="1"/>
  <c r="AG83" i="1"/>
  <c r="AG1314" i="1"/>
  <c r="O35" i="36"/>
  <c r="O37" i="36" s="1"/>
  <c r="AG91" i="1"/>
  <c r="AF695" i="1"/>
  <c r="AF725" i="1" s="1"/>
  <c r="AF683" i="1"/>
  <c r="AJ91" i="1"/>
  <c r="AH79" i="1"/>
  <c r="AH80" i="1" s="1"/>
  <c r="AF969" i="1"/>
  <c r="AF1258" i="1" s="1"/>
  <c r="AF791" i="1"/>
  <c r="AF820" i="1" s="1"/>
  <c r="AF1314" i="1"/>
  <c r="AF83" i="1"/>
  <c r="N35" i="36"/>
  <c r="AG79" i="1"/>
  <c r="AG80" i="1" s="1"/>
  <c r="AD507" i="1"/>
  <c r="AD564" i="1" s="1"/>
  <c r="AE507" i="1"/>
  <c r="AE533" i="1" s="1"/>
  <c r="AD373" i="1"/>
  <c r="AD374" i="1" s="1"/>
  <c r="AE374" i="1" s="1"/>
  <c r="AE71" i="1"/>
  <c r="AE92" i="1" s="1"/>
  <c r="AC74" i="1"/>
  <c r="AC92" i="1"/>
  <c r="AD1314" i="1"/>
  <c r="AD141" i="1"/>
  <c r="AD79" i="1"/>
  <c r="AD80" i="1" s="1"/>
  <c r="AC513" i="1"/>
  <c r="AC514" i="1" s="1"/>
  <c r="AC564" i="1"/>
  <c r="AC506" i="1"/>
  <c r="AC565" i="1" s="1"/>
  <c r="AC584" i="1" s="1"/>
  <c r="AC585" i="1" s="1"/>
  <c r="AC1253" i="1"/>
  <c r="AE435" i="1"/>
  <c r="AE448" i="1" s="1"/>
  <c r="AC436" i="1"/>
  <c r="AE436" i="1" s="1"/>
  <c r="AC448" i="1"/>
  <c r="AE298" i="1"/>
  <c r="AH793" i="1" l="1"/>
  <c r="AH819" i="1"/>
  <c r="AJ1338" i="1"/>
  <c r="AJ1339" i="1" s="1"/>
  <c r="AI1480" i="1"/>
  <c r="AL77" i="1"/>
  <c r="AL82" i="1"/>
  <c r="AF535" i="1"/>
  <c r="AF517" i="1"/>
  <c r="AL1338" i="1"/>
  <c r="AL1339" i="1" s="1"/>
  <c r="AK1480" i="1"/>
  <c r="AK1339" i="1"/>
  <c r="AH969" i="1"/>
  <c r="AH791" i="1"/>
  <c r="AH820" i="1" s="1"/>
  <c r="AF103" i="1"/>
  <c r="AF141" i="1"/>
  <c r="J48" i="28"/>
  <c r="AF724" i="1"/>
  <c r="AF726" i="1" s="1"/>
  <c r="AF727" i="1" s="1"/>
  <c r="AH1340" i="1"/>
  <c r="AH1415" i="1"/>
  <c r="AG1415" i="1"/>
  <c r="AG1340" i="1"/>
  <c r="AG1261" i="1"/>
  <c r="AG141" i="1"/>
  <c r="AG103" i="1"/>
  <c r="AH141" i="1"/>
  <c r="AH103" i="1"/>
  <c r="AL1480" i="1"/>
  <c r="K30" i="35"/>
  <c r="K31" i="35"/>
  <c r="K29" i="35"/>
  <c r="AI103" i="1"/>
  <c r="AI141" i="1"/>
  <c r="AG793" i="1"/>
  <c r="AG819" i="1"/>
  <c r="AH517" i="1"/>
  <c r="AH535" i="1"/>
  <c r="AF972" i="1"/>
  <c r="AG535" i="1"/>
  <c r="AG517" i="1"/>
  <c r="AF1340" i="1"/>
  <c r="AF1415" i="1"/>
  <c r="AF1261" i="1"/>
  <c r="N40" i="36"/>
  <c r="N37" i="36"/>
  <c r="AG972" i="1"/>
  <c r="AK82" i="1"/>
  <c r="AK77" i="1"/>
  <c r="AD1253" i="1"/>
  <c r="AD1261" i="1" s="1"/>
  <c r="AD513" i="1"/>
  <c r="AD514" i="1" s="1"/>
  <c r="AD535" i="1" s="1"/>
  <c r="AD506" i="1"/>
  <c r="AD565" i="1" s="1"/>
  <c r="AD584" i="1" s="1"/>
  <c r="AD585" i="1" s="1"/>
  <c r="AE506" i="1"/>
  <c r="AE565" i="1" s="1"/>
  <c r="AE584" i="1" s="1"/>
  <c r="AE585" i="1" s="1"/>
  <c r="AE513" i="1"/>
  <c r="AE514" i="1" s="1"/>
  <c r="AE517" i="1" s="1"/>
  <c r="AF533" i="1"/>
  <c r="AD399" i="1"/>
  <c r="AE564" i="1"/>
  <c r="AE373" i="1"/>
  <c r="AE399" i="1" s="1"/>
  <c r="AC535" i="1"/>
  <c r="AC517" i="1"/>
  <c r="AC1261" i="1"/>
  <c r="AC77" i="1"/>
  <c r="AC82" i="1"/>
  <c r="AC83" i="1" s="1"/>
  <c r="AE74" i="1"/>
  <c r="AC567" i="1"/>
  <c r="AH1338" i="1" l="1"/>
  <c r="AH1339" i="1" s="1"/>
  <c r="AG1480" i="1"/>
  <c r="AH526" i="1"/>
  <c r="AH521" i="1"/>
  <c r="AL83" i="1"/>
  <c r="AL91" i="1"/>
  <c r="AL1314" i="1"/>
  <c r="T35" i="36"/>
  <c r="T37" i="36" s="1"/>
  <c r="AL79" i="1"/>
  <c r="AL80" i="1"/>
  <c r="AK79" i="1"/>
  <c r="AK80" i="1"/>
  <c r="AG526" i="1"/>
  <c r="AG521" i="1"/>
  <c r="AK91" i="1"/>
  <c r="S35" i="36"/>
  <c r="S37" i="36" s="1"/>
  <c r="AK83" i="1"/>
  <c r="AK1314" i="1"/>
  <c r="AH1258" i="1"/>
  <c r="AH1261" i="1" s="1"/>
  <c r="AH972" i="1"/>
  <c r="AF1480" i="1"/>
  <c r="AG1338" i="1"/>
  <c r="AG1339" i="1" s="1"/>
  <c r="AI1338" i="1"/>
  <c r="AI1339" i="1" s="1"/>
  <c r="AH1480" i="1"/>
  <c r="J54" i="28"/>
  <c r="AH43" i="28"/>
  <c r="AH51" i="28" s="1"/>
  <c r="J17" i="28"/>
  <c r="AD43" i="28"/>
  <c r="AF552" i="1"/>
  <c r="AF526" i="1"/>
  <c r="AF521" i="1"/>
  <c r="AD567" i="1"/>
  <c r="AE1253" i="1"/>
  <c r="AF1302" i="1" s="1"/>
  <c r="AF1368" i="1" s="1"/>
  <c r="AD517" i="1"/>
  <c r="AD552" i="1" s="1"/>
  <c r="AE567" i="1"/>
  <c r="AE535" i="1"/>
  <c r="AE526" i="1"/>
  <c r="AE521" i="1"/>
  <c r="AE82" i="1"/>
  <c r="AE77" i="1"/>
  <c r="AC1314" i="1"/>
  <c r="AC141" i="1"/>
  <c r="AC552" i="1"/>
  <c r="AC521" i="1"/>
  <c r="AC526" i="1"/>
  <c r="AC527" i="1" s="1"/>
  <c r="AC79" i="1"/>
  <c r="AE79" i="1" s="1"/>
  <c r="AF523" i="1" l="1"/>
  <c r="AF524" i="1"/>
  <c r="AG523" i="1"/>
  <c r="AG524" i="1"/>
  <c r="AF1315" i="1"/>
  <c r="AF527" i="1"/>
  <c r="AD17" i="28"/>
  <c r="AH17" i="28"/>
  <c r="AG527" i="1"/>
  <c r="AG559" i="1" s="1"/>
  <c r="AG1315" i="1"/>
  <c r="AG534" i="1"/>
  <c r="AL103" i="1"/>
  <c r="AL141" i="1"/>
  <c r="AH523" i="1"/>
  <c r="AH524" i="1"/>
  <c r="AH534" i="1"/>
  <c r="AH1315" i="1"/>
  <c r="AH527" i="1"/>
  <c r="AH559" i="1" s="1"/>
  <c r="AI534" i="1"/>
  <c r="J61" i="28"/>
  <c r="J62" i="28"/>
  <c r="J60" i="28"/>
  <c r="AK141" i="1"/>
  <c r="AK103" i="1"/>
  <c r="AE1302" i="1"/>
  <c r="AE1368" i="1" s="1"/>
  <c r="AE1366" i="1" s="1"/>
  <c r="AE1365" i="1" s="1"/>
  <c r="AE1415" i="1"/>
  <c r="AD521" i="1"/>
  <c r="AD523" i="1" s="1"/>
  <c r="AD524" i="1" s="1"/>
  <c r="AE552" i="1"/>
  <c r="AE1340" i="1"/>
  <c r="AE1480" i="1" s="1"/>
  <c r="AD526" i="1"/>
  <c r="AD527" i="1" s="1"/>
  <c r="AD559" i="1" s="1"/>
  <c r="AE1261" i="1"/>
  <c r="AC80" i="1"/>
  <c r="AC559" i="1"/>
  <c r="AC1315" i="1"/>
  <c r="AC523" i="1"/>
  <c r="AE80" i="1"/>
  <c r="AE91" i="1"/>
  <c r="AF91" i="1"/>
  <c r="M35" i="36"/>
  <c r="M37" i="36" s="1"/>
  <c r="L40" i="36" s="1"/>
  <c r="AE83" i="1"/>
  <c r="AE534" i="1"/>
  <c r="AE527" i="1"/>
  <c r="AF534" i="1"/>
  <c r="AF559" i="1" l="1"/>
  <c r="J18" i="29" s="1"/>
  <c r="J17" i="29"/>
  <c r="AE1482" i="1"/>
  <c r="AF1364" i="1" s="1"/>
  <c r="AF1366" i="1" s="1"/>
  <c r="AE523" i="1"/>
  <c r="AE1339" i="1"/>
  <c r="AD1315" i="1"/>
  <c r="AF1338" i="1"/>
  <c r="AF1339" i="1" s="1"/>
  <c r="I48" i="28"/>
  <c r="AE1314" i="1"/>
  <c r="AE141" i="1"/>
  <c r="AB1480" i="1"/>
  <c r="AD1480" i="1"/>
  <c r="AA1480" i="1"/>
  <c r="AC1480" i="1"/>
  <c r="AE1315" i="1"/>
  <c r="AE559" i="1"/>
  <c r="I18" i="29" s="1"/>
  <c r="I17" i="29"/>
  <c r="AC524" i="1"/>
  <c r="AE524" i="1" s="1"/>
  <c r="J83" i="29" l="1"/>
  <c r="AH17" i="29"/>
  <c r="AD17" i="29"/>
  <c r="J84" i="29"/>
  <c r="AH18" i="29"/>
  <c r="J26" i="29"/>
  <c r="J24" i="29"/>
  <c r="J19" i="29"/>
  <c r="AD18" i="29"/>
  <c r="AD1482" i="1"/>
  <c r="AC1482" i="1"/>
  <c r="AB1482" i="1"/>
  <c r="AA1482" i="1"/>
  <c r="AC17" i="29"/>
  <c r="AG17" i="29"/>
  <c r="I83" i="29"/>
  <c r="I24" i="29"/>
  <c r="I84" i="29"/>
  <c r="I26" i="29"/>
  <c r="AC18" i="29"/>
  <c r="AG18" i="29"/>
  <c r="I19" i="29"/>
  <c r="I22" i="29"/>
  <c r="I25" i="29" s="1"/>
  <c r="AF1365" i="1"/>
  <c r="AF1482" i="1"/>
  <c r="AG1364" i="1" s="1"/>
  <c r="AG1366" i="1" s="1"/>
  <c r="I17" i="28"/>
  <c r="I54" i="28"/>
  <c r="AG43" i="28"/>
  <c r="AG51" i="28" s="1"/>
  <c r="J88" i="28"/>
  <c r="I95" i="28" s="1"/>
  <c r="I100" i="28" s="1"/>
  <c r="I103" i="28" s="1"/>
  <c r="AC43" i="28"/>
  <c r="J90" i="29" l="1"/>
  <c r="J97" i="29"/>
  <c r="J92" i="29"/>
  <c r="J95" i="29" s="1"/>
  <c r="J89" i="29"/>
  <c r="I97" i="29"/>
  <c r="I90" i="29"/>
  <c r="I60" i="28"/>
  <c r="I62" i="28"/>
  <c r="I61" i="28"/>
  <c r="I23" i="29"/>
  <c r="J22" i="29"/>
  <c r="I89" i="29"/>
  <c r="I92" i="29"/>
  <c r="I95" i="29" s="1"/>
  <c r="J142" i="29"/>
  <c r="I149" i="29" s="1"/>
  <c r="I154" i="29" s="1"/>
  <c r="I157" i="29" s="1"/>
  <c r="AC17" i="28"/>
  <c r="AG17" i="28"/>
  <c r="AG1482" i="1"/>
  <c r="AH1364" i="1" s="1"/>
  <c r="AH1366" i="1" s="1"/>
  <c r="AG1365" i="1"/>
  <c r="J102" i="29" l="1"/>
  <c r="J100" i="29"/>
  <c r="J101" i="29"/>
  <c r="J23" i="29"/>
  <c r="J25" i="29"/>
  <c r="I30" i="29"/>
  <c r="AC19" i="29"/>
  <c r="I31" i="29"/>
  <c r="I29" i="29"/>
  <c r="AG19" i="29"/>
  <c r="I100" i="29"/>
  <c r="I102" i="29"/>
  <c r="I101" i="29"/>
  <c r="AH1482" i="1"/>
  <c r="AI1364" i="1" s="1"/>
  <c r="AI1366" i="1" s="1"/>
  <c r="AH1365" i="1"/>
  <c r="AI1365" i="1" l="1"/>
  <c r="AI1482" i="1"/>
  <c r="AJ1364" i="1" s="1"/>
  <c r="AJ1366" i="1" s="1"/>
  <c r="J31" i="29"/>
  <c r="AH19" i="29"/>
  <c r="AD19" i="29"/>
  <c r="J30" i="29"/>
  <c r="J29" i="29"/>
  <c r="AJ1365" i="1" l="1"/>
  <c r="AJ1482" i="1"/>
  <c r="AK1364" i="1" s="1"/>
  <c r="AK1366" i="1" s="1"/>
  <c r="AK1365" i="1" l="1"/>
  <c r="AK1482" i="1"/>
  <c r="AL1364" i="1" s="1"/>
  <c r="AL1366" i="1" s="1"/>
  <c r="AL1365" i="1" l="1"/>
  <c r="AL1482" i="1"/>
  <c r="Y1609" i="1"/>
  <c r="Y1605" i="1"/>
  <c r="AG1609" i="1"/>
  <c r="AG1605" i="1"/>
  <c r="AG1469" i="1"/>
  <c r="AG1468" i="1"/>
  <c r="AL1286" i="1"/>
  <c r="AL1279" i="1"/>
  <c r="AL1273" i="1"/>
  <c r="AH108" i="1"/>
  <c r="AH106" i="1"/>
  <c r="AC1513" i="1"/>
  <c r="AC1512" i="1"/>
  <c r="AC1510" i="1"/>
  <c r="AE1304" i="1"/>
  <c r="AE1262" i="1"/>
  <c r="Y1573" i="1"/>
  <c r="Y1570" i="1"/>
  <c r="Y1566" i="1"/>
  <c r="Y1319" i="1"/>
  <c r="AL1387" i="1"/>
  <c r="AL1385" i="1"/>
  <c r="AL1383" i="1"/>
  <c r="AB1569" i="1"/>
  <c r="AB1592" i="1"/>
  <c r="AH1567" i="1"/>
  <c r="AH1591" i="1"/>
  <c r="AE1294" i="1"/>
  <c r="AB1294" i="1"/>
  <c r="AI1584" i="1"/>
  <c r="AI1581" i="1"/>
  <c r="AE1462" i="1"/>
  <c r="AE1458" i="1"/>
  <c r="AL1401" i="1"/>
  <c r="AL1277" i="1"/>
  <c r="AE996" i="1"/>
  <c r="AL971" i="1"/>
  <c r="AK1401" i="1"/>
  <c r="AK1277" i="1"/>
  <c r="AI1286" i="1"/>
  <c r="AI1279" i="1"/>
  <c r="AI1273" i="1"/>
  <c r="AL1411" i="1"/>
  <c r="AL1416" i="1"/>
  <c r="AL1417" i="1"/>
  <c r="AE1674" i="1"/>
  <c r="AE1673" i="1"/>
  <c r="AE1569" i="1"/>
  <c r="AA1569" i="1"/>
  <c r="AA1592" i="1"/>
  <c r="AB1286" i="1"/>
  <c r="AB1279" i="1"/>
  <c r="AC1306" i="1"/>
  <c r="AH1613" i="1"/>
  <c r="AH1594" i="1"/>
  <c r="AH1590" i="1"/>
  <c r="AB1304" i="1"/>
  <c r="AB1262" i="1"/>
  <c r="AK1524" i="1"/>
  <c r="AK1487" i="1"/>
  <c r="AK1492" i="1"/>
  <c r="AK1493" i="1"/>
  <c r="AK107" i="1"/>
  <c r="AH51" i="10"/>
  <c r="AH43" i="10"/>
  <c r="AG971" i="1"/>
  <c r="AL1357" i="1"/>
  <c r="I103" i="10"/>
  <c r="I100" i="10"/>
  <c r="I95" i="10"/>
  <c r="J88" i="10"/>
  <c r="AL1358" i="1"/>
  <c r="AL1495" i="1"/>
  <c r="AL1500" i="1"/>
  <c r="AL1513" i="1"/>
  <c r="AE1012" i="1"/>
  <c r="AE553" i="1"/>
  <c r="AE107" i="1"/>
  <c r="AE1524" i="1"/>
  <c r="AE1492" i="1"/>
  <c r="AE1493" i="1"/>
  <c r="AE1528" i="1"/>
  <c r="Z971" i="1"/>
  <c r="AA1510" i="1"/>
  <c r="AA1512" i="1"/>
  <c r="AA1513" i="1"/>
  <c r="AG982" i="1"/>
  <c r="AG979" i="1"/>
  <c r="AG981" i="1"/>
  <c r="BK1707" i="1"/>
  <c r="AZ1707" i="1"/>
  <c r="Z1577" i="1"/>
  <c r="Z1566" i="1"/>
  <c r="AB1573" i="1"/>
  <c r="AB1570" i="1"/>
  <c r="AB1566" i="1"/>
  <c r="AB1319" i="1"/>
  <c r="Y1613" i="1"/>
  <c r="Y1594" i="1"/>
  <c r="Y1590" i="1"/>
  <c r="Z1276" i="1"/>
  <c r="Y1276" i="1"/>
  <c r="AL1380" i="1"/>
  <c r="AL1377" i="1"/>
  <c r="I62" i="10"/>
  <c r="I61" i="10"/>
  <c r="I54" i="10"/>
  <c r="I60" i="10"/>
  <c r="AG1462" i="1"/>
  <c r="AG1458" i="1"/>
  <c r="AK1235" i="1"/>
  <c r="AJ1495" i="1"/>
  <c r="AJ1500" i="1"/>
  <c r="AJ1513" i="1"/>
  <c r="Z1386" i="1"/>
  <c r="AL1462" i="1"/>
  <c r="AL1458" i="1"/>
  <c r="Z982" i="1"/>
  <c r="M3" i="11"/>
  <c r="O3" i="11"/>
  <c r="Q3" i="11"/>
  <c r="Z1530" i="1"/>
  <c r="Z1286" i="1"/>
  <c r="Z1529" i="1"/>
  <c r="AE1352" i="1"/>
  <c r="AG51" i="10"/>
  <c r="AG43" i="10"/>
  <c r="Y1305" i="1"/>
  <c r="Y1297" i="1"/>
  <c r="Y1296" i="1"/>
  <c r="AJ1613" i="1"/>
  <c r="AJ1590" i="1"/>
  <c r="AJ1594" i="1"/>
  <c r="X1613" i="1"/>
  <c r="X1594" i="1"/>
  <c r="X1590" i="1"/>
  <c r="AF996" i="1"/>
  <c r="AF986" i="1"/>
  <c r="AL1567" i="1"/>
  <c r="AL1591" i="1"/>
  <c r="AF1380" i="1"/>
  <c r="AE1282" i="1"/>
  <c r="AB1282" i="1"/>
  <c r="AG1297" i="1"/>
  <c r="AG1296" i="1"/>
  <c r="AH1380" i="1"/>
  <c r="AA1590" i="1"/>
  <c r="AA1594" i="1"/>
  <c r="AA1613" i="1"/>
  <c r="AB107" i="1"/>
  <c r="AB553" i="1"/>
  <c r="AB1487" i="1"/>
  <c r="AB1492" i="1"/>
  <c r="AB1493" i="1"/>
  <c r="AB1524" i="1"/>
  <c r="Z1294" i="1"/>
  <c r="X1294" i="1"/>
  <c r="AK1517" i="1"/>
  <c r="AI986" i="1"/>
  <c r="AE1390" i="1"/>
  <c r="AE1376" i="1"/>
  <c r="AI1495" i="1"/>
  <c r="AI1500" i="1"/>
  <c r="AI1513" i="1"/>
  <c r="AJ1357" i="1"/>
  <c r="AJ1358" i="1"/>
  <c r="AK1356" i="1"/>
  <c r="AK1380" i="1"/>
  <c r="AK1609" i="1"/>
  <c r="AK1605" i="1"/>
  <c r="AK1469" i="1"/>
  <c r="AK1468" i="1"/>
  <c r="AE1474" i="1"/>
  <c r="AE1691" i="1"/>
  <c r="AD1567" i="1"/>
  <c r="AD1591" i="1"/>
  <c r="AJ1522" i="1"/>
  <c r="AJ1521" i="1"/>
  <c r="AJ1519" i="1"/>
  <c r="AJ1516" i="1"/>
  <c r="AD921" i="1"/>
  <c r="AA921" i="1"/>
  <c r="AC921" i="1"/>
  <c r="AB1484" i="1"/>
  <c r="AB1478" i="1"/>
  <c r="AB1305" i="1"/>
  <c r="AB1297" i="1"/>
  <c r="AB1296" i="1"/>
  <c r="AH982" i="1"/>
  <c r="AH979" i="1"/>
  <c r="AH981" i="1"/>
  <c r="AL986" i="1"/>
  <c r="AA1609" i="1"/>
  <c r="AA1605" i="1"/>
  <c r="AJ1262" i="1"/>
  <c r="AH1297" i="1"/>
  <c r="AH1296" i="1"/>
  <c r="AJ1293" i="1"/>
  <c r="AJ1472" i="1"/>
  <c r="AJ1294" i="1"/>
  <c r="AC1567" i="1"/>
  <c r="AC1591" i="1"/>
  <c r="AF1390" i="1"/>
  <c r="AF1417" i="1"/>
  <c r="AF1416" i="1"/>
  <c r="AF1411" i="1"/>
  <c r="AF1567" i="1"/>
  <c r="AF1591" i="1"/>
  <c r="Z1306" i="1"/>
  <c r="Z1273" i="1"/>
  <c r="AF1674" i="1"/>
  <c r="AF1673" i="1"/>
  <c r="AF1348" i="1"/>
  <c r="AF1592" i="1"/>
  <c r="AF1569" i="1"/>
  <c r="AJ1297" i="1"/>
  <c r="AJ1296" i="1"/>
  <c r="Y1513" i="1"/>
  <c r="Y1512" i="1"/>
  <c r="Y1510" i="1"/>
  <c r="AH17" i="10"/>
  <c r="J17" i="10"/>
  <c r="AD17" i="10"/>
  <c r="Y1500" i="1"/>
  <c r="Y1495" i="1"/>
  <c r="AJ1401" i="1"/>
  <c r="AJ1277" i="1"/>
  <c r="AD18" i="10"/>
  <c r="J26" i="10"/>
  <c r="J24" i="10"/>
  <c r="AH18" i="10"/>
  <c r="J25" i="10"/>
  <c r="J18" i="10"/>
  <c r="J19" i="10"/>
  <c r="AK1467" i="1"/>
  <c r="AK1470" i="1"/>
  <c r="AL1467" i="1"/>
  <c r="AL1470" i="1"/>
  <c r="AL1517" i="1"/>
  <c r="AH18" i="28"/>
  <c r="J24" i="28"/>
  <c r="J19" i="28"/>
  <c r="J25" i="28"/>
  <c r="J26" i="28"/>
  <c r="J18" i="28"/>
  <c r="AD18" i="28"/>
  <c r="J57" i="10"/>
  <c r="J55" i="10"/>
  <c r="AH44" i="10"/>
  <c r="AD44" i="10"/>
  <c r="J49" i="10"/>
  <c r="J56" i="10"/>
  <c r="AC1277" i="1"/>
  <c r="AC1234" i="1"/>
  <c r="AC1235" i="1"/>
  <c r="AH1293" i="1"/>
  <c r="AH1472" i="1"/>
  <c r="AH1294" i="1"/>
  <c r="Z553" i="1"/>
  <c r="Z1012" i="1"/>
  <c r="Z1528" i="1"/>
  <c r="Z107" i="1"/>
  <c r="Z1492" i="1"/>
  <c r="Z1493" i="1"/>
  <c r="Z1524" i="1"/>
  <c r="AC1294" i="1"/>
  <c r="AC1285" i="1"/>
  <c r="AC1293" i="1"/>
  <c r="AC1273" i="1"/>
  <c r="AC1279" i="1"/>
  <c r="AC1286" i="1"/>
  <c r="AE1472" i="1"/>
  <c r="J29" i="35"/>
  <c r="J30" i="35"/>
  <c r="AR19" i="35"/>
  <c r="J31" i="35"/>
  <c r="J23" i="35"/>
  <c r="AV19" i="35"/>
  <c r="AJ1467" i="1"/>
  <c r="AJ1470" i="1"/>
  <c r="AJ1517" i="1"/>
  <c r="I25" i="28"/>
  <c r="I26" i="28"/>
  <c r="I24" i="28"/>
  <c r="I19" i="28"/>
  <c r="AC18" i="28"/>
  <c r="AG18" i="28"/>
  <c r="AI1325" i="1"/>
  <c r="AI1324" i="1"/>
  <c r="AI1326" i="1"/>
  <c r="AI1327" i="1"/>
  <c r="AI108" i="1"/>
  <c r="AI106" i="1"/>
  <c r="X1573" i="1"/>
  <c r="Z1573" i="1"/>
  <c r="Z979" i="1"/>
  <c r="Z981" i="1"/>
  <c r="AG1235" i="1"/>
  <c r="Z1235" i="1"/>
  <c r="AE1062" i="1"/>
  <c r="BT158" i="35"/>
  <c r="BT153" i="35"/>
  <c r="AB1513" i="1"/>
  <c r="AB1512" i="1"/>
  <c r="AB1510" i="1"/>
  <c r="Z1531" i="1"/>
  <c r="Z1488" i="1"/>
  <c r="Y1488" i="1"/>
  <c r="AG1282" i="1"/>
  <c r="AH1390" i="1"/>
  <c r="AH1522" i="1"/>
  <c r="AH1521" i="1"/>
  <c r="AH1519" i="1"/>
  <c r="AH1516" i="1"/>
  <c r="Y1517" i="1"/>
  <c r="Z1517" i="1"/>
  <c r="AI1380" i="1"/>
  <c r="AC1613" i="1"/>
  <c r="AC1594" i="1"/>
  <c r="AC1283" i="1"/>
  <c r="AC1590" i="1"/>
  <c r="AI1348" i="1"/>
  <c r="AI1592" i="1"/>
  <c r="AI1569" i="1"/>
  <c r="AF1286" i="1"/>
  <c r="AF1279" i="1"/>
  <c r="AF1235" i="1"/>
  <c r="AL1326" i="1"/>
  <c r="AL1324" i="1"/>
  <c r="AL1327" i="1"/>
  <c r="AL1325" i="1"/>
  <c r="AK1294" i="1"/>
  <c r="AK1293" i="1"/>
  <c r="AK1285" i="1"/>
  <c r="AK1472" i="1"/>
  <c r="AF1529" i="1"/>
  <c r="AF1528" i="1"/>
  <c r="AF553" i="1"/>
  <c r="AF107" i="1"/>
  <c r="AF1012" i="1"/>
  <c r="AF1487" i="1"/>
  <c r="AF1492" i="1"/>
  <c r="AF1493" i="1"/>
  <c r="AF1524" i="1"/>
  <c r="AE1532" i="1"/>
  <c r="AE1521" i="1"/>
  <c r="AE1522" i="1"/>
  <c r="AG1277" i="1"/>
  <c r="AG1401" i="1"/>
  <c r="AF1273" i="1"/>
  <c r="AF1306" i="1"/>
  <c r="AH1282" i="1"/>
  <c r="AL1573" i="1"/>
  <c r="AL1386" i="1"/>
  <c r="AG108" i="1"/>
  <c r="AG106" i="1"/>
  <c r="AJ986" i="1"/>
  <c r="AD1609" i="1"/>
  <c r="AD1605" i="1"/>
  <c r="AJ1325" i="1"/>
  <c r="AJ1324" i="1"/>
  <c r="AJ1326" i="1"/>
  <c r="AJ1327" i="1"/>
  <c r="Z1304" i="1"/>
  <c r="Z1262" i="1"/>
  <c r="AF1517" i="1"/>
  <c r="AF1383" i="1"/>
  <c r="AF1385" i="1"/>
  <c r="AF1387" i="1"/>
  <c r="AG1383" i="1"/>
  <c r="AG1385" i="1"/>
  <c r="AG1387" i="1"/>
  <c r="AL1609" i="1"/>
  <c r="AL1468" i="1"/>
  <c r="AL1469" i="1"/>
  <c r="AL1605" i="1"/>
  <c r="AJ1462" i="1"/>
  <c r="AJ1458" i="1"/>
  <c r="Z1567" i="1"/>
  <c r="X1567" i="1"/>
  <c r="AE1387" i="1"/>
  <c r="AE1385" i="1"/>
  <c r="AE1383" i="1"/>
  <c r="AA1522" i="1"/>
  <c r="AA1521" i="1"/>
  <c r="AA1519" i="1"/>
  <c r="AC1484" i="1"/>
  <c r="AC1478" i="1"/>
  <c r="Z1067" i="1"/>
  <c r="Z1060" i="1"/>
  <c r="AF1474" i="1"/>
  <c r="AF1691" i="1"/>
  <c r="AI1462" i="1"/>
  <c r="AI1458" i="1"/>
  <c r="AK108" i="1"/>
  <c r="AK106" i="1"/>
  <c r="AL1294" i="1"/>
  <c r="AL1472" i="1"/>
  <c r="AL1285" i="1"/>
  <c r="AL1293" i="1"/>
  <c r="BK1782" i="1"/>
  <c r="AZ1782" i="1"/>
  <c r="AG1484" i="1"/>
  <c r="AG1527" i="1"/>
  <c r="AL1262" i="1"/>
  <c r="AD1296" i="1"/>
  <c r="AD1297" i="1"/>
  <c r="AD1305" i="1"/>
  <c r="AG1294" i="1"/>
  <c r="AG1472" i="1"/>
  <c r="AG1285" i="1"/>
  <c r="AG1293" i="1"/>
  <c r="AI1386" i="1"/>
  <c r="AI985" i="1"/>
  <c r="AI1316" i="1"/>
  <c r="AI1319" i="1"/>
  <c r="AI1566" i="1"/>
  <c r="AI1570" i="1"/>
  <c r="AI1573" i="1"/>
  <c r="AF1347" i="1"/>
  <c r="AC1304" i="1"/>
  <c r="AC1262" i="1"/>
  <c r="AI981" i="1"/>
  <c r="AI979" i="1"/>
  <c r="AI982" i="1"/>
  <c r="I56" i="10"/>
  <c r="AC44" i="10"/>
  <c r="I55" i="10"/>
  <c r="I57" i="10"/>
  <c r="AG44" i="10"/>
  <c r="AJ1527" i="1"/>
  <c r="AJ1484" i="1"/>
  <c r="AC108" i="1"/>
  <c r="AC106" i="1"/>
  <c r="AH1481" i="1"/>
  <c r="AI1347" i="1"/>
  <c r="AD1327" i="1"/>
  <c r="AD1325" i="1"/>
  <c r="AD1324" i="1"/>
  <c r="AD1326" i="1"/>
  <c r="AL1297" i="1"/>
  <c r="AL1296" i="1"/>
  <c r="AB1043" i="1"/>
  <c r="AH1609" i="1"/>
  <c r="AH1605" i="1"/>
  <c r="AH1278" i="1"/>
  <c r="AH1283" i="1"/>
  <c r="AH1285" i="1"/>
  <c r="AH1468" i="1"/>
  <c r="AH1469" i="1"/>
  <c r="AD1484" i="1"/>
  <c r="AD1478" i="1"/>
  <c r="AK1567" i="1"/>
  <c r="AK1591" i="1"/>
  <c r="AJ971" i="1"/>
  <c r="AI1516" i="1"/>
  <c r="AI1519" i="1"/>
  <c r="AI1521" i="1"/>
  <c r="AI1522" i="1"/>
  <c r="AG1522" i="1"/>
  <c r="AG1516" i="1"/>
  <c r="AG1519" i="1"/>
  <c r="AG1521" i="1"/>
  <c r="AI1488" i="1"/>
  <c r="AK1488" i="1"/>
  <c r="BK1819" i="1"/>
  <c r="AE1527" i="1"/>
  <c r="AZ1819" i="1"/>
  <c r="AF1013" i="1"/>
  <c r="AF1011" i="1"/>
  <c r="AF1294" i="1"/>
  <c r="AF1293" i="1"/>
  <c r="AF1472" i="1"/>
  <c r="AI971" i="1"/>
  <c r="J30" i="28"/>
  <c r="J31" i="28"/>
  <c r="AD19" i="28"/>
  <c r="AH19" i="28"/>
  <c r="J22" i="28"/>
  <c r="J23" i="28"/>
  <c r="J29" i="28"/>
  <c r="X1529" i="1"/>
  <c r="X1530" i="1"/>
  <c r="AK1327" i="1"/>
  <c r="AK1324" i="1"/>
  <c r="AK1326" i="1"/>
  <c r="AK1325" i="1"/>
  <c r="I24" i="10"/>
  <c r="I26" i="10"/>
  <c r="I25" i="10"/>
  <c r="AG18" i="10"/>
  <c r="AC18" i="10"/>
  <c r="I19" i="10"/>
  <c r="AJ1411" i="1"/>
  <c r="AJ1416" i="1"/>
  <c r="AJ1417" i="1"/>
  <c r="AD1524" i="1"/>
  <c r="AD553" i="1"/>
  <c r="AD1487" i="1"/>
  <c r="AD1492" i="1"/>
  <c r="AD1493" i="1"/>
  <c r="AD107" i="1"/>
  <c r="AB1260" i="1"/>
  <c r="AI1356" i="1"/>
  <c r="AH1357" i="1"/>
  <c r="AC1524" i="1"/>
  <c r="AC553" i="1"/>
  <c r="AC1487" i="1"/>
  <c r="AC1492" i="1"/>
  <c r="AC1493" i="1"/>
  <c r="AC107" i="1"/>
  <c r="AC1259" i="1"/>
  <c r="AC1260" i="1"/>
  <c r="Z1352" i="1"/>
  <c r="AC43" i="10"/>
  <c r="I55" i="28"/>
  <c r="I57" i="28"/>
  <c r="AG44" i="28"/>
  <c r="AC44" i="28"/>
  <c r="AK1516" i="1"/>
  <c r="AK1519" i="1"/>
  <c r="AK1521" i="1"/>
  <c r="AK1522" i="1"/>
  <c r="AK982" i="1"/>
  <c r="AK979" i="1"/>
  <c r="AK981" i="1"/>
  <c r="J17" i="21"/>
  <c r="J18" i="21"/>
  <c r="J19" i="21"/>
  <c r="J20" i="21"/>
  <c r="AH1272" i="1"/>
  <c r="AH1273" i="1"/>
  <c r="AH1279" i="1"/>
  <c r="AH1286" i="1"/>
  <c r="AJ1356" i="1"/>
  <c r="AI1358" i="1"/>
  <c r="AI1357" i="1"/>
  <c r="X1286" i="1"/>
  <c r="X1293" i="1"/>
  <c r="Z1293" i="1"/>
  <c r="AL985" i="1"/>
  <c r="AL1316" i="1"/>
  <c r="AL1319" i="1"/>
  <c r="AL1566" i="1"/>
  <c r="AL1570" i="1"/>
  <c r="AL1581" i="1"/>
  <c r="AL1584" i="1"/>
  <c r="AG986" i="1"/>
  <c r="Z1278" i="1"/>
  <c r="J78" i="35"/>
  <c r="J77" i="35"/>
  <c r="J69" i="35"/>
  <c r="J76" i="35"/>
  <c r="AH1584" i="1"/>
  <c r="AH1581" i="1"/>
  <c r="AG1352" i="1"/>
  <c r="AE1529" i="1"/>
  <c r="AA1286" i="1"/>
  <c r="AE1286" i="1"/>
  <c r="AE1530" i="1"/>
  <c r="AB108" i="1"/>
  <c r="AB106" i="1"/>
  <c r="Z1591" i="1"/>
  <c r="AL1522" i="1"/>
  <c r="AG1456" i="1"/>
  <c r="AG1459" i="1"/>
  <c r="AH1456" i="1"/>
  <c r="AH1459" i="1"/>
  <c r="AI1456" i="1"/>
  <c r="AI1459" i="1"/>
  <c r="AJ1456" i="1"/>
  <c r="AJ1459" i="1"/>
  <c r="AK1456" i="1"/>
  <c r="AK1459" i="1"/>
  <c r="AL1456" i="1"/>
  <c r="AL1459" i="1"/>
  <c r="AL1516" i="1"/>
  <c r="AL1519" i="1"/>
  <c r="AL1521" i="1"/>
  <c r="AE1386" i="1"/>
  <c r="AZ1754" i="1"/>
  <c r="AE1591" i="1"/>
  <c r="AJ1352" i="1"/>
  <c r="AL1352" i="1"/>
  <c r="AK1352" i="1"/>
  <c r="AD1043" i="1"/>
  <c r="AF108" i="1"/>
  <c r="AF106" i="1"/>
  <c r="AD1569" i="1"/>
  <c r="AD1592" i="1"/>
  <c r="AJ1569" i="1"/>
  <c r="AJ1592" i="1"/>
  <c r="AJ1348" i="1"/>
  <c r="AA108" i="1"/>
  <c r="AA106" i="1"/>
  <c r="AK1584" i="1"/>
  <c r="AK1581" i="1"/>
  <c r="AD1488" i="1"/>
  <c r="AC1488" i="1"/>
  <c r="AA1488" i="1"/>
  <c r="AB1488" i="1"/>
  <c r="AE1488" i="1"/>
  <c r="AE1531" i="1"/>
  <c r="AJ1383" i="1"/>
  <c r="AJ1385" i="1"/>
  <c r="AJ1387" i="1"/>
  <c r="Z1380" i="1"/>
  <c r="Z1390" i="1"/>
  <c r="AE1305" i="1"/>
  <c r="AE1297" i="1"/>
  <c r="AE1303" i="1"/>
  <c r="Y1324" i="1"/>
  <c r="Y1327" i="1"/>
  <c r="Y1325" i="1"/>
  <c r="Y985" i="1"/>
  <c r="Y986" i="1"/>
  <c r="Y1316" i="1"/>
  <c r="Y1326" i="1"/>
  <c r="AK1417" i="1"/>
  <c r="AK1416" i="1"/>
  <c r="AK1411" i="1"/>
  <c r="J29" i="10"/>
  <c r="J31" i="10"/>
  <c r="AD19" i="10"/>
  <c r="AH19" i="10"/>
  <c r="J22" i="10"/>
  <c r="J23" i="10"/>
  <c r="J30" i="10"/>
  <c r="AH44" i="28"/>
  <c r="J57" i="28"/>
  <c r="J55" i="28"/>
  <c r="AE1570" i="1"/>
  <c r="J49" i="28"/>
  <c r="AD44" i="28"/>
  <c r="AE1327" i="1"/>
  <c r="AE1326" i="1"/>
  <c r="AE1325" i="1"/>
  <c r="AE1324" i="1"/>
  <c r="AD1481" i="1"/>
  <c r="AC1481" i="1"/>
  <c r="AB1481" i="1"/>
  <c r="AE1481" i="1"/>
  <c r="AA1481" i="1"/>
  <c r="AA1516" i="1"/>
  <c r="AC1516" i="1"/>
  <c r="AD1516" i="1"/>
  <c r="AB1516" i="1"/>
  <c r="AF1326" i="1"/>
  <c r="AF1327" i="1"/>
  <c r="AF1324" i="1"/>
  <c r="AF1325" i="1"/>
  <c r="AB982" i="1"/>
  <c r="AB979" i="1"/>
  <c r="AB981" i="1"/>
  <c r="Y1293" i="1"/>
  <c r="Y1283" i="1"/>
  <c r="Y1285" i="1"/>
  <c r="Y1294" i="1"/>
  <c r="Z1532" i="1"/>
  <c r="Z1521" i="1"/>
  <c r="Z1522" i="1"/>
  <c r="AE971" i="1"/>
  <c r="AD1260" i="1"/>
  <c r="AG1567" i="1"/>
  <c r="AG1591" i="1"/>
  <c r="AF1303" i="1"/>
  <c r="AF1296" i="1"/>
  <c r="AF1297" i="1"/>
  <c r="AF1305" i="1"/>
  <c r="AG1495" i="1"/>
  <c r="AG1500" i="1"/>
  <c r="AG1513" i="1"/>
  <c r="AG1569" i="1"/>
  <c r="AG1592" i="1"/>
  <c r="AG1348" i="1"/>
  <c r="Y1567" i="1"/>
  <c r="Y1591" i="1"/>
  <c r="AE108" i="1"/>
  <c r="AE106" i="1"/>
  <c r="AJ108" i="1"/>
  <c r="AJ106" i="1"/>
  <c r="Z1011" i="1"/>
  <c r="Z1013" i="1"/>
  <c r="AD1277" i="1"/>
  <c r="AD1234" i="1"/>
  <c r="AD1235" i="1"/>
  <c r="AI1235" i="1"/>
  <c r="AH1235" i="1"/>
  <c r="AD1259" i="1"/>
  <c r="AD1262" i="1"/>
  <c r="AD1304" i="1"/>
  <c r="AD43" i="10"/>
  <c r="AI1609" i="1"/>
  <c r="AI1605" i="1"/>
  <c r="AI1469" i="1"/>
  <c r="AI1468" i="1"/>
  <c r="AI1472" i="1"/>
  <c r="AI1293" i="1"/>
  <c r="AI1285" i="1"/>
  <c r="AI1294" i="1"/>
  <c r="AC1609" i="1"/>
  <c r="AC1605" i="1"/>
  <c r="AB1590" i="1"/>
  <c r="AB1594" i="1"/>
  <c r="AB1613" i="1"/>
  <c r="AJ1390" i="1"/>
  <c r="AH1488" i="1"/>
  <c r="Z996" i="1"/>
  <c r="Z998" i="1"/>
  <c r="AK1527" i="1"/>
  <c r="AK1484" i="1"/>
  <c r="AE1357" i="1"/>
  <c r="AF1356" i="1"/>
  <c r="AC1573" i="1"/>
  <c r="AC1319" i="1"/>
  <c r="AC1566" i="1"/>
  <c r="AC1570" i="1"/>
  <c r="Z1303" i="1"/>
  <c r="Z1305" i="1"/>
  <c r="AJ1591" i="1"/>
  <c r="AJ1567" i="1"/>
  <c r="Z1571" i="1"/>
  <c r="X1571" i="1"/>
  <c r="AH1356" i="1"/>
  <c r="AG1358" i="1"/>
  <c r="AG1357" i="1"/>
  <c r="AG1517" i="1"/>
  <c r="AK1297" i="1"/>
  <c r="AK1296" i="1"/>
  <c r="AH1358" i="1"/>
  <c r="AH1495" i="1"/>
  <c r="AH1500" i="1"/>
  <c r="AH1513" i="1"/>
  <c r="AI1417" i="1"/>
  <c r="AI1416" i="1"/>
  <c r="AI1411" i="1"/>
  <c r="AA1500" i="1"/>
  <c r="AA1495" i="1"/>
  <c r="AL1569" i="1"/>
  <c r="AL1592" i="1"/>
  <c r="AL1348" i="1"/>
  <c r="AB1259" i="1"/>
  <c r="AB1591" i="1"/>
  <c r="AB1567" i="1"/>
  <c r="Z1609" i="1"/>
  <c r="Z1513" i="1"/>
  <c r="Z1512" i="1"/>
  <c r="AB1500" i="1"/>
  <c r="AB1495" i="1"/>
  <c r="AG17" i="10"/>
  <c r="Z1319" i="1"/>
  <c r="I48" i="10"/>
  <c r="I17" i="10"/>
  <c r="AC17" i="10"/>
  <c r="AL1356" i="1"/>
  <c r="AK1357" i="1"/>
  <c r="AB1278" i="1"/>
  <c r="AB1283" i="1"/>
  <c r="AB1285" i="1"/>
  <c r="AB1293" i="1"/>
  <c r="AE1293" i="1"/>
  <c r="AC1500" i="1"/>
  <c r="AC1495" i="1"/>
  <c r="AG1488" i="1"/>
  <c r="AI1383" i="1"/>
  <c r="AI1385" i="1"/>
  <c r="AI1387" i="1"/>
  <c r="AK1383" i="1"/>
  <c r="AK1385" i="1"/>
  <c r="AK1387" i="1"/>
  <c r="AH1569" i="1"/>
  <c r="AH1349" i="1"/>
  <c r="AH1348" i="1"/>
  <c r="AH1592" i="1"/>
  <c r="AH1277" i="1"/>
  <c r="AH1401" i="1"/>
  <c r="AH1517" i="1"/>
  <c r="Y981" i="1"/>
  <c r="Y979" i="1"/>
  <c r="Y982" i="1"/>
  <c r="Z1357" i="1"/>
  <c r="AE1356" i="1"/>
  <c r="AE1609" i="1"/>
  <c r="AF1282" i="1"/>
  <c r="Z1474" i="1"/>
  <c r="Z1691" i="1"/>
  <c r="AA1591" i="1"/>
  <c r="AA1567" i="1"/>
  <c r="AE1567" i="1"/>
  <c r="Z1036" i="1"/>
  <c r="Z106" i="1"/>
  <c r="Z108" i="1"/>
  <c r="AI1262" i="1"/>
  <c r="AE1235" i="1"/>
  <c r="AC1522" i="1"/>
  <c r="AC1521" i="1"/>
  <c r="AC1519" i="1"/>
  <c r="AB971" i="1"/>
  <c r="AB1036" i="1"/>
  <c r="AB1041" i="1"/>
  <c r="AB1048" i="1"/>
  <c r="AJ1386" i="1"/>
  <c r="AJ1573" i="1"/>
  <c r="AE1067" i="1"/>
  <c r="AE1060" i="1"/>
  <c r="Y107" i="1"/>
  <c r="Y1524" i="1"/>
  <c r="Y553" i="1"/>
  <c r="Z1487" i="1"/>
  <c r="Y1487" i="1"/>
  <c r="Y1492" i="1"/>
  <c r="Y1493" i="1"/>
  <c r="Y1528" i="1"/>
  <c r="Z1114" i="1"/>
  <c r="AE1013" i="1"/>
  <c r="AE1011" i="1"/>
  <c r="X1235" i="1"/>
  <c r="AF1352" i="1"/>
  <c r="AL1283" i="1"/>
  <c r="AL1590" i="1"/>
  <c r="AL1594" i="1"/>
  <c r="AL1613" i="1"/>
  <c r="Z1469" i="1"/>
  <c r="Z1605" i="1"/>
  <c r="X1605" i="1"/>
  <c r="X1609" i="1"/>
  <c r="AI1352" i="1"/>
  <c r="AB1522" i="1"/>
  <c r="AB1521" i="1"/>
  <c r="AB1519" i="1"/>
  <c r="AA1296" i="1"/>
  <c r="AA1297" i="1"/>
  <c r="AA1305" i="1"/>
  <c r="AK971" i="1"/>
  <c r="AJ1282" i="1"/>
  <c r="AG1273" i="1"/>
  <c r="AG1279" i="1"/>
  <c r="AG1286" i="1"/>
  <c r="AJ1380" i="1"/>
  <c r="AA1570" i="1"/>
  <c r="AA1573" i="1"/>
  <c r="AE1573" i="1"/>
  <c r="Y1532" i="1"/>
  <c r="Z1519" i="1"/>
  <c r="Y1519" i="1"/>
  <c r="Y1521" i="1"/>
  <c r="Y1522" i="1"/>
  <c r="AE1513" i="1"/>
  <c r="AE1512" i="1"/>
  <c r="AR17" i="35"/>
  <c r="AV17" i="35"/>
  <c r="J17" i="35"/>
  <c r="J19" i="35"/>
  <c r="AG1380" i="1"/>
  <c r="J62" i="10"/>
  <c r="J61" i="10"/>
  <c r="AE985" i="1"/>
  <c r="AE986" i="1"/>
  <c r="AE1316" i="1"/>
  <c r="AE1319" i="1"/>
  <c r="J48" i="10"/>
  <c r="J54" i="10"/>
  <c r="J60" i="10"/>
  <c r="AD985" i="1"/>
  <c r="AD986" i="1"/>
  <c r="AD1316" i="1"/>
  <c r="AD1319" i="1"/>
  <c r="AD1566" i="1"/>
  <c r="AD1570" i="1"/>
  <c r="AD1573" i="1"/>
  <c r="X1279" i="1"/>
  <c r="Z1279" i="1"/>
  <c r="AB1517" i="1"/>
  <c r="AC1517" i="1"/>
  <c r="AA1517" i="1"/>
  <c r="AE1517" i="1"/>
  <c r="AD1517" i="1"/>
  <c r="Z1472" i="1"/>
  <c r="AA1282" i="1"/>
  <c r="AE1278" i="1"/>
  <c r="AL107" i="1"/>
  <c r="AK1400" i="1"/>
  <c r="AK1403" i="1"/>
  <c r="AL1400" i="1"/>
  <c r="AL1403" i="1"/>
  <c r="AL1487" i="1"/>
  <c r="AL1492" i="1"/>
  <c r="AL1493" i="1"/>
  <c r="AL1524" i="1"/>
  <c r="AI1591" i="1"/>
  <c r="AI1567" i="1"/>
  <c r="AC1296" i="1"/>
  <c r="AC1297" i="1"/>
  <c r="AC1305" i="1"/>
  <c r="AA1262" i="1"/>
  <c r="AA1304" i="1"/>
  <c r="AH971" i="1"/>
  <c r="AJ985" i="1"/>
  <c r="AJ1316" i="1"/>
  <c r="AJ1319" i="1"/>
  <c r="AJ1566" i="1"/>
  <c r="AJ1570" i="1"/>
  <c r="AJ1581" i="1"/>
  <c r="AJ1584" i="1"/>
  <c r="AF981" i="1"/>
  <c r="AF979" i="1"/>
  <c r="AF982" i="1"/>
  <c r="AD971" i="1"/>
  <c r="AD1036" i="1"/>
  <c r="AD1041" i="1"/>
  <c r="AD1048" i="1"/>
  <c r="AF1590" i="1"/>
  <c r="AF1594" i="1"/>
  <c r="AF1613" i="1"/>
  <c r="AA981" i="1"/>
  <c r="AA979" i="1"/>
  <c r="AA982" i="1"/>
  <c r="Y1278" i="1"/>
  <c r="Y1282" i="1"/>
  <c r="Z1282" i="1"/>
  <c r="AD1294" i="1"/>
  <c r="AD1285" i="1"/>
  <c r="AD1293" i="1"/>
  <c r="AF1262" i="1"/>
  <c r="AF1304" i="1"/>
  <c r="AG1347" i="1"/>
  <c r="AF1349" i="1"/>
  <c r="AF1481" i="1"/>
  <c r="AD108" i="1"/>
  <c r="AD106" i="1"/>
  <c r="AF1458" i="1"/>
  <c r="AF1462" i="1"/>
  <c r="Z1113" i="1"/>
  <c r="Y1113" i="1"/>
  <c r="Y1114" i="1"/>
  <c r="AL108" i="1"/>
  <c r="AL106" i="1"/>
  <c r="AJ1524" i="1"/>
  <c r="AJ1400" i="1"/>
  <c r="AJ1403" i="1"/>
  <c r="AJ1487" i="1"/>
  <c r="AJ1492" i="1"/>
  <c r="AJ1493" i="1"/>
  <c r="AJ107" i="1"/>
  <c r="AH107" i="1"/>
  <c r="AH1487" i="1"/>
  <c r="AH1492" i="1"/>
  <c r="AH1493" i="1"/>
  <c r="AH1524" i="1"/>
  <c r="AK1358" i="1"/>
  <c r="AK1495" i="1"/>
  <c r="AK1500" i="1"/>
  <c r="AK1513" i="1"/>
  <c r="AK1481" i="1"/>
  <c r="AL1347" i="1"/>
  <c r="AH1527" i="1"/>
  <c r="AH1484" i="1"/>
  <c r="AD1283" i="1"/>
  <c r="AD1590" i="1"/>
  <c r="AD1594" i="1"/>
  <c r="AD1613" i="1"/>
  <c r="AD1306" i="1"/>
  <c r="AJ1286" i="1"/>
  <c r="AJ1279" i="1"/>
  <c r="AJ1273" i="1"/>
  <c r="AH1352" i="1"/>
  <c r="AE1500" i="1"/>
  <c r="AK1273" i="1"/>
  <c r="AK1279" i="1"/>
  <c r="AK1286" i="1"/>
  <c r="AJ1272" i="1"/>
  <c r="AJ1278" i="1"/>
  <c r="AJ1283" i="1"/>
  <c r="AJ1285" i="1"/>
  <c r="AJ1468" i="1"/>
  <c r="AJ1469" i="1"/>
  <c r="AJ1605" i="1"/>
  <c r="AJ1609" i="1"/>
  <c r="AE1349" i="1"/>
  <c r="AE1348" i="1"/>
  <c r="AE1592" i="1"/>
  <c r="AC1592" i="1"/>
  <c r="AC1569" i="1"/>
  <c r="AA1319" i="1"/>
  <c r="AA1566" i="1"/>
  <c r="AE1566" i="1"/>
  <c r="AE1577" i="1"/>
  <c r="AZ1730" i="1"/>
  <c r="BK1730" i="1"/>
  <c r="AC971" i="1"/>
  <c r="AC1036" i="1"/>
  <c r="AC1041" i="1"/>
  <c r="AC1048" i="1"/>
  <c r="AI107" i="1"/>
  <c r="AH1400" i="1"/>
  <c r="AH1403" i="1"/>
  <c r="AI1400" i="1"/>
  <c r="AI1403" i="1"/>
  <c r="AI1487" i="1"/>
  <c r="AI1492" i="1"/>
  <c r="AI1493" i="1"/>
  <c r="AI1524" i="1"/>
  <c r="AA1048" i="1"/>
  <c r="Z1481" i="1"/>
  <c r="Y1481" i="1"/>
  <c r="Y1484" i="1"/>
  <c r="AA1306" i="1"/>
  <c r="AA1235" i="1"/>
  <c r="AE1516" i="1"/>
  <c r="AE1519" i="1"/>
  <c r="AD1519" i="1"/>
  <c r="AD1521" i="1"/>
  <c r="AD1522" i="1"/>
  <c r="AD1273" i="1"/>
  <c r="AD1279" i="1"/>
  <c r="AD1286" i="1"/>
  <c r="AH1260" i="1"/>
  <c r="AH1458" i="1"/>
  <c r="AH1462" i="1"/>
  <c r="AA1260" i="1"/>
  <c r="AE1260" i="1"/>
  <c r="AE1358" i="1"/>
  <c r="AE1495" i="1"/>
  <c r="AD1495" i="1"/>
  <c r="AD1500" i="1"/>
  <c r="AG1386" i="1"/>
  <c r="AG1573" i="1"/>
  <c r="AF1510" i="1"/>
  <c r="AG1510" i="1"/>
  <c r="AH1510" i="1"/>
  <c r="AI1510" i="1"/>
  <c r="AJ1510" i="1"/>
  <c r="AK1510" i="1"/>
  <c r="AL1510" i="1"/>
  <c r="AE1510" i="1"/>
  <c r="AD1510" i="1"/>
  <c r="AD1512" i="1"/>
  <c r="AD1513" i="1"/>
  <c r="AH1411" i="1"/>
  <c r="AH1416" i="1"/>
  <c r="AH1417" i="1"/>
  <c r="AF971" i="1"/>
  <c r="I3" i="11"/>
  <c r="AK1283" i="1"/>
  <c r="AK1590" i="1"/>
  <c r="AK1594" i="1"/>
  <c r="AK1613" i="1"/>
  <c r="Z1484" i="1"/>
  <c r="Z1527" i="1"/>
  <c r="AE981" i="1"/>
  <c r="AE970" i="1"/>
  <c r="AE973" i="1"/>
  <c r="AE976" i="1"/>
  <c r="AE979" i="1"/>
  <c r="AE982" i="1"/>
  <c r="AA1326" i="1"/>
  <c r="AA1327" i="1"/>
  <c r="AA1325" i="1"/>
  <c r="AA985" i="1"/>
  <c r="AA986" i="1"/>
  <c r="AA1316" i="1"/>
  <c r="AA1324" i="1"/>
  <c r="AC1272" i="1"/>
  <c r="AC1278" i="1"/>
  <c r="AC1282" i="1"/>
  <c r="AK986" i="1"/>
  <c r="AK1234" i="1"/>
  <c r="AL1234" i="1"/>
  <c r="AL1235" i="1"/>
  <c r="Z1358" i="1"/>
  <c r="Z1495" i="1"/>
  <c r="Z1500" i="1"/>
  <c r="AB1272" i="1"/>
  <c r="AB1273" i="1"/>
  <c r="AB1306" i="1"/>
  <c r="AJ981" i="1"/>
  <c r="AJ973" i="1"/>
  <c r="AJ976" i="1"/>
  <c r="AJ979" i="1"/>
  <c r="AJ982" i="1"/>
  <c r="Z1326" i="1"/>
  <c r="Z1325" i="1"/>
  <c r="Z1324" i="1"/>
  <c r="Z970" i="1"/>
  <c r="Z973" i="1"/>
  <c r="Z976" i="1"/>
  <c r="Z985" i="1"/>
  <c r="Z986" i="1"/>
  <c r="Z1316" i="1"/>
  <c r="Z1327" i="1"/>
  <c r="AK1458" i="1"/>
  <c r="AK1462" i="1"/>
  <c r="AB1327" i="1"/>
  <c r="AB1326" i="1"/>
  <c r="AB1325" i="1"/>
  <c r="AB920" i="1"/>
  <c r="AB970" i="1"/>
  <c r="AB973" i="1"/>
  <c r="AB976" i="1"/>
  <c r="AB985" i="1"/>
  <c r="AB986" i="1"/>
  <c r="AB1316" i="1"/>
  <c r="AB1324" i="1"/>
  <c r="AC1325" i="1"/>
  <c r="AC1326" i="1"/>
  <c r="AC1327" i="1"/>
  <c r="AC985" i="1"/>
  <c r="AC986" i="1"/>
  <c r="AC1316" i="1"/>
  <c r="AC1324" i="1"/>
  <c r="AA1285" i="1"/>
  <c r="AE1285" i="1"/>
  <c r="AE1468" i="1"/>
  <c r="AE1469" i="1"/>
  <c r="AE1605" i="1"/>
  <c r="AB1605" i="1"/>
  <c r="AB1609" i="1"/>
  <c r="AF1386" i="1"/>
  <c r="AF1573" i="1"/>
  <c r="Y1262" i="1"/>
  <c r="Y1304" i="1"/>
  <c r="AI1277" i="1"/>
  <c r="AI1401" i="1"/>
  <c r="AJ1488" i="1"/>
  <c r="AF1527" i="1"/>
  <c r="AF1484" i="1"/>
  <c r="AC982" i="1"/>
  <c r="AC973" i="1"/>
  <c r="AC976" i="1"/>
  <c r="AC979" i="1"/>
  <c r="AC981" i="1"/>
  <c r="AD1272" i="1"/>
  <c r="AD1278" i="1"/>
  <c r="AD1282" i="1"/>
  <c r="AK1347" i="1"/>
  <c r="AJ970" i="1"/>
  <c r="AJ1259" i="1"/>
  <c r="AJ1260" i="1"/>
  <c r="AJ1349" i="1"/>
  <c r="AJ1481" i="1"/>
  <c r="AF1277" i="1"/>
  <c r="AF1401" i="1"/>
  <c r="AG1481" i="1"/>
  <c r="AG1260" i="1"/>
  <c r="AG1349" i="1"/>
  <c r="AH1347" i="1"/>
  <c r="X1285" i="1"/>
  <c r="Z1285" i="1"/>
  <c r="Z1468" i="1"/>
  <c r="Z1470" i="1"/>
  <c r="AE1467" i="1"/>
  <c r="AE1470" i="1"/>
  <c r="AF1467" i="1"/>
  <c r="AF1470" i="1"/>
  <c r="AG1467" i="1"/>
  <c r="AG1470" i="1"/>
  <c r="AH1467" i="1"/>
  <c r="AH1470" i="1"/>
  <c r="AI1467" i="1"/>
  <c r="AI1470" i="1"/>
  <c r="AI1517" i="1"/>
  <c r="AE1066" i="1"/>
  <c r="AA1041" i="1"/>
  <c r="AE1041" i="1"/>
  <c r="AE1048" i="1"/>
  <c r="AE1056" i="1"/>
  <c r="AE1058" i="1"/>
  <c r="AE1064" i="1"/>
  <c r="AA1279" i="1"/>
  <c r="AE1279" i="1"/>
  <c r="AA1484" i="1"/>
  <c r="AA1478" i="1"/>
  <c r="AA971" i="1"/>
  <c r="AA1036" i="1"/>
  <c r="AE1036" i="1"/>
  <c r="AI1296" i="1"/>
  <c r="AI1297" i="1"/>
  <c r="Y1306" i="1"/>
  <c r="AH1386" i="1"/>
  <c r="AH1319" i="1"/>
  <c r="AH1566" i="1"/>
  <c r="AH1570" i="1"/>
  <c r="AH1573" i="1"/>
  <c r="AF1609" i="1"/>
  <c r="AF1272" i="1"/>
  <c r="AF1278" i="1"/>
  <c r="AF1283" i="1"/>
  <c r="AF1285" i="1"/>
  <c r="AF1468" i="1"/>
  <c r="AF1469" i="1"/>
  <c r="AF1605" i="1"/>
  <c r="AA1273" i="1"/>
  <c r="AE1273" i="1"/>
  <c r="AE1306" i="1"/>
  <c r="AK1260" i="1"/>
  <c r="AK1349" i="1"/>
  <c r="AK1348" i="1"/>
  <c r="AK1592" i="1"/>
  <c r="AK1569" i="1"/>
  <c r="AH1383" i="1"/>
  <c r="AH1385" i="1"/>
  <c r="AH1387" i="1"/>
  <c r="Z1348" i="1"/>
  <c r="Z1592" i="1"/>
  <c r="Y1592" i="1"/>
  <c r="Y1569" i="1"/>
  <c r="Z1569" i="1"/>
  <c r="Z1673" i="1"/>
  <c r="Z1674" i="1"/>
  <c r="AH986" i="1"/>
  <c r="Z1417" i="1"/>
  <c r="AG1319" i="1"/>
  <c r="AG1566" i="1"/>
  <c r="AG1570" i="1"/>
  <c r="AG1581" i="1"/>
  <c r="AG1584" i="1"/>
  <c r="AF1488" i="1"/>
  <c r="AF1531" i="1"/>
  <c r="AA1043" i="1"/>
  <c r="AE1043" i="1"/>
  <c r="AH1259" i="1"/>
  <c r="AH1262" i="1"/>
  <c r="AG1272" i="1"/>
  <c r="AG1278" i="1"/>
  <c r="AG1283" i="1"/>
  <c r="AG1590" i="1"/>
  <c r="AG1594" i="1"/>
  <c r="AG1613" i="1"/>
  <c r="AI1390" i="1"/>
  <c r="Z1272" i="1"/>
  <c r="Z1296" i="1"/>
  <c r="Z1297" i="1"/>
  <c r="H3" i="11"/>
  <c r="H4" i="11"/>
  <c r="G4" i="11"/>
  <c r="G5" i="11"/>
  <c r="G6" i="11"/>
  <c r="AC920" i="1"/>
  <c r="AC970" i="1"/>
  <c r="AC1043" i="1"/>
  <c r="AE1411" i="1"/>
  <c r="AA1259" i="1"/>
  <c r="AE1259" i="1"/>
  <c r="AE1416" i="1"/>
  <c r="AE1417" i="1"/>
  <c r="AD981" i="1"/>
  <c r="AD920" i="1"/>
  <c r="AD970" i="1"/>
  <c r="AD973" i="1"/>
  <c r="AD976" i="1"/>
  <c r="AD979" i="1"/>
  <c r="AD982" i="1"/>
  <c r="Z1349" i="1"/>
  <c r="AE1347" i="1"/>
  <c r="AG1324" i="1"/>
  <c r="AG1327" i="1"/>
  <c r="AG1326" i="1"/>
  <c r="AG973" i="1"/>
  <c r="AG976" i="1"/>
  <c r="AG985" i="1"/>
  <c r="AG1316" i="1"/>
  <c r="AG1325" i="1"/>
  <c r="AI1282" i="1"/>
  <c r="AK1390" i="1"/>
  <c r="AG1377" i="1"/>
  <c r="AH1375" i="1"/>
  <c r="AH1377" i="1"/>
  <c r="AI1375" i="1"/>
  <c r="AI1377" i="1"/>
  <c r="AJ1375" i="1"/>
  <c r="AJ1377" i="1"/>
  <c r="AK1375" i="1"/>
  <c r="AK1377" i="1"/>
  <c r="AL1375" i="1"/>
  <c r="AL1390" i="1"/>
  <c r="Z1510" i="1"/>
  <c r="Z1608" i="1"/>
  <c r="AL982" i="1"/>
  <c r="AL979" i="1"/>
  <c r="AL981" i="1"/>
  <c r="AL1527" i="1"/>
  <c r="AJ1478" i="1"/>
  <c r="AK1478" i="1"/>
  <c r="AL1478" i="1"/>
  <c r="AL1484" i="1"/>
  <c r="AF1495" i="1"/>
  <c r="AF1500" i="1"/>
  <c r="AF1513" i="1"/>
  <c r="Z1062" i="1"/>
  <c r="AL1259" i="1"/>
  <c r="AL1260" i="1"/>
  <c r="AL1349" i="1"/>
  <c r="AL1481" i="1"/>
  <c r="AA1524" i="1"/>
  <c r="AA553" i="1"/>
  <c r="AE1487" i="1"/>
  <c r="AA1487" i="1"/>
  <c r="AA1492" i="1"/>
  <c r="AA1493" i="1"/>
  <c r="AA107" i="1"/>
  <c r="AH1327" i="1"/>
  <c r="AH1326" i="1"/>
  <c r="AH1325" i="1"/>
  <c r="AH970" i="1"/>
  <c r="AH973" i="1"/>
  <c r="AH976" i="1"/>
  <c r="AH985" i="1"/>
  <c r="AH1316" i="1"/>
  <c r="AH1324" i="1"/>
  <c r="AF1375" i="1"/>
  <c r="AF1377" i="1"/>
  <c r="AG1375" i="1"/>
  <c r="AG1390" i="1"/>
  <c r="AB1277" i="1"/>
  <c r="AB1234" i="1"/>
  <c r="AB1235" i="1"/>
  <c r="AL920" i="1"/>
  <c r="AL970" i="1"/>
  <c r="AL973" i="1"/>
  <c r="AL976" i="1"/>
  <c r="AL1272" i="1"/>
  <c r="AL1278" i="1"/>
  <c r="AL1282" i="1"/>
  <c r="AF973" i="1"/>
  <c r="AF976" i="1"/>
  <c r="AF985" i="1"/>
  <c r="AF1316" i="1"/>
  <c r="AF1319" i="1"/>
  <c r="AF1566" i="1"/>
  <c r="AF1570" i="1"/>
  <c r="AF1581" i="1"/>
  <c r="AF1584" i="1"/>
  <c r="AG1262" i="1"/>
  <c r="X1283" i="1"/>
  <c r="Z1283" i="1"/>
  <c r="Z1590" i="1"/>
  <c r="Z1594" i="1"/>
  <c r="Z1613" i="1"/>
  <c r="Z1478" i="1"/>
  <c r="Z1383" i="1"/>
  <c r="Z1385" i="1"/>
  <c r="Z1387" i="1"/>
  <c r="Z1376" i="1"/>
  <c r="Z1377" i="1"/>
  <c r="AE1375" i="1"/>
  <c r="AE1377" i="1"/>
  <c r="AE1380" i="1"/>
  <c r="AI1527" i="1"/>
  <c r="AF1478" i="1"/>
  <c r="AG1478" i="1"/>
  <c r="AH1478" i="1"/>
  <c r="AI1478" i="1"/>
  <c r="AI1484" i="1"/>
  <c r="AF1530" i="1"/>
  <c r="AF1522" i="1"/>
  <c r="AE1456" i="1"/>
  <c r="AE1459" i="1"/>
  <c r="AF1456" i="1"/>
  <c r="AF1459" i="1"/>
  <c r="AF1516" i="1"/>
  <c r="AF1519" i="1"/>
  <c r="AF1521" i="1"/>
  <c r="AF1532" i="1"/>
  <c r="AG19" i="28"/>
  <c r="I31" i="28"/>
  <c r="I30" i="28"/>
  <c r="AC19" i="28"/>
  <c r="I49" i="28"/>
  <c r="I18" i="28"/>
  <c r="I22" i="28"/>
  <c r="I23" i="28"/>
  <c r="I29" i="28"/>
  <c r="AK1272" i="1"/>
  <c r="AK1278" i="1"/>
  <c r="AK1282" i="1"/>
  <c r="AG1411" i="1"/>
  <c r="AG970" i="1"/>
  <c r="AG1259" i="1"/>
  <c r="AG1416" i="1"/>
  <c r="AG1417" i="1"/>
  <c r="Z1259" i="1"/>
  <c r="Z1416" i="1"/>
  <c r="Z1411" i="1"/>
  <c r="Z1412" i="1"/>
  <c r="AE1409" i="1"/>
  <c r="AE1412" i="1"/>
  <c r="AF1409" i="1"/>
  <c r="AF1412" i="1"/>
  <c r="AG1409" i="1"/>
  <c r="AG1412" i="1"/>
  <c r="AH1409" i="1"/>
  <c r="AH1412" i="1"/>
  <c r="AI1409" i="1"/>
  <c r="AI1412" i="1"/>
  <c r="AJ1409" i="1"/>
  <c r="AJ1412" i="1"/>
  <c r="AK1409" i="1"/>
  <c r="AK1412" i="1"/>
  <c r="AL1409" i="1"/>
  <c r="AL1412" i="1"/>
  <c r="AL1488" i="1"/>
  <c r="Z1459" i="1"/>
  <c r="Z1516" i="1"/>
  <c r="Y1516" i="1"/>
  <c r="AF1234" i="1"/>
  <c r="AG1234" i="1"/>
  <c r="AH1234" i="1"/>
  <c r="AI1234" i="1"/>
  <c r="AJ1234" i="1"/>
  <c r="AJ1235" i="1"/>
  <c r="K101" i="35"/>
  <c r="J64" i="35"/>
  <c r="AE1272" i="1"/>
  <c r="AE1296" i="1"/>
  <c r="J56" i="35"/>
  <c r="J68" i="35"/>
  <c r="AG1356" i="1"/>
  <c r="AF970" i="1"/>
  <c r="AF1259" i="1"/>
  <c r="AF1260" i="1"/>
  <c r="AF1358" i="1"/>
  <c r="AF1357" i="1"/>
  <c r="Y1062" i="1"/>
  <c r="AC19" i="10"/>
  <c r="I29" i="10"/>
  <c r="AG19" i="10"/>
  <c r="I31" i="10"/>
  <c r="I49" i="10"/>
  <c r="I18" i="10"/>
  <c r="I22" i="10"/>
  <c r="I23" i="10"/>
  <c r="I30" i="10"/>
  <c r="Y1530" i="1"/>
  <c r="Y1273" i="1"/>
  <c r="Y1279" i="1"/>
  <c r="Y1286" i="1"/>
  <c r="Y1529" i="1"/>
  <c r="Y973" i="1"/>
  <c r="Y976" i="1"/>
  <c r="Y1272" i="1"/>
  <c r="Y106" i="1"/>
  <c r="Y108" i="1"/>
  <c r="Y1259" i="1"/>
  <c r="Y1260" i="1"/>
  <c r="Z1260" i="1"/>
  <c r="Z1458" i="1"/>
  <c r="Z1462" i="1"/>
  <c r="AG1524" i="1"/>
  <c r="Z1277" i="1"/>
  <c r="Z1401" i="1"/>
  <c r="Z1403" i="1"/>
  <c r="AE1400" i="1"/>
  <c r="AE1403" i="1"/>
  <c r="AF1400" i="1"/>
  <c r="AF1403" i="1"/>
  <c r="AG1400" i="1"/>
  <c r="AG1403" i="1"/>
  <c r="AG1487" i="1"/>
  <c r="AG1492" i="1"/>
  <c r="AG1493" i="1"/>
  <c r="AG107" i="1"/>
  <c r="AE1234" i="1"/>
  <c r="AA1234" i="1"/>
  <c r="AA1277" i="1"/>
  <c r="AE1277" i="1"/>
  <c r="AE1401" i="1"/>
  <c r="AK1386" i="1"/>
  <c r="AK973" i="1"/>
  <c r="AK976" i="1"/>
  <c r="AK985" i="1"/>
  <c r="AK1316" i="1"/>
  <c r="AK1319" i="1"/>
  <c r="AK1566" i="1"/>
  <c r="AK1570" i="1"/>
  <c r="AK1573" i="1"/>
  <c r="AA920" i="1"/>
  <c r="AA970" i="1"/>
  <c r="AA973" i="1"/>
  <c r="AA976" i="1"/>
  <c r="AA1272" i="1"/>
  <c r="AA1278" i="1"/>
  <c r="AA1283" i="1"/>
  <c r="AE1283" i="1"/>
  <c r="AE1590" i="1"/>
  <c r="AE1594" i="1"/>
  <c r="AE1613" i="1"/>
  <c r="AE1478" i="1"/>
  <c r="AE1484" i="1"/>
  <c r="AJ920" i="1"/>
  <c r="AK920" i="1"/>
  <c r="AK970" i="1"/>
  <c r="AK1259" i="1"/>
  <c r="AK1262" i="1"/>
  <c r="Y1048" i="1"/>
  <c r="Y1056" i="1"/>
  <c r="Y1058" i="1"/>
  <c r="Y1060" i="1"/>
  <c r="AJ1347" i="1"/>
  <c r="AI1259" i="1"/>
  <c r="AI1260" i="1"/>
  <c r="AI1349" i="1"/>
  <c r="AI1481" i="1"/>
  <c r="Z1066" i="1"/>
  <c r="Y970" i="1"/>
  <c r="Y971" i="1"/>
  <c r="Y1036" i="1"/>
  <c r="Y1041" i="1"/>
  <c r="Z1041" i="1"/>
  <c r="Z1048" i="1"/>
  <c r="Z1056" i="1"/>
  <c r="Z1058" i="1"/>
  <c r="Z1064" i="1"/>
  <c r="Z1234" i="1"/>
  <c r="X1234" i="1"/>
  <c r="X1277" i="1"/>
  <c r="X1278" i="1"/>
  <c r="X1281" i="1"/>
  <c r="X1566" i="1"/>
  <c r="X1570" i="1"/>
  <c r="Z1570" i="1"/>
  <c r="Z1581" i="1"/>
  <c r="Z1584" i="1"/>
  <c r="Y920" i="1"/>
  <c r="Z920" i="1"/>
  <c r="AE920" i="1"/>
  <c r="AF920" i="1"/>
  <c r="AG920" i="1"/>
  <c r="AH920" i="1"/>
  <c r="AI920" i="1"/>
  <c r="AI970" i="1"/>
  <c r="AI973" i="1"/>
  <c r="AI976" i="1"/>
  <c r="AI1272" i="1"/>
  <c r="AI1278" i="1"/>
  <c r="AI1283" i="1"/>
  <c r="AI1590" i="1"/>
  <c r="AI1594" i="1"/>
  <c r="AI161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AgentUser</author>
    <author>rkirk7</author>
  </authors>
  <commentList>
    <comment ref="D73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AgentUser:</t>
        </r>
        <r>
          <rPr>
            <sz val="9"/>
            <color indexed="81"/>
            <rFont val="Tahoma"/>
            <family val="2"/>
          </rPr>
          <t xml:space="preserve">
 Other operating expenses include
general and administration costs, exploration, research and development, and other operating income (expense)</t>
        </r>
      </text>
    </comment>
    <comment ref="D223" authorId="1" shapeId="0" xr:uid="{00000000-0006-0000-0100-000002000000}">
      <text>
        <r>
          <rPr>
            <b/>
            <sz val="9"/>
            <color indexed="81"/>
            <rFont val="Tahoma"/>
            <family val="2"/>
          </rPr>
          <t>rkirk7:</t>
        </r>
        <r>
          <rPr>
            <sz val="9"/>
            <color indexed="81"/>
            <rFont val="Tahoma"/>
            <family val="2"/>
          </rPr>
          <t xml:space="preserve">
Copper Grades &amp; Recoveries apply to the total ore milled, while zinc grades &amp; recoveries apply to copper-zinc ore milled only
</t>
        </r>
      </text>
    </comment>
    <comment ref="AF410" authorId="1" shapeId="0" xr:uid="{00000000-0006-0000-0100-000003000000}">
      <text>
        <r>
          <rPr>
            <b/>
            <sz val="9"/>
            <color indexed="81"/>
            <rFont val="Tahoma"/>
            <family val="2"/>
          </rPr>
          <t>rkirk7:</t>
        </r>
        <r>
          <rPr>
            <sz val="9"/>
            <color indexed="81"/>
            <rFont val="Tahoma"/>
            <family val="2"/>
          </rPr>
          <t xml:space="preserve">
Includes Ramp up of QB2 +174kt (3y Ramp Starting in 2022)</t>
        </r>
      </text>
    </comment>
    <comment ref="D515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AgentUser:</t>
        </r>
        <r>
          <rPr>
            <sz val="9"/>
            <color indexed="81"/>
            <rFont val="Tahoma"/>
            <family val="2"/>
          </rPr>
          <t xml:space="preserve">
 Other operating expenses include
general and administration costs, exploration, research and development, and other operating income (expense)</t>
        </r>
      </text>
    </comment>
    <comment ref="U611" authorId="1" shapeId="0" xr:uid="{00000000-0006-0000-0100-000005000000}">
      <text>
        <r>
          <rPr>
            <b/>
            <sz val="9"/>
            <color indexed="81"/>
            <rFont val="Tahoma"/>
            <family val="2"/>
          </rPr>
          <t>rkirk7:</t>
        </r>
        <r>
          <rPr>
            <sz val="9"/>
            <color indexed="81"/>
            <rFont val="Tahoma"/>
            <family val="2"/>
          </rPr>
          <t xml:space="preserve">
25K Loss from Maintenance incident</t>
        </r>
      </text>
    </comment>
    <comment ref="D831" authorId="1" shapeId="0" xr:uid="{00000000-0006-0000-0100-000006000000}">
      <text>
        <r>
          <rPr>
            <b/>
            <sz val="9"/>
            <color indexed="81"/>
            <rFont val="Tahoma"/>
            <family val="2"/>
          </rPr>
          <t>rkirk7:</t>
        </r>
        <r>
          <rPr>
            <sz val="9"/>
            <color indexed="81"/>
            <rFont val="Tahoma"/>
            <family val="2"/>
          </rPr>
          <t xml:space="preserve">
Reserves Depleted as of 8/19
</t>
        </r>
      </text>
    </comment>
    <comment ref="D948" authorId="1" shapeId="0" xr:uid="{00000000-0006-0000-0100-000007000000}">
      <text>
        <r>
          <rPr>
            <b/>
            <sz val="9"/>
            <color indexed="81"/>
            <rFont val="Tahoma"/>
            <family val="2"/>
          </rPr>
          <t>rkirk7:</t>
        </r>
        <r>
          <rPr>
            <sz val="9"/>
            <color indexed="81"/>
            <rFont val="Tahoma"/>
            <family val="2"/>
          </rPr>
          <t xml:space="preserve">
Includes By-Product Zinc Production from Copper Operations
</t>
        </r>
      </text>
    </comment>
    <comment ref="D1265" authorId="1" shapeId="0" xr:uid="{00000000-0006-0000-0100-000008000000}">
      <text>
        <r>
          <rPr>
            <b/>
            <sz val="7"/>
            <color indexed="81"/>
            <rFont val="Tahoma"/>
            <family val="2"/>
          </rPr>
          <t>rkirk7:</t>
        </r>
        <r>
          <rPr>
            <sz val="7"/>
            <color indexed="81"/>
            <rFont val="Tahoma"/>
            <family val="2"/>
          </rPr>
          <t xml:space="preserve">
Operating Costs Consist of the Following: 
Settlement Pricing Adjustements 
SBC
Environmental, Care &amp; Maintenance Costs
Social Responsibility &amp; Donations
Gain/(Loss) From Sale of Assets
Commodity Derivatives 
Take or Pay Contract Costs
Other 1x Items (Waneta Dam Sale)
Other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337" authorId="1" shapeId="0" xr:uid="{00000000-0006-0000-0100-000009000000}">
      <text>
        <r>
          <rPr>
            <b/>
            <sz val="9"/>
            <color indexed="81"/>
            <rFont val="Tahoma"/>
            <family val="2"/>
          </rPr>
          <t>rkirk7:</t>
        </r>
        <r>
          <rPr>
            <sz val="9"/>
            <color indexed="81"/>
            <rFont val="Tahoma"/>
            <family val="2"/>
          </rPr>
          <t xml:space="preserve">
Includes Trade and Settlement Receivables + Current Income Tax Receivable
</t>
        </r>
      </text>
    </comment>
    <comment ref="D1606" authorId="1" shapeId="0" xr:uid="{00000000-0006-0000-0100-00000A000000}">
      <text>
        <r>
          <rPr>
            <b/>
            <sz val="9"/>
            <color indexed="81"/>
            <rFont val="Tahoma"/>
            <family val="2"/>
          </rPr>
          <t>rkirk7:</t>
        </r>
        <r>
          <rPr>
            <sz val="9"/>
            <color indexed="81"/>
            <rFont val="Tahoma"/>
            <family val="2"/>
          </rPr>
          <t xml:space="preserve">
Issuance of Class B Subordinate Voting Shares and Purchase of Class B Shares
</t>
        </r>
      </text>
    </comment>
    <comment ref="E1857" authorId="0" shapeId="0" xr:uid="{00000000-0006-0000-0100-00000B000000}">
      <text>
        <r>
          <rPr>
            <b/>
            <sz val="9"/>
            <color indexed="81"/>
            <rFont val="Tahoma"/>
            <family val="2"/>
          </rPr>
          <t>AgentUser:</t>
        </r>
        <r>
          <rPr>
            <sz val="9"/>
            <color indexed="81"/>
            <rFont val="Tahoma"/>
            <family val="2"/>
          </rPr>
          <t xml:space="preserve">
 Other operating expenses include
general and administration costs, exploration, research and development, and other operating income (expense)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acosgrove1</author>
  </authors>
  <commentList>
    <comment ref="J24" authorId="0" shapeId="0" xr:uid="{90BD18E2-423B-4073-A51F-78B1571877EB}">
      <text>
        <r>
          <rPr>
            <b/>
            <sz val="9"/>
            <color indexed="81"/>
            <rFont val="Tahoma"/>
            <family val="2"/>
          </rPr>
          <t>acosgrove1:</t>
        </r>
        <r>
          <rPr>
            <sz val="9"/>
            <color indexed="81"/>
            <rFont val="Tahoma"/>
            <family val="2"/>
          </rPr>
          <t xml:space="preserve">
http://www.vale.com/EN/investors/information-market/presentations-webcast/PresentationsWebcastsDocs/Vale%20Day%20NY%202019_i%20Vsite.pdf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acosgrove1</author>
  </authors>
  <commentList>
    <comment ref="J62" authorId="0" shapeId="0" xr:uid="{11DE0FEC-AFEE-4AF3-ADDF-D0A51989831F}">
      <text>
        <r>
          <rPr>
            <b/>
            <sz val="9"/>
            <color indexed="81"/>
            <rFont val="Tahoma"/>
            <family val="2"/>
          </rPr>
          <t>acosgrove1:</t>
        </r>
        <r>
          <rPr>
            <sz val="9"/>
            <color indexed="81"/>
            <rFont val="Tahoma"/>
            <family val="2"/>
          </rPr>
          <t xml:space="preserve">
http://www.vale.com/EN/investors/information-market/presentations-webcast/PresentationsWebcastsDocs/Vale%20Day%20NY%202019_i%20Vsite.pdf</t>
        </r>
      </text>
    </comment>
  </commentList>
</comments>
</file>

<file path=xl/sharedStrings.xml><?xml version="1.0" encoding="utf-8"?>
<sst xmlns="http://schemas.openxmlformats.org/spreadsheetml/2006/main" count="3809" uniqueCount="1049">
  <si>
    <t xml:space="preserve"> </t>
  </si>
  <si>
    <t>12/31/2013</t>
  </si>
  <si>
    <t>12/31/2014</t>
  </si>
  <si>
    <t>12/31/2015</t>
  </si>
  <si>
    <t>12/31/2016</t>
  </si>
  <si>
    <t>12/31/2017</t>
  </si>
  <si>
    <t>12/31/2018</t>
  </si>
  <si>
    <t>Revenues</t>
  </si>
  <si>
    <t>Cost of sales</t>
  </si>
  <si>
    <t>Gross profit</t>
  </si>
  <si>
    <t>Other operating expenses</t>
  </si>
  <si>
    <t>General and administration</t>
  </si>
  <si>
    <t>Exploration</t>
  </si>
  <si>
    <t>Research and development</t>
  </si>
  <si>
    <t>Impairment reversal (asset impairment)</t>
  </si>
  <si>
    <t>Other operating income (expense)</t>
  </si>
  <si>
    <t>Profit (loss) from operations</t>
  </si>
  <si>
    <t>Finance income</t>
  </si>
  <si>
    <t>Finance expense</t>
  </si>
  <si>
    <t>Non-operating income (expense)</t>
  </si>
  <si>
    <t>Share of income (losses) of associates and joint ventures</t>
  </si>
  <si>
    <t>Profit (loss) before taxes</t>
  </si>
  <si>
    <t>Recovery of (provision for) income taxes</t>
  </si>
  <si>
    <t>Profit (loss) for the period</t>
  </si>
  <si>
    <t>Profit (loss) attributable to:</t>
  </si>
  <si>
    <t>Shareholders of the company</t>
  </si>
  <si>
    <t>Non-controlling interests</t>
  </si>
  <si>
    <t>Earnings (loss) per share</t>
  </si>
  <si>
    <t>Basic</t>
  </si>
  <si>
    <t>Diluted</t>
  </si>
  <si>
    <t>Weighted average shares outstanding (millions)</t>
  </si>
  <si>
    <t>Shares outstanding at end of period (millions)</t>
  </si>
  <si>
    <t>Dividends declared</t>
  </si>
  <si>
    <t>FY 13</t>
  </si>
  <si>
    <t>FY 14</t>
  </si>
  <si>
    <t>FY 15</t>
  </si>
  <si>
    <t>FY 16</t>
  </si>
  <si>
    <t>FY 17</t>
  </si>
  <si>
    <t>FY 18</t>
  </si>
  <si>
    <t>Income Statement (Not Calculated)</t>
  </si>
  <si>
    <t>X</t>
  </si>
  <si>
    <t>Balance Sheet</t>
  </si>
  <si>
    <t>C$ (Millions)</t>
  </si>
  <si>
    <t>Cash and cash equivalents</t>
  </si>
  <si>
    <t>Current income taxes receivable</t>
  </si>
  <si>
    <t>Trade and settlement receivables</t>
  </si>
  <si>
    <t>Inventories</t>
  </si>
  <si>
    <t>Prepaids and other current assets</t>
  </si>
  <si>
    <t>Assets held for sale</t>
  </si>
  <si>
    <t>Investments in associates and joint ventures</t>
  </si>
  <si>
    <t>Property, plant and equipment</t>
  </si>
  <si>
    <t>Deferred income tax assets</t>
  </si>
  <si>
    <t>Financial and other assets</t>
  </si>
  <si>
    <t>Goodwill</t>
  </si>
  <si>
    <t>Trade accounts payable and other liabilities</t>
  </si>
  <si>
    <t>Dividends payable</t>
  </si>
  <si>
    <t>Current income taxes payable</t>
  </si>
  <si>
    <t>Debt</t>
  </si>
  <si>
    <t>Deferred income tax liabilities</t>
  </si>
  <si>
    <t>Deferred consideration</t>
  </si>
  <si>
    <t>Retirement benefit liabilities</t>
  </si>
  <si>
    <t>Provisions and other liabilities</t>
  </si>
  <si>
    <t>Attributable to shareholders of the company</t>
  </si>
  <si>
    <t>Attributable to non-controlling interests</t>
  </si>
  <si>
    <t>C$</t>
  </si>
  <si>
    <t>Million</t>
  </si>
  <si>
    <t>Operating activities</t>
  </si>
  <si>
    <t>Depreciation and amortization</t>
  </si>
  <si>
    <t>Provision for (recovery of) income taxes</t>
  </si>
  <si>
    <t>Share of loss (gain) of associates and joint ventures</t>
  </si>
  <si>
    <t>Loss (gain) on sale of investments and assets</t>
  </si>
  <si>
    <t>Unrealized loss (gain) on derivatives</t>
  </si>
  <si>
    <t>Asset impairments (impairment reversal)</t>
  </si>
  <si>
    <t>Foreign exchange losses (gains)</t>
  </si>
  <si>
    <t>Loss on debt repurchase</t>
  </si>
  <si>
    <t>Loss (gain) on debt prepayment options</t>
  </si>
  <si>
    <t>Income taxes paid</t>
  </si>
  <si>
    <t>Other</t>
  </si>
  <si>
    <t>Cash flow from operating activities, before working capital changes</t>
  </si>
  <si>
    <t>Net change in non-cash working capital items</t>
  </si>
  <si>
    <t>Cash flow from operating activities</t>
  </si>
  <si>
    <t>Investing activities</t>
  </si>
  <si>
    <t>Capitalized production stripping costs</t>
  </si>
  <si>
    <t>Expenditure on financial investments and other assets</t>
  </si>
  <si>
    <t>Acquisition of SilverBirch Energy Corporation</t>
  </si>
  <si>
    <t>Proceeds from the sale of investments and other assets</t>
  </si>
  <si>
    <t>Decrease in restricted cash</t>
  </si>
  <si>
    <t>Cash flow from investing activities</t>
  </si>
  <si>
    <t>Financing activities</t>
  </si>
  <si>
    <t>Issuance of debt</t>
  </si>
  <si>
    <t>Repurchase and repayment of debt</t>
  </si>
  <si>
    <t>Debt interest and finance charges paid</t>
  </si>
  <si>
    <t>Issuance of Class B subordinate voting shares</t>
  </si>
  <si>
    <t>Purchase and cancellation of Class B subordinate voting shares</t>
  </si>
  <si>
    <t>Dividends paid</t>
  </si>
  <si>
    <t>Distributions to non-controlling interests</t>
  </si>
  <si>
    <t>Cash flow from financing activities</t>
  </si>
  <si>
    <t>Effect of exchange rate changes on cash and cash equivalents</t>
  </si>
  <si>
    <t>Increase (decrease) in cash and cash equivalents</t>
  </si>
  <si>
    <t>Cash and cash equivalents at beginning of period</t>
  </si>
  <si>
    <t>Cash and cash equivalents at end of period</t>
  </si>
  <si>
    <t>Cashflow Statement</t>
  </si>
  <si>
    <t>Financial Statements</t>
  </si>
  <si>
    <t>Actual</t>
  </si>
  <si>
    <t>Revenue</t>
  </si>
  <si>
    <t>Steelmaking coal ($ million)</t>
  </si>
  <si>
    <t>Copper ($ million)</t>
  </si>
  <si>
    <t>Highland Valley Copper ($ million)</t>
  </si>
  <si>
    <t>Antamina ($ million)</t>
  </si>
  <si>
    <t>Quebrada Blanca ($ million)</t>
  </si>
  <si>
    <t>Carmen de Andacollo ($ million)</t>
  </si>
  <si>
    <t>Duck Pond ($ million)</t>
  </si>
  <si>
    <t>Other ($ million)</t>
  </si>
  <si>
    <t>Total copper ($ million)</t>
  </si>
  <si>
    <t>Zinc ($ million)</t>
  </si>
  <si>
    <t>Trail Operations ($ million)</t>
  </si>
  <si>
    <t>Red Dog ($ million)</t>
  </si>
  <si>
    <t xml:space="preserve">  Pend Oreille ($million)</t>
  </si>
  <si>
    <t>Intra-segment sales ($ million)</t>
  </si>
  <si>
    <t>Total zinc ($ million)</t>
  </si>
  <si>
    <t>Energy ($ million)</t>
  </si>
  <si>
    <t>Total revenue ($ million)</t>
  </si>
  <si>
    <t>.</t>
  </si>
  <si>
    <t>Profitability</t>
  </si>
  <si>
    <t>Pend Oreille ($million)</t>
  </si>
  <si>
    <t>Total gross profit ($ million)</t>
  </si>
  <si>
    <t>Gross profit before depreciation and amortization</t>
  </si>
  <si>
    <t xml:space="preserve">  Pend Oreille ($ million)</t>
  </si>
  <si>
    <t>Inter-segment sales</t>
  </si>
  <si>
    <t>Total gross profit before depreciation and amortization ($ million)</t>
  </si>
  <si>
    <t>EBITDA</t>
  </si>
  <si>
    <t>EBITDA ($ million)</t>
  </si>
  <si>
    <t>Profit</t>
  </si>
  <si>
    <t>Profit attributable to shareholders ($ million)</t>
  </si>
  <si>
    <t>Adjusted profit ($ million)</t>
  </si>
  <si>
    <t>Earnings per share (EPS)</t>
  </si>
  <si>
    <t>Profit attributable to shareholders ($ per share)</t>
  </si>
  <si>
    <t>Adjusted profit ($ per share)</t>
  </si>
  <si>
    <t>Cash flow from operations ($ million)</t>
  </si>
  <si>
    <t>Property, plant and equipment expenditures ($ million)</t>
  </si>
  <si>
    <t>Capitalized stripping costs ($ million)</t>
  </si>
  <si>
    <t>Investments ($ million)</t>
  </si>
  <si>
    <t>Balance sheet</t>
  </si>
  <si>
    <t>Cash balances ($ million)</t>
  </si>
  <si>
    <t>Total assets ($ million)</t>
  </si>
  <si>
    <t>Debt, including current portion ($ million)</t>
  </si>
  <si>
    <t>Copper</t>
  </si>
  <si>
    <t>$</t>
  </si>
  <si>
    <t>Coal - Capitalized stripping costs</t>
  </si>
  <si>
    <t>Copper - Realized price (US$/pound)</t>
  </si>
  <si>
    <t>Copper - Production (000's tonnes)</t>
  </si>
  <si>
    <t>Copper - Sales (000's tonnes)</t>
  </si>
  <si>
    <t>Copper - Unit costs (US$/pound)</t>
  </si>
  <si>
    <t>Copper - Adjusted cash cost of sales (US$/pound)</t>
  </si>
  <si>
    <t>Copper - Smelter processing charges (US$/pound)</t>
  </si>
  <si>
    <t>Copper - Total cash unit costs before by-product margins (US$/pound)</t>
  </si>
  <si>
    <t>Copper - Cash margin for by-products (US$/pound)</t>
  </si>
  <si>
    <t>Copper - Total cash unit costs after by-product margins (US$/pound)</t>
  </si>
  <si>
    <t>Zinc - Capitalized stripping costs</t>
  </si>
  <si>
    <t>Zinc  - Property, plant and equipment expenditures</t>
  </si>
  <si>
    <t>Cost of Goods Sold</t>
  </si>
  <si>
    <t xml:space="preserve">Depreciation </t>
  </si>
  <si>
    <t>Other Operating Income (Expense)</t>
  </si>
  <si>
    <t xml:space="preserve">Ebitda </t>
  </si>
  <si>
    <t>Operating Profit / Ebit</t>
  </si>
  <si>
    <t xml:space="preserve">Net Financing Expense </t>
  </si>
  <si>
    <t>Profit Before Tax</t>
  </si>
  <si>
    <t>Implied Taxes</t>
  </si>
  <si>
    <t xml:space="preserve">Net Income </t>
  </si>
  <si>
    <t xml:space="preserve">Copper </t>
  </si>
  <si>
    <t xml:space="preserve">Total Capital Expenditures </t>
  </si>
  <si>
    <t>Zinc</t>
  </si>
  <si>
    <t>Total Capex</t>
  </si>
  <si>
    <t>Implied Tax Rate</t>
  </si>
  <si>
    <t>Non-Operating Income (Expenses)</t>
  </si>
  <si>
    <t>Non-Operating Income (Expense)</t>
  </si>
  <si>
    <t>Energy</t>
  </si>
  <si>
    <t>Depreciation</t>
  </si>
  <si>
    <t>Gross Profit</t>
  </si>
  <si>
    <t>Other Operating Expenses</t>
  </si>
  <si>
    <t>G&amp;A Expenses</t>
  </si>
  <si>
    <t>Capital Expenditures</t>
  </si>
  <si>
    <t>Total Segment Assets</t>
  </si>
  <si>
    <t>% Capex / % Segment Assets</t>
  </si>
  <si>
    <t>% Ebit Margin</t>
  </si>
  <si>
    <t>Net Assets</t>
  </si>
  <si>
    <t>Asset Impairments</t>
  </si>
  <si>
    <t>Corporate</t>
  </si>
  <si>
    <t>Share of Losses of Associates and Joint Ventures</t>
  </si>
  <si>
    <t>Asset Impairment</t>
  </si>
  <si>
    <t>Asset (Impairments) / Reversals</t>
  </si>
  <si>
    <t>Share of Income (Loss) of Associates and Joint Ventures</t>
  </si>
  <si>
    <t>Highland Valley Copper</t>
  </si>
  <si>
    <t>Antamina</t>
  </si>
  <si>
    <t>Carmen de Andacollo</t>
  </si>
  <si>
    <t>Quebrada Blanca</t>
  </si>
  <si>
    <t>Duck Pond</t>
  </si>
  <si>
    <t>Other Revenue (Copper Segment)</t>
  </si>
  <si>
    <t>Other Copper Revenue</t>
  </si>
  <si>
    <t>Trail Operations (Refined Zinc Production)</t>
  </si>
  <si>
    <t>Red Dog (Zinc Concentrate Production)</t>
  </si>
  <si>
    <t>Pend Oreille (Zinc Concentrate Production)</t>
  </si>
  <si>
    <t>Zinc - Production (000's tonnes)</t>
  </si>
  <si>
    <t>Zinc - Sales (000's tonnes)</t>
  </si>
  <si>
    <t>Gross Profit Margin</t>
  </si>
  <si>
    <t>Consolidated Income Statement (C$ Millions)</t>
  </si>
  <si>
    <t>n.a.</t>
  </si>
  <si>
    <t>Segment Drivers</t>
  </si>
  <si>
    <t xml:space="preserve">Production Growth </t>
  </si>
  <si>
    <t>Sales Growth</t>
  </si>
  <si>
    <t>Revenue Growth</t>
  </si>
  <si>
    <t>Ebitda Growth</t>
  </si>
  <si>
    <t xml:space="preserve">% Ebit </t>
  </si>
  <si>
    <t>Transportation costs (C$/tonne)</t>
  </si>
  <si>
    <t>Inventory write-down (C$/tonne)</t>
  </si>
  <si>
    <t>Site cost of sales (C$/tonne)</t>
  </si>
  <si>
    <t>Collective agreement charge (C$/tonne)</t>
  </si>
  <si>
    <t>Depreciation and amortization (C$/tonne)</t>
  </si>
  <si>
    <t>Capital Expenditure Breakdown</t>
  </si>
  <si>
    <t>Capital Allocation Efficiency</t>
  </si>
  <si>
    <t>% Ebit / (% Capex / % Segment Assets)</t>
  </si>
  <si>
    <t>%</t>
  </si>
  <si>
    <t>Coal - Unit Cost Breakdown (C$/tonne)</t>
  </si>
  <si>
    <t>Calculated Price (US$/tonne)</t>
  </si>
  <si>
    <t>Calculated Unit Costs (US$/tonne)</t>
  </si>
  <si>
    <t>Millions</t>
  </si>
  <si>
    <t>Gross Profit, before D&amp;A</t>
  </si>
  <si>
    <t>Revenue ($ Millions)</t>
  </si>
  <si>
    <t>Ebitda</t>
  </si>
  <si>
    <t>Capitalized stripping costs</t>
  </si>
  <si>
    <t>% Ebit</t>
  </si>
  <si>
    <t>Revenue (C$ Millions)</t>
  </si>
  <si>
    <t xml:space="preserve">Capital Allocation Efficiency </t>
  </si>
  <si>
    <t>Adjusted Operating Profit / Ebit</t>
  </si>
  <si>
    <t>Pre-Tax Income</t>
  </si>
  <si>
    <t xml:space="preserve">Adjusted Pre-Tax Income </t>
  </si>
  <si>
    <t>Adjusted Ebitda</t>
  </si>
  <si>
    <t>Adjusted Ebitda Growth</t>
  </si>
  <si>
    <t>Adjusted Ebit Margin</t>
  </si>
  <si>
    <t>Adjusted Ebitda Margin</t>
  </si>
  <si>
    <t>Implied Effective Tax Rate</t>
  </si>
  <si>
    <t>Income Taxes Benefit (Expense)</t>
  </si>
  <si>
    <t>Adjusted Income (Loss) From Continuing Operations</t>
  </si>
  <si>
    <t xml:space="preserve">Inventories </t>
  </si>
  <si>
    <t>Begininning of Period</t>
  </si>
  <si>
    <t>Increases / (Decreases)</t>
  </si>
  <si>
    <t>End of Period</t>
  </si>
  <si>
    <t>Inventory as a % of COGS</t>
  </si>
  <si>
    <t>Inventory Turnover</t>
  </si>
  <si>
    <t>G&amp;A Margin</t>
  </si>
  <si>
    <t>R&amp;D Margin (Including Exploration)</t>
  </si>
  <si>
    <t>R&amp;D (As a % of Total Operating Expenses)</t>
  </si>
  <si>
    <t>Net Operating Costs</t>
  </si>
  <si>
    <t>Sustaining Capex</t>
  </si>
  <si>
    <t>Major Enhancement Capex</t>
  </si>
  <si>
    <t>New Mine Development Capex</t>
  </si>
  <si>
    <t>Depreciation (% COGS)</t>
  </si>
  <si>
    <t>% PP&amp;E Capex / % Segment Assets</t>
  </si>
  <si>
    <t>Cashflow</t>
  </si>
  <si>
    <t>Capital Expenditures (Excluding Capitalized Stripping)</t>
  </si>
  <si>
    <t>Capital Expenditures (Including Capitalized Stripping)</t>
  </si>
  <si>
    <t>Capitalized Stripping</t>
  </si>
  <si>
    <t xml:space="preserve">Implied Net Income </t>
  </si>
  <si>
    <t xml:space="preserve">Balance Sheet </t>
  </si>
  <si>
    <t>Molybdenum  - Sales (Million Pounds)</t>
  </si>
  <si>
    <t>Gross Profit Margin (Ex - Depreciation)</t>
  </si>
  <si>
    <t>Mine Life - 2028</t>
  </si>
  <si>
    <t>Copper Revenue</t>
  </si>
  <si>
    <t>Ebitda Build-up</t>
  </si>
  <si>
    <t>Coal</t>
  </si>
  <si>
    <t>Consolidated</t>
  </si>
  <si>
    <t>USD/CAD FX Rate</t>
  </si>
  <si>
    <t>Steelmaking Coal Business Unit (Western Canada)</t>
  </si>
  <si>
    <t>Total Current Assets</t>
  </si>
  <si>
    <t>Total Non-Current Assets</t>
  </si>
  <si>
    <t xml:space="preserve">Total Current Liabilities </t>
  </si>
  <si>
    <t>Total Assets</t>
  </si>
  <si>
    <t>Total Liabilities</t>
  </si>
  <si>
    <t xml:space="preserve">Total Non-Current Liabilities </t>
  </si>
  <si>
    <t>Total Equity</t>
  </si>
  <si>
    <t>Total Liabilities &amp; Equity</t>
  </si>
  <si>
    <t>Accounts Receivable</t>
  </si>
  <si>
    <t>AR as % Sales</t>
  </si>
  <si>
    <t>Days Sales Outstanding</t>
  </si>
  <si>
    <t>Zinc Revenue</t>
  </si>
  <si>
    <t>Other Zinc Revenue</t>
  </si>
  <si>
    <t>Realiezed Price (C$/barrel)</t>
  </si>
  <si>
    <t>Diluted Weighted Average Shares</t>
  </si>
  <si>
    <t>Basic Weighted Average Shares</t>
  </si>
  <si>
    <t>578..3</t>
  </si>
  <si>
    <t>Basic EPS</t>
  </si>
  <si>
    <t>Diluted EPS</t>
  </si>
  <si>
    <t>GAAP Income (Loss) from Continuing Operations</t>
  </si>
  <si>
    <t>Minority Interest</t>
  </si>
  <si>
    <t>Profit to Shareholders</t>
  </si>
  <si>
    <t>Accounts Payable</t>
  </si>
  <si>
    <t>AP as % of COGS</t>
  </si>
  <si>
    <t>Days payables outstanding (DPO)</t>
  </si>
  <si>
    <t>PP&amp;E</t>
  </si>
  <si>
    <t>Beginning of Period</t>
  </si>
  <si>
    <t>Plus: Capital Expenditures</t>
  </si>
  <si>
    <t>Less: Depreciation</t>
  </si>
  <si>
    <t>Capex</t>
  </si>
  <si>
    <t>Capital Expenditures as a % of Revenue</t>
  </si>
  <si>
    <t>Depreciation as a % of Capital Expenditures</t>
  </si>
  <si>
    <t>CF Depreciation</t>
  </si>
  <si>
    <t>Investment in Affiliates / JV</t>
  </si>
  <si>
    <t>Net Income</t>
  </si>
  <si>
    <t>(Dividends)</t>
  </si>
  <si>
    <t>Other Non-Current Assets / Liabilities</t>
  </si>
  <si>
    <t xml:space="preserve">Working Captial </t>
  </si>
  <si>
    <t>Deferred Tax Assets (Long-Term)</t>
  </si>
  <si>
    <t>Deferred Tax Liabilities (Long-Term)</t>
  </si>
  <si>
    <t>Debt Schedule</t>
  </si>
  <si>
    <t>Balance Sheet Drivers</t>
  </si>
  <si>
    <t>Net Debt</t>
  </si>
  <si>
    <t>Asset Turnover</t>
  </si>
  <si>
    <t>ROA</t>
  </si>
  <si>
    <t>Return on Book Equity</t>
  </si>
  <si>
    <t>Growth in PP&amp;E</t>
  </si>
  <si>
    <t xml:space="preserve">Beginning Period Debt </t>
  </si>
  <si>
    <t>"+Accrued Interest (PIK)" Current Year</t>
  </si>
  <si>
    <t>"-Debt Pay Down" Current Year</t>
  </si>
  <si>
    <t>"=End of Period Debt"</t>
  </si>
  <si>
    <t xml:space="preserve">"+ New Borrowing" Current Year </t>
  </si>
  <si>
    <t>Carrying Value</t>
  </si>
  <si>
    <t>Interest Rate</t>
  </si>
  <si>
    <t>Maturity</t>
  </si>
  <si>
    <t>Face Value</t>
  </si>
  <si>
    <t>Interest Expense on Long-Term Debt</t>
  </si>
  <si>
    <t>Weighted Average Interest Rate</t>
  </si>
  <si>
    <t>Debt to Equity</t>
  </si>
  <si>
    <t>Other Non-Cash Items</t>
  </si>
  <si>
    <t>FCFF</t>
  </si>
  <si>
    <t>FCF Breakdown</t>
  </si>
  <si>
    <t>Change in Sales</t>
  </si>
  <si>
    <t>(FC Inv - Depreciation)/ Change in Sales</t>
  </si>
  <si>
    <t>Change in Working Capital Investments / Change in Sales</t>
  </si>
  <si>
    <t>Depreciation Tax Shield</t>
  </si>
  <si>
    <t>Fixed Capital Investment</t>
  </si>
  <si>
    <t>Working Capital Investment</t>
  </si>
  <si>
    <t>After-Tax Interest Expense</t>
  </si>
  <si>
    <t>Net Borrowings</t>
  </si>
  <si>
    <t>FCFE</t>
  </si>
  <si>
    <t>1Q19</t>
  </si>
  <si>
    <t>1Q18</t>
  </si>
  <si>
    <t>-</t>
  </si>
  <si>
    <t>22.5% Ownership</t>
  </si>
  <si>
    <t>Proportion Consolidation</t>
  </si>
  <si>
    <t>Debt &amp; Lease Liabilities</t>
  </si>
  <si>
    <t>Loss  (Gain) on debt repurchase</t>
  </si>
  <si>
    <t>QB2 Development Capex</t>
  </si>
  <si>
    <t>2Q19</t>
  </si>
  <si>
    <t>3Q19</t>
  </si>
  <si>
    <t>4Q19</t>
  </si>
  <si>
    <t>Revenue Growth (YoY)</t>
  </si>
  <si>
    <t>Production Growth (YoY)</t>
  </si>
  <si>
    <t>Sales Growth (YoY)</t>
  </si>
  <si>
    <t>Ebitda Growth (YoY)</t>
  </si>
  <si>
    <t>Zinc Production Growth (YoY)</t>
  </si>
  <si>
    <t>Refined Zinc Production Growth (YoY)</t>
  </si>
  <si>
    <t>Zinc Concentrate Production Growth (YoY)</t>
  </si>
  <si>
    <t>Average Segment Production Growth (Concentrate &amp; Refined) (YoY)</t>
  </si>
  <si>
    <t>Revenue Growth (Excluding Intersegment Revenue) (YoY)</t>
  </si>
  <si>
    <t>Operating Netback</t>
  </si>
  <si>
    <t>Red Dog</t>
  </si>
  <si>
    <t>2Q18</t>
  </si>
  <si>
    <t>Repurchase / Redemption and repayment of debt</t>
  </si>
  <si>
    <t>Prepaid Expenses and Other Current Assets</t>
  </si>
  <si>
    <t>Revenue Growth Rate</t>
  </si>
  <si>
    <t>Interest Expense</t>
  </si>
  <si>
    <t>Equity</t>
  </si>
  <si>
    <t>Common Stock / APIC</t>
  </si>
  <si>
    <t>Plus: New Share Issuances</t>
  </si>
  <si>
    <t>Plus: Stock Based Compensation</t>
  </si>
  <si>
    <t xml:space="preserve">End of Period </t>
  </si>
  <si>
    <t>Retained Earnings</t>
  </si>
  <si>
    <t>Beginning Retained Earnings</t>
  </si>
  <si>
    <t>Plus: Net Income</t>
  </si>
  <si>
    <t>Minus: Common Dividends</t>
  </si>
  <si>
    <t>Ending Retained Earnings</t>
  </si>
  <si>
    <t xml:space="preserve">Retained Earnings </t>
  </si>
  <si>
    <t>Dividend Payout Ratio</t>
  </si>
  <si>
    <t>Common Dividends</t>
  </si>
  <si>
    <t>Balance Check</t>
  </si>
  <si>
    <t>Net Change in non-cash working capital</t>
  </si>
  <si>
    <t>Depreciation &amp; Amortization</t>
  </si>
  <si>
    <t>Other Charges</t>
  </si>
  <si>
    <t>CFO</t>
  </si>
  <si>
    <t>Investing Activities</t>
  </si>
  <si>
    <t>Operating Activities</t>
  </si>
  <si>
    <t>Capital Expenditures (Including Capitalized Stripping Costs)</t>
  </si>
  <si>
    <t xml:space="preserve">Capitalized Stripping Costs </t>
  </si>
  <si>
    <t>(Purchase) / Sale of Financial Investments &amp; Other</t>
  </si>
  <si>
    <t>Proceeds from Sale of Investments</t>
  </si>
  <si>
    <t>CFI</t>
  </si>
  <si>
    <t>Financing Activities</t>
  </si>
  <si>
    <t>CFF</t>
  </si>
  <si>
    <t>Issuance / (Repayment) of Debt</t>
  </si>
  <si>
    <t>Common Dividends Paid</t>
  </si>
  <si>
    <t>Share Repurchases</t>
  </si>
  <si>
    <t>Other (Debt Interest, Distributions &amp; Other)</t>
  </si>
  <si>
    <t>Net Change in Cash during Period</t>
  </si>
  <si>
    <t>Effect of FX on Change in Cash</t>
  </si>
  <si>
    <t>Common Stock &amp; Contributed Surplus</t>
  </si>
  <si>
    <t>Revolver</t>
  </si>
  <si>
    <t>OCI / (Loss)</t>
  </si>
  <si>
    <t>FY 22 (F)</t>
  </si>
  <si>
    <t xml:space="preserve">2020 Ebitda </t>
  </si>
  <si>
    <t>Ebitda ex coal 2020</t>
  </si>
  <si>
    <t>Median Met Coal Business Multiple</t>
  </si>
  <si>
    <t>EV/EBITDA Ex Coal Business</t>
  </si>
  <si>
    <t>Zinc EBITDA</t>
  </si>
  <si>
    <t>Zinc EV</t>
  </si>
  <si>
    <t>Copper EV</t>
  </si>
  <si>
    <t>Cu EBITDA</t>
  </si>
  <si>
    <t>Gross Profit Margin (Ex-Depreciation)</t>
  </si>
  <si>
    <t>Depreciation (As a % of COGS)</t>
  </si>
  <si>
    <t>BE248</t>
  </si>
  <si>
    <t>BE003</t>
  </si>
  <si>
    <t>Ticker</t>
  </si>
  <si>
    <t>Price</t>
  </si>
  <si>
    <t>BE997</t>
  </si>
  <si>
    <t>DS215</t>
  </si>
  <si>
    <t>USD</t>
  </si>
  <si>
    <t>DS124</t>
  </si>
  <si>
    <t>Shares</t>
  </si>
  <si>
    <t>1FY</t>
  </si>
  <si>
    <t>2FY</t>
  </si>
  <si>
    <t>3FY</t>
  </si>
  <si>
    <t>RR937</t>
  </si>
  <si>
    <t>Cur Adj EV</t>
  </si>
  <si>
    <t>19BC</t>
  </si>
  <si>
    <t>20BC</t>
  </si>
  <si>
    <t>21BC</t>
  </si>
  <si>
    <t>PR910</t>
  </si>
  <si>
    <t>FX Adj Px</t>
  </si>
  <si>
    <t>Shares Out</t>
  </si>
  <si>
    <t>RR910</t>
  </si>
  <si>
    <t>Mkt Cap</t>
  </si>
  <si>
    <t>BI Estimates</t>
  </si>
  <si>
    <t>Spot Px</t>
  </si>
  <si>
    <t>Consensus</t>
  </si>
  <si>
    <t>Spot vs. BI</t>
  </si>
  <si>
    <t>Consensus vs. BI</t>
  </si>
  <si>
    <t>FY19</t>
  </si>
  <si>
    <t>FY20</t>
  </si>
  <si>
    <t>FY21</t>
  </si>
  <si>
    <t>Spot v Consensus</t>
  </si>
  <si>
    <t>Implied Deck</t>
  </si>
  <si>
    <t>FCF</t>
  </si>
  <si>
    <t>~$19/mt of IO downside</t>
  </si>
  <si>
    <t>FCF % of EBITDA</t>
  </si>
  <si>
    <t>~$25/mt of met coal downside</t>
  </si>
  <si>
    <t>EV/EBITDA</t>
  </si>
  <si>
    <t>Enterprise Value (EV)</t>
  </si>
  <si>
    <t>Spot vs. Consensus</t>
  </si>
  <si>
    <t>FCF Yield (%)</t>
  </si>
  <si>
    <t>FCF % of EV</t>
  </si>
  <si>
    <t>FCF % of Mkt Cap</t>
  </si>
  <si>
    <t>Vs</t>
  </si>
  <si>
    <t>Top of Range (6.6x)</t>
  </si>
  <si>
    <t>Mid of Range (6.2x)</t>
  </si>
  <si>
    <t>Low of Range (5.8x)</t>
  </si>
  <si>
    <t>Price Deck</t>
  </si>
  <si>
    <t>Iron Ore</t>
  </si>
  <si>
    <t>Thermal Coal</t>
  </si>
  <si>
    <t>Met Coal</t>
  </si>
  <si>
    <t>CY19</t>
  </si>
  <si>
    <t>CY20</t>
  </si>
  <si>
    <t>CY21</t>
  </si>
  <si>
    <t>Spot v Spot</t>
  </si>
  <si>
    <t>Multiple Prem/(Disc) (%)</t>
  </si>
  <si>
    <t>Top of Range (5.4x)</t>
  </si>
  <si>
    <t>BI Forecasts</t>
  </si>
  <si>
    <t>Special Dividend*</t>
  </si>
  <si>
    <t>Interim Dividend**</t>
  </si>
  <si>
    <t>Earnings Revision</t>
  </si>
  <si>
    <t>Multiple Expansion</t>
  </si>
  <si>
    <t>TSR (%)</t>
  </si>
  <si>
    <t>TSR (%) - May '19</t>
  </si>
  <si>
    <t>Interim Dividend***</t>
  </si>
  <si>
    <t>ER/Multiple Expansion</t>
  </si>
  <si>
    <t>TSR (%) Dec. '19</t>
  </si>
  <si>
    <t>TSR (%) Dec. '20</t>
  </si>
  <si>
    <t>Implied PT</t>
  </si>
  <si>
    <t>Implied Upside</t>
  </si>
  <si>
    <t>BI - Base Case</t>
  </si>
  <si>
    <t>BI -Spot</t>
  </si>
  <si>
    <t>BI - Spot</t>
  </si>
  <si>
    <t>TSR (%) - April '19</t>
  </si>
  <si>
    <t>CY '19</t>
  </si>
  <si>
    <t>CY '20</t>
  </si>
  <si>
    <t>*Paid on Jan 30th, 2019; **Paid on March 26th, 2019; ***Payable in early September 2019</t>
  </si>
  <si>
    <t>TECk/B CN EQUITY</t>
  </si>
  <si>
    <t>Low of Range (3.3x)</t>
  </si>
  <si>
    <t>Mid of Range (4.4x)</t>
  </si>
  <si>
    <t>LMZSDS03 LME Comdty</t>
  </si>
  <si>
    <t>Price Deck ($CAD/mt)</t>
  </si>
  <si>
    <t>PX391</t>
  </si>
  <si>
    <t>PX392</t>
  </si>
  <si>
    <t>PX388</t>
  </si>
  <si>
    <t>Avg. Market Price</t>
  </si>
  <si>
    <t>LMCADS03 LME Comdty</t>
  </si>
  <si>
    <t>Revenue As Reported</t>
  </si>
  <si>
    <t>Adjusted Revenue</t>
  </si>
  <si>
    <t xml:space="preserve">Unit Cost Reconciliation </t>
  </si>
  <si>
    <t>Cost of Sales As Reported</t>
  </si>
  <si>
    <t>Inventory (Write-Downs) Provision Reversal</t>
  </si>
  <si>
    <t>By-Product Cost of Sales {C}</t>
  </si>
  <si>
    <t>Adjusted Cost of Sales {D}</t>
  </si>
  <si>
    <t>Payable Pounds Sold (Millions) {E}</t>
  </si>
  <si>
    <t>Per Unit Amounts</t>
  </si>
  <si>
    <t>Adjusted Cash Cost of Sales {D} / {E}</t>
  </si>
  <si>
    <t>Smelter Processing Charges {B} / {E}</t>
  </si>
  <si>
    <t>By-Product Revenue {A}</t>
  </si>
  <si>
    <t>Smelter Processing Charges {B}</t>
  </si>
  <si>
    <t xml:space="preserve">Total Cash Unit Costs </t>
  </si>
  <si>
    <t>Cash Margin for By-Products {A-C} / {E}</t>
  </si>
  <si>
    <t xml:space="preserve">Net Cash Unit Costs </t>
  </si>
  <si>
    <t xml:space="preserve">Less: </t>
  </si>
  <si>
    <t>Trail Operations Revenues As Reported</t>
  </si>
  <si>
    <t>Other Revenues As Reported</t>
  </si>
  <si>
    <t>Add Back: Intra-segment Revenues As Reported</t>
  </si>
  <si>
    <t>Trail Operations Cost of Sales As Reported</t>
  </si>
  <si>
    <t>Less:</t>
  </si>
  <si>
    <t>Severance Charges</t>
  </si>
  <si>
    <t>Royalty Costs</t>
  </si>
  <si>
    <t>Adjusted Cash Cost of Sales {D}</t>
  </si>
  <si>
    <t xml:space="preserve">Calculated Payable Pounds Sold </t>
  </si>
  <si>
    <t xml:space="preserve">Collective Agreement Charges </t>
  </si>
  <si>
    <t>Zinc By-Product Production (From Copper Operations) * Antimina</t>
  </si>
  <si>
    <t>Molybdenum</t>
  </si>
  <si>
    <t>3Q18</t>
  </si>
  <si>
    <t>Debt (As of September 30, 2019)</t>
  </si>
  <si>
    <t>1,296</t>
  </si>
  <si>
    <t>2,104</t>
  </si>
  <si>
    <t>Copper Price</t>
  </si>
  <si>
    <t>2020 FCF</t>
  </si>
  <si>
    <t>FCF Sensitivity</t>
  </si>
  <si>
    <t>Zinc Price</t>
  </si>
  <si>
    <t>Ebitda Sensitivity</t>
  </si>
  <si>
    <t>FCF Yield</t>
  </si>
  <si>
    <t>Net Leverage</t>
  </si>
  <si>
    <t>Enterprise Value</t>
  </si>
  <si>
    <t>Implied Equity Value</t>
  </si>
  <si>
    <t>Stock Price</t>
  </si>
  <si>
    <t>Delta vs. Today</t>
  </si>
  <si>
    <t>Last Price</t>
  </si>
  <si>
    <t>Upper Bound</t>
  </si>
  <si>
    <t>Average</t>
  </si>
  <si>
    <t>Current</t>
  </si>
  <si>
    <t>2Y Low</t>
  </si>
  <si>
    <t>Coal Price</t>
  </si>
  <si>
    <t>Spot Coal (CAD)</t>
  </si>
  <si>
    <t>Spot Copper (CAD)</t>
  </si>
  <si>
    <t>Coal Price ($ USD)</t>
  </si>
  <si>
    <t>Copper Price ($ USD)</t>
  </si>
  <si>
    <t>Last Price ($ USD)</t>
  </si>
  <si>
    <t>Zinc Multiple</t>
  </si>
  <si>
    <t>Coal Segment (CAD $B)</t>
  </si>
  <si>
    <t>EV Coal Segment (CAD $B)</t>
  </si>
  <si>
    <t>Teck EV</t>
  </si>
  <si>
    <t>Teck (Ex-Coal) EV</t>
  </si>
  <si>
    <t>Copper Pure Play Multiples</t>
  </si>
  <si>
    <t>Spot</t>
  </si>
  <si>
    <t>*Stock Price is in CAD</t>
  </si>
  <si>
    <t>Year</t>
  </si>
  <si>
    <t>Annual Ebitda</t>
  </si>
  <si>
    <t>After Tax</t>
  </si>
  <si>
    <t>Copper Equivalent Production</t>
  </si>
  <si>
    <t>Copper Production (mt)</t>
  </si>
  <si>
    <t xml:space="preserve">Copper Price </t>
  </si>
  <si>
    <t>Reserve Case</t>
  </si>
  <si>
    <t>Copper Price ($/lb)</t>
  </si>
  <si>
    <t>Copper Price ($/mt)</t>
  </si>
  <si>
    <t>C1 Cash Costs ($/lb) 1-5 Yrs</t>
  </si>
  <si>
    <t>C1 Cash Costs ($/mt) 1-5 Yrs</t>
  </si>
  <si>
    <t>C1 Cash Costs ($/lb) LOM</t>
  </si>
  <si>
    <t>C1 Cash Costs ($/mt) LOM</t>
  </si>
  <si>
    <t>AISC ($/lb) 1-5 Yrs</t>
  </si>
  <si>
    <t>AISC ($/mt) 1-5 Years</t>
  </si>
  <si>
    <t>AISC ($/lb) LOM</t>
  </si>
  <si>
    <t>AISC ($/mt) LOM</t>
  </si>
  <si>
    <t>C1 Costs</t>
  </si>
  <si>
    <t>Ebitda (After-Tax)</t>
  </si>
  <si>
    <t>AISC</t>
  </si>
  <si>
    <t>Silver Price</t>
  </si>
  <si>
    <t>Lead Price</t>
  </si>
  <si>
    <t>LMPBDS03 Comdty</t>
  </si>
  <si>
    <t>Gold Price</t>
  </si>
  <si>
    <t>XAU BGN Curncy</t>
  </si>
  <si>
    <t>CAD$</t>
  </si>
  <si>
    <t>XAG BGN CURNCY</t>
  </si>
  <si>
    <t>Moz</t>
  </si>
  <si>
    <t>000's oz</t>
  </si>
  <si>
    <t>Zinc Equivalent Sales</t>
  </si>
  <si>
    <t xml:space="preserve">Metal Production </t>
  </si>
  <si>
    <t>000's t</t>
  </si>
  <si>
    <t xml:space="preserve">Metal Sales </t>
  </si>
  <si>
    <t>Zinc Sales</t>
  </si>
  <si>
    <t>Lead Sales</t>
  </si>
  <si>
    <t>Gold Sales</t>
  </si>
  <si>
    <t>Silver Sales</t>
  </si>
  <si>
    <t>Delta</t>
  </si>
  <si>
    <t>Calculated / Implied Sales Price</t>
  </si>
  <si>
    <t>4Q18</t>
  </si>
  <si>
    <t>1Q20</t>
  </si>
  <si>
    <t>Current Portion of Lease Liabilities</t>
  </si>
  <si>
    <t>Lease Liabilities</t>
  </si>
  <si>
    <t>QB2 Advances from SMM/SC</t>
  </si>
  <si>
    <t>COVID Charges</t>
  </si>
  <si>
    <t>Covid Costs</t>
  </si>
  <si>
    <t xml:space="preserve">FY 19 </t>
  </si>
  <si>
    <t>Ore Milled</t>
  </si>
  <si>
    <t>Head Grade (%)</t>
  </si>
  <si>
    <t>Recovery Rate (%)</t>
  </si>
  <si>
    <t>Sales</t>
  </si>
  <si>
    <t>US$/lb</t>
  </si>
  <si>
    <t>C$/US$</t>
  </si>
  <si>
    <t>Exchange Rate</t>
  </si>
  <si>
    <t>Average Metal Prices &amp; FX</t>
  </si>
  <si>
    <t>Copper Average Price (LME-Cash)</t>
  </si>
  <si>
    <t>MB050144 Index</t>
  </si>
  <si>
    <t>Molybdenum Average Market Price</t>
  </si>
  <si>
    <t>USDCAD BGN Curncy</t>
  </si>
  <si>
    <t>Payable Assumption</t>
  </si>
  <si>
    <t>Copper Payable</t>
  </si>
  <si>
    <t>k lbs</t>
  </si>
  <si>
    <t>Unit TC/RC</t>
  </si>
  <si>
    <t>Total TC/RC</t>
  </si>
  <si>
    <t>US$M</t>
  </si>
  <si>
    <t>US $/lb</t>
  </si>
  <si>
    <t>C$M</t>
  </si>
  <si>
    <t>Molybdenum Revenue</t>
  </si>
  <si>
    <t xml:space="preserve">Molybdenum Payable </t>
  </si>
  <si>
    <t>Calculated Revenue</t>
  </si>
  <si>
    <t>By-Product Revenue</t>
  </si>
  <si>
    <t>Reported Revenue</t>
  </si>
  <si>
    <t>Mlbs</t>
  </si>
  <si>
    <t xml:space="preserve">k mt </t>
  </si>
  <si>
    <t>Production</t>
  </si>
  <si>
    <t>Operating Costs</t>
  </si>
  <si>
    <t>Transportation Costs</t>
  </si>
  <si>
    <t>Depreciation &amp; Amortization (D&amp;A)</t>
  </si>
  <si>
    <t>Total Cost of Sales</t>
  </si>
  <si>
    <t>Cost Drivers</t>
  </si>
  <si>
    <t>Copper Sold</t>
  </si>
  <si>
    <t>Copper Concentrate Sold</t>
  </si>
  <si>
    <t>kt</t>
  </si>
  <si>
    <t>t</t>
  </si>
  <si>
    <t>Unit Cost</t>
  </si>
  <si>
    <t>Operating Cost / t Milled</t>
  </si>
  <si>
    <t>Transport Cost / t Concentrate Sold</t>
  </si>
  <si>
    <t>Capitalized Stripping / t Mined</t>
  </si>
  <si>
    <t>Capitalized Stripping / t Cu Sold</t>
  </si>
  <si>
    <t>k mt</t>
  </si>
  <si>
    <t>Tonnes Mined</t>
  </si>
  <si>
    <t>Copper Ore</t>
  </si>
  <si>
    <t>Zinc Ore</t>
  </si>
  <si>
    <t>Total Production</t>
  </si>
  <si>
    <t>Attributable Production</t>
  </si>
  <si>
    <t>Attributable Sales</t>
  </si>
  <si>
    <t>Zinc Average Price (LME-Cash)</t>
  </si>
  <si>
    <t>Zinc Payable</t>
  </si>
  <si>
    <t>Zinc TC</t>
  </si>
  <si>
    <t>Zinc TC Base Price</t>
  </si>
  <si>
    <t>LMZSDY Comdty</t>
  </si>
  <si>
    <t>Monthly Price</t>
  </si>
  <si>
    <t>De-Escalator</t>
  </si>
  <si>
    <t xml:space="preserve">Escalator   </t>
  </si>
  <si>
    <t>Escalator / (De-escalator)</t>
  </si>
  <si>
    <t>Benchmark TC (US$/dmt)</t>
  </si>
  <si>
    <t>Price Basis (US$/t)</t>
  </si>
  <si>
    <t xml:space="preserve">Benchmark </t>
  </si>
  <si>
    <t>Quarterly Implied Adjusted TC</t>
  </si>
  <si>
    <t>Monthly Implied Adjusted Zinc TC</t>
  </si>
  <si>
    <t>Annual Implied Adjusted TC</t>
  </si>
  <si>
    <t>Implied Adjusted TC</t>
  </si>
  <si>
    <t>US $/mt</t>
  </si>
  <si>
    <t>Zinc Concentrate</t>
  </si>
  <si>
    <t>mt</t>
  </si>
  <si>
    <t>By-Product Revenue / (Credits)</t>
  </si>
  <si>
    <t>Gold</t>
  </si>
  <si>
    <t>Gold - Sales</t>
  </si>
  <si>
    <t xml:space="preserve">k oz </t>
  </si>
  <si>
    <t>GOLDLNPM Index</t>
  </si>
  <si>
    <t>US$/ troy oz</t>
  </si>
  <si>
    <t>Gold Average Price (LBMA)</t>
  </si>
  <si>
    <t>Copper Cathode Revenue</t>
  </si>
  <si>
    <t>Copper Cathode</t>
  </si>
  <si>
    <t xml:space="preserve">Copper Cathode Revenue </t>
  </si>
  <si>
    <t>Average Exchange Rate</t>
  </si>
  <si>
    <t>Revenue Delta</t>
  </si>
  <si>
    <t>Total Copper</t>
  </si>
  <si>
    <t>Royalty Expenses</t>
  </si>
  <si>
    <t>Copper Payable Assumption</t>
  </si>
  <si>
    <t>Copper Unit TC/RC</t>
  </si>
  <si>
    <t xml:space="preserve">Zinc Payable Assumption </t>
  </si>
  <si>
    <t>kmt</t>
  </si>
  <si>
    <t xml:space="preserve">Copper  </t>
  </si>
  <si>
    <t>Lead</t>
  </si>
  <si>
    <t>Lead Ore</t>
  </si>
  <si>
    <t>LMPBDY Comdty</t>
  </si>
  <si>
    <t>Lead Average Price (LME-Cash)</t>
  </si>
  <si>
    <t>US$/t</t>
  </si>
  <si>
    <t>Lead Revenue</t>
  </si>
  <si>
    <t>Lead Payable</t>
  </si>
  <si>
    <t>Lead Concentrate</t>
  </si>
  <si>
    <t>Lead Payable Assumption</t>
  </si>
  <si>
    <t>Lead TC</t>
  </si>
  <si>
    <t xml:space="preserve">Price Basis </t>
  </si>
  <si>
    <t>US$/dmt</t>
  </si>
  <si>
    <t xml:space="preserve">Royalty Costs </t>
  </si>
  <si>
    <t>Zinc Sold</t>
  </si>
  <si>
    <t>Zinc Concentrate Sold</t>
  </si>
  <si>
    <t>Total Cost of Goods Sold</t>
  </si>
  <si>
    <t>Concentrate Treated</t>
  </si>
  <si>
    <t>Zinc Concentrate Treated</t>
  </si>
  <si>
    <t>Lead Concentrate Treated</t>
  </si>
  <si>
    <t>Refined Zinc</t>
  </si>
  <si>
    <t>Refined Lead</t>
  </si>
  <si>
    <t xml:space="preserve">Refined Gold </t>
  </si>
  <si>
    <t>Refined Silver</t>
  </si>
  <si>
    <t>Refined Gold</t>
  </si>
  <si>
    <t>Metal Prices &amp; FX</t>
  </si>
  <si>
    <t>Silver</t>
  </si>
  <si>
    <t>US$/oz</t>
  </si>
  <si>
    <t>XAG BGN Curncy</t>
  </si>
  <si>
    <t>Revenue Estimates</t>
  </si>
  <si>
    <t>Revenue from Reported Metals</t>
  </si>
  <si>
    <t>Other Revenue</t>
  </si>
  <si>
    <t>Reconciliation</t>
  </si>
  <si>
    <t>zinc</t>
  </si>
  <si>
    <t>lead</t>
  </si>
  <si>
    <t>silver</t>
  </si>
  <si>
    <t>gold</t>
  </si>
  <si>
    <t>Metal px</t>
  </si>
  <si>
    <t>Calc'd</t>
  </si>
  <si>
    <t>Conversion</t>
  </si>
  <si>
    <t>Cost of Sales</t>
  </si>
  <si>
    <t>Transporation Costs</t>
  </si>
  <si>
    <t>Depreciaition &amp; Amortization (D&amp;A)</t>
  </si>
  <si>
    <t>Inter-Segment Purchases (From Red Dog)</t>
  </si>
  <si>
    <t xml:space="preserve">Other Concentrate Purchases </t>
  </si>
  <si>
    <t>Total Concentrates</t>
  </si>
  <si>
    <t>Cost Ratios</t>
  </si>
  <si>
    <t>Operating Cost / t Zinc &amp; Lead</t>
  </si>
  <si>
    <t>Trasport Cost / t Zinc &amp; Lead</t>
  </si>
  <si>
    <t>D&amp;A Cost / t Zinc &amp; Lead</t>
  </si>
  <si>
    <t>Concentrate Cost / Revenue From Reported Metals</t>
  </si>
  <si>
    <t>Zinc (Including Antamina by-Product)</t>
  </si>
  <si>
    <t>Zinc (Including Antimina by-Product)</t>
  </si>
  <si>
    <t>Concentrate Purchases</t>
  </si>
  <si>
    <t>Other Cost of Sales As Reported</t>
  </si>
  <si>
    <t>Intrasegment Revenue</t>
  </si>
  <si>
    <t>Balance Sheet Items</t>
  </si>
  <si>
    <t>Unit Costs</t>
  </si>
  <si>
    <t>Quarterly Contract Price</t>
  </si>
  <si>
    <t>Average Realized % of Quarterly Contract Price</t>
  </si>
  <si>
    <t>Average Realized Price</t>
  </si>
  <si>
    <t>C$/t</t>
  </si>
  <si>
    <t>Quarterly Contract</t>
  </si>
  <si>
    <t>Poscan Royalty</t>
  </si>
  <si>
    <t>Unit Cost of Sales (IFRS)</t>
  </si>
  <si>
    <t>Sustaining Capital</t>
  </si>
  <si>
    <t>All-in Sustaining Cost</t>
  </si>
  <si>
    <t>Capital Expenditures (Ex-Capitalized Stripping Costs)</t>
  </si>
  <si>
    <t>Energy (Fort Hills 21.3% Interest)</t>
  </si>
  <si>
    <t>Pricing Overview</t>
  </si>
  <si>
    <t>West Texas Intermediate</t>
  </si>
  <si>
    <t>US$ / barrel</t>
  </si>
  <si>
    <t>Weighted Average Hardisty / USCG WCS Differential</t>
  </si>
  <si>
    <t>Market Adjustment</t>
  </si>
  <si>
    <t>Blended Bitumen Realized Price</t>
  </si>
  <si>
    <t>C$ / barrel</t>
  </si>
  <si>
    <t>M Barrels</t>
  </si>
  <si>
    <t>Blended Bitumen</t>
  </si>
  <si>
    <t>Bitumen Barrels</t>
  </si>
  <si>
    <t>Diluent Barrels</t>
  </si>
  <si>
    <t>Revenue as reported</t>
  </si>
  <si>
    <t>Cost of diluent for blending</t>
  </si>
  <si>
    <t>Non-proprietary product revenue</t>
  </si>
  <si>
    <t>Add back: Crown royalties (D)</t>
  </si>
  <si>
    <t>Adjusted revenue (A)</t>
  </si>
  <si>
    <t>Cost of sales as reported</t>
  </si>
  <si>
    <t>Inventory write-downs</t>
  </si>
  <si>
    <t>–</t>
  </si>
  <si>
    <t>Cash cost of sales</t>
  </si>
  <si>
    <t>Cost of non-proprietary product purchased</t>
  </si>
  <si>
    <t>Transportation costs for FRB (C)</t>
  </si>
  <si>
    <t>Operating cost adjustment</t>
  </si>
  <si>
    <t>Adjusted operating costs (E)</t>
  </si>
  <si>
    <t>Blended bitumen barrels sold (thousands)</t>
  </si>
  <si>
    <t>Less diluent barrels included in blended bitumen (thousands)</t>
  </si>
  <si>
    <t>Bitumen barrels sold (thousands) (B)</t>
  </si>
  <si>
    <t>Per barrel amounts — CAD$</t>
  </si>
  <si>
    <t>Bitumen price realized (A/B)</t>
  </si>
  <si>
    <t>Crown royalties (D/B)</t>
  </si>
  <si>
    <t>Transportation costs for FRB (C/B)</t>
  </si>
  <si>
    <t>Adjusted operating costs (E/B)</t>
  </si>
  <si>
    <t>Operating netback — CAD$ per barrel</t>
  </si>
  <si>
    <t>(CAD$ in millions, except where noted)</t>
  </si>
  <si>
    <t>Less: non-proprietary product revenue</t>
  </si>
  <si>
    <t>Add back: Crown royalties</t>
  </si>
  <si>
    <t>Blended bitumen revenue (A)</t>
  </si>
  <si>
    <t>Blended bitumen barrels sold (thousands) (B)</t>
  </si>
  <si>
    <t>Blended bitumen price realized — (CAD$/barrel) (A/B) = D</t>
  </si>
  <si>
    <t>Average exchange rate (CAD$ per US$1.00) (C)</t>
  </si>
  <si>
    <t>Blended bitumen price realized — (US$/barrel) (D/C)</t>
  </si>
  <si>
    <t>C$ Millions</t>
  </si>
  <si>
    <t>$–</t>
  </si>
  <si>
    <t>Blend Ratio</t>
  </si>
  <si>
    <t>CLM0 COMB Comdty</t>
  </si>
  <si>
    <t>USCRWCAS Index</t>
  </si>
  <si>
    <t>Western Cannada Select Crude</t>
  </si>
  <si>
    <t>Crown Royalties</t>
  </si>
  <si>
    <t>Diluent Required for 1 bbl of Bitumen</t>
  </si>
  <si>
    <t>Diluent in1 bbl of Blend</t>
  </si>
  <si>
    <t>Diluent Purchases</t>
  </si>
  <si>
    <t>Capital Allocatino Efficiency</t>
  </si>
  <si>
    <t xml:space="preserve">Operating Netback   </t>
  </si>
  <si>
    <t>Dilutent Purchases</t>
  </si>
  <si>
    <t>Adjusted Ebitda %</t>
  </si>
  <si>
    <t>LOCADY Comdty</t>
  </si>
  <si>
    <t>Copper Assumptions</t>
  </si>
  <si>
    <t>Lead Assumptions</t>
  </si>
  <si>
    <t>Pricing Scenarios</t>
  </si>
  <si>
    <t>Metallurgical Coal ($/mt)</t>
  </si>
  <si>
    <t>ECONOMIC SCENARIOS</t>
  </si>
  <si>
    <t>Cases:</t>
  </si>
  <si>
    <t>Variance</t>
  </si>
  <si>
    <t>Best Case</t>
  </si>
  <si>
    <t>Worst Case</t>
  </si>
  <si>
    <t>Median Analyst Forecast</t>
  </si>
  <si>
    <t>LOZSDY Comdty</t>
  </si>
  <si>
    <t>IAC1 COMB Comdty</t>
  </si>
  <si>
    <t>HCC FOB Australia Coking Coal</t>
  </si>
  <si>
    <t>US$/mt</t>
  </si>
  <si>
    <t>Copper ($/lb)</t>
  </si>
  <si>
    <t>Zinc ($/lb)</t>
  </si>
  <si>
    <t>Lead ($/lb)</t>
  </si>
  <si>
    <t>WTI ($/bbl)</t>
  </si>
  <si>
    <t>US$/ bbl</t>
  </si>
  <si>
    <t>Silver ($ / troy oz)</t>
  </si>
  <si>
    <t>Gold ($ / troy oz)</t>
  </si>
  <si>
    <t>Molybdenum ($/lb)</t>
  </si>
  <si>
    <t>Currently Running</t>
  </si>
  <si>
    <t>Median Analyst Forecasts</t>
  </si>
  <si>
    <t>USD.CAD</t>
  </si>
  <si>
    <t>Benchmark Pricing Table</t>
  </si>
  <si>
    <t>US$ / lb</t>
  </si>
  <si>
    <t>Spot Market Pricing</t>
  </si>
  <si>
    <t>Zinc Assumptions</t>
  </si>
  <si>
    <t>Base Price</t>
  </si>
  <si>
    <t>$ / mt</t>
  </si>
  <si>
    <t>Benchmark TC</t>
  </si>
  <si>
    <t>Implied TC</t>
  </si>
  <si>
    <t>Mts</t>
  </si>
  <si>
    <t>Qaurterly Weighted Production</t>
  </si>
  <si>
    <t>Quarterly-Weighted Production</t>
  </si>
  <si>
    <t>Depreciation Cost / t Cu Sold</t>
  </si>
  <si>
    <t>Royalties / t Cu Sold</t>
  </si>
  <si>
    <t>Quarterly Weighted Production</t>
  </si>
  <si>
    <t>Operating Cost / t Cu Produced</t>
  </si>
  <si>
    <t>Transport Cost / t Cu Sold</t>
  </si>
  <si>
    <t>Quarterly Weighted Production (Zinc)</t>
  </si>
  <si>
    <t>Quarterly Weighted Production (Lead)</t>
  </si>
  <si>
    <t>Quarterly Weighted Sales (Zinc)</t>
  </si>
  <si>
    <t>Quarterly Weighted Sales  (Lead)</t>
  </si>
  <si>
    <t>Depreciation / t Zn Sold</t>
  </si>
  <si>
    <t>Capitalized Stripping / t Zn Sold</t>
  </si>
  <si>
    <t>Bitumen</t>
  </si>
  <si>
    <t>Diluent Required</t>
  </si>
  <si>
    <t>USCRECON Index</t>
  </si>
  <si>
    <t>C5+ Diluent Cost</t>
  </si>
  <si>
    <t>Depreciation per Barrel Sold</t>
  </si>
  <si>
    <t>Net Income / (Loss)</t>
  </si>
  <si>
    <t>New Share Issuance</t>
  </si>
  <si>
    <t>Stock Based Compensation</t>
  </si>
  <si>
    <t>SBC as % of Total Other Operating Expense</t>
  </si>
  <si>
    <t>Ebitda (1-Tax Rate)</t>
  </si>
  <si>
    <t>Cash &amp; Revolver</t>
  </si>
  <si>
    <t>Beginning of Period Cash</t>
  </si>
  <si>
    <t>Equals: Excess Cash at BOP</t>
  </si>
  <si>
    <t>Equals: Cahs Available (Needed) to Paydown (Draw From) Revolver</t>
  </si>
  <si>
    <t>Less: Minmum Acceptable Cash</t>
  </si>
  <si>
    <t>Revolver Components</t>
  </si>
  <si>
    <t>Maxiumum Availability</t>
  </si>
  <si>
    <t>Compliance Check</t>
  </si>
  <si>
    <t>Plus: Cash Generated From Current Year</t>
  </si>
  <si>
    <t>Interest Rate on Revolver</t>
  </si>
  <si>
    <t>Interest Expense on Revolver</t>
  </si>
  <si>
    <t>FCF &amp; NPV</t>
  </si>
  <si>
    <t>Discounted Cash Flow (5% WACC)</t>
  </si>
  <si>
    <t>WACC</t>
  </si>
  <si>
    <t>Unleverd FCF</t>
  </si>
  <si>
    <t>NPV Assumptions</t>
  </si>
  <si>
    <t>Long Term Growth Rate</t>
  </si>
  <si>
    <t>2028 FCF x (1+g)</t>
  </si>
  <si>
    <t>Terminal Value (2028)</t>
  </si>
  <si>
    <t xml:space="preserve">WACC </t>
  </si>
  <si>
    <t>Present Value of Terminal Value</t>
  </si>
  <si>
    <t>Spot Prices</t>
  </si>
  <si>
    <t>Median Consensus Prices</t>
  </si>
  <si>
    <t>New Mine Development Capex (Growth Capex)</t>
  </si>
  <si>
    <t>FY 23 (F)</t>
  </si>
  <si>
    <t>FY 24 (F)</t>
  </si>
  <si>
    <t>FY 25 (F)</t>
  </si>
  <si>
    <t>FY 26 (F)</t>
  </si>
  <si>
    <t>FY 27 (F)</t>
  </si>
  <si>
    <t>FY 28 (F)</t>
  </si>
  <si>
    <t>2Q20</t>
  </si>
  <si>
    <t xml:space="preserve">Elkview </t>
  </si>
  <si>
    <t>Fording River</t>
  </si>
  <si>
    <t xml:space="preserve">Greenhills </t>
  </si>
  <si>
    <t>Line Creek</t>
  </si>
  <si>
    <t>Asset</t>
  </si>
  <si>
    <t>Mine Life</t>
  </si>
  <si>
    <t>38 Years</t>
  </si>
  <si>
    <t>43 Years</t>
  </si>
  <si>
    <t>28 Years</t>
  </si>
  <si>
    <t>18 Years</t>
  </si>
  <si>
    <t>Depletion Year</t>
  </si>
  <si>
    <t>32 Years</t>
  </si>
  <si>
    <t>CY22</t>
  </si>
  <si>
    <t>Asset Level Implied Free-Cash-Flow</t>
  </si>
  <si>
    <t>Highland Valley</t>
  </si>
  <si>
    <t>15 Years</t>
  </si>
  <si>
    <t>8 Years</t>
  </si>
  <si>
    <t>7 Years</t>
  </si>
  <si>
    <t>27 Years</t>
  </si>
  <si>
    <t>Quebra Blanca Phase 2*</t>
  </si>
  <si>
    <t>*QB2 Scheduled for First Ore Milled 4Q22</t>
  </si>
  <si>
    <t>14 Years</t>
  </si>
  <si>
    <t xml:space="preserve">*Forecasts Based off Median Analyst Forecast Pricing </t>
  </si>
  <si>
    <t>FY22</t>
  </si>
  <si>
    <t>Implied FCF (Excluding QB2 Capital Expenditures)</t>
  </si>
  <si>
    <t>Implied FCF (Excludes Changes in Working Capital)</t>
  </si>
  <si>
    <t>Top of Range (7.9x)</t>
  </si>
  <si>
    <t>Mid of Range (7.0x)</t>
  </si>
  <si>
    <t>Low of Range (6.1x)</t>
  </si>
  <si>
    <t>CAD</t>
  </si>
  <si>
    <t>Teck Enterprise Value (EV)</t>
  </si>
  <si>
    <t>Copper Segment EV</t>
  </si>
  <si>
    <t>Implied EV/Ebida (Mid-Range Multiple)</t>
  </si>
  <si>
    <t>Teck EV (Ex-Copper Segment)</t>
  </si>
  <si>
    <t>11 Years</t>
  </si>
  <si>
    <t>CL1 COMB Comdty</t>
  </si>
  <si>
    <t>Implied Free-Cash-Flow</t>
  </si>
  <si>
    <t>\</t>
  </si>
  <si>
    <t>Sensitivity Tables</t>
  </si>
  <si>
    <t>Coking Coal Price</t>
  </si>
  <si>
    <t>Ebitda Sensitivity @ 2021 Fundamentals</t>
  </si>
  <si>
    <t>Copper Price / lb</t>
  </si>
  <si>
    <t>Coal Price / mt</t>
  </si>
  <si>
    <t>Shares Outstanding</t>
  </si>
  <si>
    <t>FCF Yield Formula = (FCF/SO)/Stock Price</t>
  </si>
  <si>
    <t>* Stock Price as of Market Close 8/10/20: C$ 15.12</t>
  </si>
  <si>
    <t>2Yr</t>
  </si>
  <si>
    <t>Stock Price @ 4.0x</t>
  </si>
  <si>
    <t>Capex (Excluding Cap Strip &amp; QB2)</t>
  </si>
  <si>
    <t>Fixed Capital Investment (Excluding QB2</t>
  </si>
  <si>
    <t>FCF Sensitivity (Excluding QB2 Expenditures)</t>
  </si>
  <si>
    <t>3Q20</t>
  </si>
  <si>
    <t>)28_</t>
  </si>
  <si>
    <t>4Q20</t>
  </si>
  <si>
    <t>FY 20</t>
  </si>
  <si>
    <t xml:space="preserve">Sub-Total Capital Expenditures </t>
  </si>
  <si>
    <t>1Q21</t>
  </si>
  <si>
    <t>2Q21</t>
  </si>
  <si>
    <t>M</t>
  </si>
  <si>
    <t>Curve (IO) + Spot</t>
  </si>
  <si>
    <t>Low IO/Rh + High BMs + Spot</t>
  </si>
  <si>
    <t>CY23</t>
  </si>
  <si>
    <t>CY24</t>
  </si>
  <si>
    <t>CY25</t>
  </si>
  <si>
    <t>Iron Ore - Pellets</t>
  </si>
  <si>
    <t>Nickel</t>
  </si>
  <si>
    <t>FCF (ex-growth capex)**</t>
  </si>
  <si>
    <t>Dividends</t>
  </si>
  <si>
    <t>DPS*</t>
  </si>
  <si>
    <t>Div. Yield (%)</t>
  </si>
  <si>
    <t>Net Debt/(Cash)***</t>
  </si>
  <si>
    <t>Leverage (x)</t>
  </si>
  <si>
    <t>Year-End/F'Casted EV</t>
  </si>
  <si>
    <t>EV/EBITDA (Current EV)</t>
  </si>
  <si>
    <t>EV/EBITDA (YE EV)</t>
  </si>
  <si>
    <t>FCF Yield (%)**</t>
  </si>
  <si>
    <t>Top of Range (6.7x)</t>
  </si>
  <si>
    <t>Mid of Range (5.4x)</t>
  </si>
  <si>
    <t>Low of Range (4.1x)</t>
  </si>
  <si>
    <t>Price Deck ($/mt)</t>
  </si>
  <si>
    <t>Vale Realized Px</t>
  </si>
  <si>
    <t>*Assumes 30% of (EBITDA-Sus. Capex) is paid out as a dividend</t>
  </si>
  <si>
    <t>***Starts with adj net debt of $12.45B (ex-FX swaps)</t>
  </si>
  <si>
    <t>BE010</t>
  </si>
  <si>
    <t>BE001</t>
  </si>
  <si>
    <t>Extra Payout (% of EV)</t>
  </si>
  <si>
    <t>Extra Payout</t>
  </si>
  <si>
    <t>% EV</t>
  </si>
  <si>
    <t>Extra Payout ($MM)</t>
  </si>
  <si>
    <t>Iron Ore - Fines</t>
  </si>
  <si>
    <t xml:space="preserve">  </t>
  </si>
  <si>
    <t>Tgt Mult</t>
  </si>
  <si>
    <t>EV</t>
  </si>
  <si>
    <t>FW Eq</t>
  </si>
  <si>
    <t>Eq</t>
  </si>
  <si>
    <t>U/D %</t>
  </si>
  <si>
    <t>Px</t>
  </si>
  <si>
    <t>IO MC</t>
  </si>
  <si>
    <t xml:space="preserve"> @ Norm IO</t>
  </si>
  <si>
    <t>Target Multiple</t>
  </si>
  <si>
    <t>Tgt Mult (x)*</t>
  </si>
  <si>
    <t>TR Potential (%)</t>
  </si>
  <si>
    <t>FCF % Mkt Cap</t>
  </si>
  <si>
    <t>Re-Rate</t>
  </si>
  <si>
    <t>FCF % EV</t>
  </si>
  <si>
    <t>Div (2H21 + '22)</t>
  </si>
  <si>
    <t>EV*</t>
  </si>
  <si>
    <t>FW Eq**</t>
  </si>
  <si>
    <t>Total Return</t>
  </si>
  <si>
    <t>Mkt Cap (Today)</t>
  </si>
  <si>
    <t>Net Debt/(Cash)</t>
  </si>
  <si>
    <t>Div Yield (%)</t>
  </si>
  <si>
    <t>Px (PV @ 8%)</t>
  </si>
  <si>
    <t xml:space="preserve"> @ 4x</t>
  </si>
  <si>
    <t xml:space="preserve"> @ 5x</t>
  </si>
  <si>
    <t xml:space="preserve"> @ Curve</t>
  </si>
  <si>
    <t xml:space="preserve"> @ Spot</t>
  </si>
  <si>
    <t>*Multiple that solves for the current stock price at the time of writing</t>
  </si>
  <si>
    <t>**FW Eq = Forward Equity Value = (Calculated EV) - (Prior Year-End Net Debt)</t>
  </si>
  <si>
    <t>TECK/B CN EQUITY</t>
  </si>
  <si>
    <t>Copper Zinc</t>
  </si>
  <si>
    <t>Px Cost</t>
  </si>
  <si>
    <t>Margin</t>
  </si>
  <si>
    <t>Coking Coal</t>
  </si>
  <si>
    <t>Cost</t>
  </si>
  <si>
    <t>fording</t>
  </si>
  <si>
    <t>Elkview</t>
  </si>
  <si>
    <t>Greenhills</t>
  </si>
  <si>
    <t>Quintette</t>
  </si>
  <si>
    <t>D&amp;A</t>
  </si>
  <si>
    <t>EBT</t>
  </si>
  <si>
    <t>Tax</t>
  </si>
  <si>
    <t>Aus PLV Discount</t>
  </si>
  <si>
    <t xml:space="preserve">3Q21 </t>
  </si>
  <si>
    <t>4Q21</t>
  </si>
  <si>
    <t>FY 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</si>
</sst>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7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_);\(#,##0\);_(&quot;-&quot;??_)"/>
    <numFmt numFmtId="165" formatCode="#,##0.00_);\(#,##0.00\);_(&quot;-&quot;??_)"/>
    <numFmt numFmtId="166" formatCode="#,##0.0_);\(#,##0.0\);_(&quot;-&quot;??_)"/>
    <numFmt numFmtId="167" formatCode="0.0"/>
    <numFmt numFmtId="168" formatCode="&quot;$&quot;#,##0.00"/>
    <numFmt numFmtId="169" formatCode="&quot;$&quot;#,##0"/>
    <numFmt numFmtId="170" formatCode="0.00\x"/>
    <numFmt numFmtId="171" formatCode="0.0%"/>
    <numFmt numFmtId="172" formatCode="0\ &quot;days&quot;"/>
    <numFmt numFmtId="173" formatCode="#,##0.000_);\(#,##0.000\);_(&quot;-&quot;??_)"/>
    <numFmt numFmtId="174" formatCode="0_);\(0\)"/>
    <numFmt numFmtId="175" formatCode="_(* #,##0_);_(* \(#,##0\);_(* &quot;-&quot;??_);_(@_)"/>
    <numFmt numFmtId="176" formatCode="[$CAD]\ &quot;$&quot;#,##0"/>
    <numFmt numFmtId="177" formatCode="_(&quot;$&quot;* #,##0_);_(&quot;$&quot;* \(#,##0\);_(&quot;$&quot;* &quot;-&quot;??_);_(@_)"/>
    <numFmt numFmtId="178" formatCode="#.0\x"/>
    <numFmt numFmtId="179" formatCode="&quot;$&quot;#,##0.0"/>
    <numFmt numFmtId="180" formatCode="0.0\x"/>
    <numFmt numFmtId="181" formatCode="0.000"/>
    <numFmt numFmtId="182" formatCode="&quot;$&quot;#,##0.0_);[Red]\(&quot;$&quot;#,##0.0\)"/>
    <numFmt numFmtId="183" formatCode="&quot;$&quot;#,##0.000"/>
    <numFmt numFmtId="184" formatCode="#,##0.0_);\(#,##0.0\)"/>
    <numFmt numFmtId="185" formatCode="0.00000"/>
    <numFmt numFmtId="186" formatCode="0.0%;\(0.0%\);&quot;-&quot;"/>
    <numFmt numFmtId="187" formatCode="\+0.0%;\-0.0%;&quot;-&quot;"/>
    <numFmt numFmtId="188" formatCode="0.00000000000"/>
    <numFmt numFmtId="189" formatCode="0.0000"/>
    <numFmt numFmtId="190" formatCode="[$C$]\ #,##0"/>
    <numFmt numFmtId="191" formatCode="[$C$]\ #,##0.00"/>
    <numFmt numFmtId="192" formatCode="\C&quot;$&quot;\ #,##0"/>
    <numFmt numFmtId="193" formatCode="\C&quot;$&quot;#,##0_);\C&quot;$&quot;\ \(#,##0\)"/>
    <numFmt numFmtId="194" formatCode="#.00\x"/>
  </numFmts>
  <fonts count="136">
    <font>
      <sz val="11"/>
      <color theme="1"/>
      <name val="Arial"/>
      <family val="2"/>
      <scheme val="minor"/>
    </font>
    <font>
      <sz val="11"/>
      <color rgb="FF000000"/>
      <name val="Calibri"/>
      <family val="2"/>
    </font>
    <font>
      <sz val="8.25"/>
      <name val="Verdana"/>
      <family val="2"/>
    </font>
    <font>
      <sz val="11"/>
      <color theme="1"/>
      <name val="Arial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0000"/>
      <name val="Calibri"/>
      <family val="2"/>
    </font>
    <font>
      <sz val="10"/>
      <color indexed="8"/>
      <name val="Arial"/>
      <family val="2"/>
    </font>
    <font>
      <b/>
      <sz val="7"/>
      <color indexed="81"/>
      <name val="Tahoma"/>
      <family val="2"/>
    </font>
    <font>
      <sz val="7"/>
      <color indexed="81"/>
      <name val="Tahoma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i/>
      <sz val="14"/>
      <color theme="1"/>
      <name val="Arial"/>
      <family val="2"/>
    </font>
    <font>
      <sz val="14"/>
      <color theme="0"/>
      <name val="Arial"/>
      <family val="2"/>
    </font>
    <font>
      <b/>
      <sz val="14"/>
      <color theme="4"/>
      <name val="Arial"/>
      <family val="2"/>
    </font>
    <font>
      <b/>
      <sz val="14"/>
      <color theme="0"/>
      <name val="Arial"/>
      <family val="2"/>
    </font>
    <font>
      <b/>
      <i/>
      <sz val="14"/>
      <color theme="0"/>
      <name val="Arial"/>
      <family val="2"/>
    </font>
    <font>
      <b/>
      <sz val="14"/>
      <color theme="5"/>
      <name val="Arial"/>
      <family val="2"/>
    </font>
    <font>
      <sz val="12"/>
      <color theme="1"/>
      <name val="Arial"/>
      <family val="2"/>
      <scheme val="minor"/>
    </font>
    <font>
      <b/>
      <sz val="12"/>
      <color theme="1"/>
      <name val="Arial"/>
      <family val="2"/>
      <scheme val="minor"/>
    </font>
    <font>
      <b/>
      <sz val="12"/>
      <color rgb="FF333333"/>
      <name val="Calibri"/>
      <family val="2"/>
    </font>
    <font>
      <b/>
      <sz val="12"/>
      <color rgb="FFFFFFFF"/>
      <name val="Verdana"/>
      <family val="2"/>
    </font>
    <font>
      <sz val="12"/>
      <color theme="1"/>
      <name val="Calibri  "/>
    </font>
    <font>
      <sz val="12"/>
      <color rgb="FF000000"/>
      <name val="Calibri  "/>
    </font>
    <font>
      <sz val="12"/>
      <color theme="4" tint="-0.249977111117893"/>
      <name val="Calibri  "/>
    </font>
    <font>
      <sz val="12"/>
      <name val="Calibri  "/>
    </font>
    <font>
      <sz val="12"/>
      <color rgb="FFFF0000"/>
      <name val="Calibri  "/>
    </font>
    <font>
      <b/>
      <sz val="12"/>
      <color rgb="FF000000"/>
      <name val="Calibri  "/>
    </font>
    <font>
      <b/>
      <sz val="12"/>
      <color theme="1"/>
      <name val="Calibri  "/>
    </font>
    <font>
      <b/>
      <sz val="12"/>
      <color theme="4" tint="-0.249977111117893"/>
      <name val="Calibri  "/>
    </font>
    <font>
      <b/>
      <sz val="12"/>
      <name val="Calibri  "/>
    </font>
    <font>
      <b/>
      <sz val="12"/>
      <color theme="0"/>
      <name val="Calibri  "/>
    </font>
    <font>
      <sz val="12"/>
      <color rgb="FF000000"/>
      <name val="Verdana"/>
      <family val="2"/>
    </font>
    <font>
      <sz val="12"/>
      <color rgb="FF222222"/>
      <name val="Calibri  "/>
    </font>
    <font>
      <b/>
      <sz val="12"/>
      <color rgb="FFFFFFFF"/>
      <name val="Calibri  "/>
    </font>
    <font>
      <sz val="12"/>
      <color rgb="FF0070C0"/>
      <name val="Calibri  "/>
    </font>
    <font>
      <sz val="12"/>
      <color theme="1"/>
      <name val="Calibri   "/>
    </font>
    <font>
      <sz val="12"/>
      <color rgb="FF000000"/>
      <name val="Calibri   "/>
    </font>
    <font>
      <sz val="12"/>
      <name val="Calibri   "/>
    </font>
    <font>
      <sz val="12"/>
      <color theme="4" tint="-0.249977111117893"/>
      <name val="Calibri   "/>
    </font>
    <font>
      <b/>
      <sz val="12"/>
      <name val="Calibri   "/>
    </font>
    <font>
      <b/>
      <sz val="12"/>
      <color theme="1"/>
      <name val="Calibri   "/>
    </font>
    <font>
      <b/>
      <sz val="12"/>
      <color rgb="FFFF0000"/>
      <name val="Calibri  "/>
    </font>
    <font>
      <sz val="12"/>
      <color rgb="FFFFFFFF"/>
      <name val="Calibri  "/>
    </font>
    <font>
      <i/>
      <sz val="12"/>
      <name val="Calibri  "/>
    </font>
    <font>
      <sz val="12"/>
      <name val="Verdana"/>
      <family val="2"/>
    </font>
    <font>
      <sz val="12"/>
      <color theme="4" tint="-0.249977111117893"/>
      <name val="Arial"/>
      <family val="2"/>
      <scheme val="minor"/>
    </font>
    <font>
      <b/>
      <sz val="12"/>
      <name val="Verdana"/>
      <family val="2"/>
    </font>
    <font>
      <b/>
      <sz val="12"/>
      <color rgb="FF000000"/>
      <name val="Verdana"/>
      <family val="2"/>
    </font>
    <font>
      <sz val="12"/>
      <color rgb="FFFFFFFF"/>
      <name val="Verdana"/>
      <family val="2"/>
    </font>
    <font>
      <b/>
      <sz val="12"/>
      <color theme="0"/>
      <name val="Arial"/>
      <family val="2"/>
      <scheme val="minor"/>
    </font>
    <font>
      <b/>
      <u/>
      <sz val="12"/>
      <color theme="1"/>
      <name val="Arial"/>
      <family val="2"/>
      <scheme val="minor"/>
    </font>
    <font>
      <b/>
      <sz val="12"/>
      <color theme="4"/>
      <name val="Arial"/>
      <family val="2"/>
      <scheme val="minor"/>
    </font>
    <font>
      <b/>
      <u/>
      <sz val="12"/>
      <color theme="0"/>
      <name val="Arial"/>
      <family val="2"/>
      <scheme val="minor"/>
    </font>
    <font>
      <sz val="10"/>
      <name val="Arial"/>
      <family val="2"/>
      <scheme val="minor"/>
    </font>
    <font>
      <b/>
      <sz val="16"/>
      <color theme="0"/>
      <name val="Arial"/>
      <family val="2"/>
      <scheme val="minor"/>
    </font>
    <font>
      <sz val="16"/>
      <color theme="1"/>
      <name val="Arial"/>
      <family val="2"/>
      <scheme val="minor"/>
    </font>
    <font>
      <b/>
      <sz val="16"/>
      <color theme="4"/>
      <name val="Arial"/>
      <family val="2"/>
      <scheme val="minor"/>
    </font>
    <font>
      <b/>
      <sz val="16"/>
      <color theme="0"/>
      <name val="Calibri  "/>
    </font>
    <font>
      <b/>
      <sz val="16"/>
      <color theme="1"/>
      <name val="Arial"/>
      <family val="2"/>
      <scheme val="minor"/>
    </font>
    <font>
      <b/>
      <sz val="16"/>
      <color theme="4" tint="0.39997558519241921"/>
      <name val="Arial"/>
      <family val="2"/>
      <scheme val="minor"/>
    </font>
    <font>
      <b/>
      <u/>
      <sz val="16"/>
      <color theme="0"/>
      <name val="Arial"/>
      <family val="2"/>
      <scheme val="minor"/>
    </font>
    <font>
      <sz val="16"/>
      <color theme="0"/>
      <name val="Arial"/>
      <family val="2"/>
      <scheme val="minor"/>
    </font>
    <font>
      <sz val="16"/>
      <color theme="0"/>
      <name val="Calibri  "/>
    </font>
    <font>
      <sz val="16"/>
      <name val="Calibri  "/>
    </font>
    <font>
      <b/>
      <sz val="16"/>
      <color theme="1"/>
      <name val="Calibri  "/>
    </font>
    <font>
      <b/>
      <sz val="12"/>
      <color rgb="FF222222"/>
      <name val="Calibri  "/>
    </font>
    <font>
      <i/>
      <sz val="12"/>
      <color rgb="FF222222"/>
      <name val="Calibri  "/>
    </font>
    <font>
      <i/>
      <sz val="12"/>
      <color theme="1"/>
      <name val="Calibri  "/>
    </font>
    <font>
      <i/>
      <sz val="12"/>
      <color rgb="FF000000"/>
      <name val="Calibri  "/>
    </font>
    <font>
      <b/>
      <sz val="11"/>
      <color theme="1"/>
      <name val="Arial"/>
      <family val="2"/>
      <scheme val="minor"/>
    </font>
    <font>
      <sz val="12"/>
      <name val="Arial"/>
      <family val="2"/>
      <scheme val="minor"/>
    </font>
    <font>
      <b/>
      <i/>
      <sz val="12"/>
      <name val="Calibri  "/>
    </font>
    <font>
      <b/>
      <i/>
      <sz val="12"/>
      <color theme="1"/>
      <name val="Calibri  "/>
    </font>
    <font>
      <i/>
      <sz val="12"/>
      <color theme="1"/>
      <name val="Arial"/>
      <family val="2"/>
      <scheme val="minor"/>
    </font>
    <font>
      <i/>
      <sz val="11"/>
      <color theme="1"/>
      <name val="Arial"/>
      <family val="2"/>
      <scheme val="minor"/>
    </font>
    <font>
      <b/>
      <sz val="12"/>
      <color rgb="FF000000"/>
      <name val="Calibri   "/>
    </font>
    <font>
      <sz val="10"/>
      <name val="Times New Roman"/>
      <family val="1"/>
    </font>
    <font>
      <b/>
      <sz val="10"/>
      <name val="Arial"/>
      <family val="2"/>
    </font>
    <font>
      <sz val="10"/>
      <name val="Arial"/>
      <family val="2"/>
    </font>
    <font>
      <sz val="11"/>
      <color theme="4" tint="-0.249977111117893"/>
      <name val="Arial"/>
      <family val="2"/>
      <scheme val="minor"/>
    </font>
    <font>
      <sz val="12"/>
      <color theme="1"/>
      <name val="Calibri"/>
      <family val="2"/>
    </font>
    <font>
      <sz val="12"/>
      <color theme="1"/>
      <name val="Arial"/>
      <family val="2"/>
      <scheme val="major"/>
    </font>
    <font>
      <b/>
      <sz val="12"/>
      <color rgb="FF333333"/>
      <name val="Arial"/>
      <family val="2"/>
      <scheme val="major"/>
    </font>
    <font>
      <b/>
      <sz val="12"/>
      <color theme="1"/>
      <name val="Arial"/>
      <family val="2"/>
      <scheme val="major"/>
    </font>
    <font>
      <sz val="12"/>
      <name val="Arial"/>
      <family val="2"/>
      <scheme val="major"/>
    </font>
    <font>
      <sz val="12"/>
      <color rgb="FFFF0000"/>
      <name val="Arial"/>
      <family val="2"/>
      <scheme val="major"/>
    </font>
    <font>
      <sz val="12"/>
      <color theme="4" tint="-0.249977111117893"/>
      <name val="Arial"/>
      <family val="2"/>
      <scheme val="major"/>
    </font>
    <font>
      <sz val="12"/>
      <color rgb="FF000000"/>
      <name val="Arial"/>
      <family val="2"/>
      <scheme val="major"/>
    </font>
    <font>
      <i/>
      <sz val="12"/>
      <color theme="1"/>
      <name val="Arial"/>
      <family val="2"/>
      <scheme val="major"/>
    </font>
    <font>
      <b/>
      <sz val="12"/>
      <name val="Arial"/>
      <family val="2"/>
      <scheme val="major"/>
    </font>
    <font>
      <b/>
      <sz val="12"/>
      <color theme="4" tint="-0.249977111117893"/>
      <name val="Arial"/>
      <family val="2"/>
      <scheme val="major"/>
    </font>
    <font>
      <b/>
      <u/>
      <sz val="12"/>
      <name val="Arial"/>
      <family val="2"/>
      <scheme val="major"/>
    </font>
    <font>
      <sz val="12"/>
      <color rgb="FF0000FF"/>
      <name val="Arial"/>
      <family val="2"/>
      <scheme val="major"/>
    </font>
    <font>
      <i/>
      <sz val="10"/>
      <name val="Arial"/>
      <family val="2"/>
    </font>
    <font>
      <sz val="12"/>
      <color rgb="FF333333"/>
      <name val="Arial"/>
      <family val="2"/>
      <scheme val="major"/>
    </font>
    <font>
      <sz val="12"/>
      <color theme="0"/>
      <name val="Arial"/>
      <family val="2"/>
      <scheme val="major"/>
    </font>
    <font>
      <b/>
      <sz val="12"/>
      <name val="Arial"/>
      <family val="2"/>
      <scheme val="minor"/>
    </font>
    <font>
      <i/>
      <sz val="12"/>
      <color theme="4" tint="-0.249977111117893"/>
      <name val="Calibri  "/>
    </font>
    <font>
      <b/>
      <sz val="11"/>
      <color theme="0"/>
      <name val="Arial"/>
      <family val="2"/>
      <scheme val="minor"/>
    </font>
    <font>
      <sz val="11"/>
      <color theme="0"/>
      <name val="Arial"/>
      <family val="2"/>
      <scheme val="minor"/>
    </font>
    <font>
      <sz val="11"/>
      <color theme="4"/>
      <name val="Arial"/>
      <family val="2"/>
      <scheme val="minor"/>
    </font>
    <font>
      <sz val="14"/>
      <name val="Arial"/>
      <family val="2"/>
    </font>
    <font>
      <sz val="9"/>
      <color theme="0"/>
      <name val="Arial"/>
      <family val="2"/>
      <scheme val="minor"/>
    </font>
    <font>
      <b/>
      <sz val="16"/>
      <color rgb="FFFF0000"/>
      <name val="Arial"/>
      <family val="2"/>
      <scheme val="minor"/>
    </font>
    <font>
      <sz val="16"/>
      <color rgb="FFFF0000"/>
      <name val="Arial"/>
      <family val="2"/>
      <scheme val="minor"/>
    </font>
    <font>
      <b/>
      <sz val="16"/>
      <color theme="1"/>
      <name val="Calibri"/>
      <family val="2"/>
    </font>
    <font>
      <sz val="12"/>
      <color rgb="FFFF0000"/>
      <name val="Calibri   "/>
    </font>
    <font>
      <sz val="12"/>
      <color theme="0"/>
      <name val="Calibri  "/>
    </font>
    <font>
      <b/>
      <sz val="12"/>
      <color theme="4" tint="-0.249977111117893"/>
      <name val="Calibri   "/>
    </font>
    <font>
      <sz val="12"/>
      <color theme="4" tint="-0.499984740745262"/>
      <name val="Calibri  "/>
    </font>
    <font>
      <b/>
      <sz val="11"/>
      <color theme="4"/>
      <name val="Arial"/>
      <family val="2"/>
      <scheme val="minor"/>
    </font>
    <font>
      <b/>
      <i/>
      <sz val="11"/>
      <color theme="6" tint="0.79998168889431442"/>
      <name val="Arial"/>
      <family val="2"/>
      <scheme val="minor"/>
    </font>
    <font>
      <i/>
      <sz val="11"/>
      <color theme="6" tint="0.79998168889431442"/>
      <name val="Arial"/>
      <family val="2"/>
      <scheme val="minor"/>
    </font>
    <font>
      <b/>
      <sz val="11"/>
      <color theme="5"/>
      <name val="Arial"/>
      <family val="2"/>
      <scheme val="minor"/>
    </font>
    <font>
      <i/>
      <sz val="9"/>
      <color theme="1"/>
      <name val="Arial"/>
      <family val="2"/>
      <scheme val="minor"/>
    </font>
    <font>
      <sz val="11"/>
      <color theme="1" tint="0.34998626667073579"/>
      <name val="Arial"/>
      <family val="2"/>
      <scheme val="minor"/>
    </font>
    <font>
      <b/>
      <sz val="11"/>
      <color rgb="FFFF0000"/>
      <name val="Arial"/>
      <family val="2"/>
      <scheme val="minor"/>
    </font>
    <font>
      <sz val="11"/>
      <color theme="0" tint="-0.34998626667073579"/>
      <name val="Arial"/>
      <family val="2"/>
      <scheme val="minor"/>
    </font>
    <font>
      <b/>
      <sz val="10"/>
      <color theme="0"/>
      <name val="Arial"/>
      <family val="2"/>
    </font>
    <font>
      <sz val="10"/>
      <color theme="1"/>
      <name val="Arial"/>
      <family val="2"/>
    </font>
    <font>
      <b/>
      <sz val="10"/>
      <color rgb="FFFFC000"/>
      <name val="Arial"/>
      <family val="2"/>
    </font>
    <font>
      <b/>
      <sz val="10"/>
      <color theme="1"/>
      <name val="Arial"/>
      <family val="2"/>
    </font>
    <font>
      <sz val="10"/>
      <color rgb="FFFFC000"/>
      <name val="Arial"/>
      <family val="2"/>
    </font>
    <font>
      <b/>
      <sz val="10"/>
      <color rgb="FFFF0000"/>
      <name val="Arial"/>
      <family val="2"/>
    </font>
    <font>
      <b/>
      <i/>
      <sz val="11"/>
      <color theme="1"/>
      <name val="Arial"/>
      <family val="2"/>
      <scheme val="minor"/>
    </font>
    <font>
      <b/>
      <sz val="10"/>
      <color rgb="FF00B0F0"/>
      <name val="Arial"/>
      <family val="2"/>
    </font>
    <font>
      <b/>
      <sz val="10"/>
      <color rgb="FF0070C0"/>
      <name val="Arial"/>
      <family val="2"/>
    </font>
    <font>
      <i/>
      <sz val="10"/>
      <color theme="0" tint="-0.34998626667073579"/>
      <name val="Arial"/>
      <family val="2"/>
    </font>
    <font>
      <b/>
      <sz val="10"/>
      <color theme="0" tint="-0.34998626667073579"/>
      <name val="Arial"/>
      <family val="2"/>
    </font>
    <font>
      <b/>
      <sz val="10"/>
      <color rgb="FF002060"/>
      <name val="Arial"/>
      <family val="2"/>
    </font>
    <font>
      <b/>
      <sz val="10"/>
      <color theme="0"/>
      <name val="Arial"/>
      <family val="2"/>
      <scheme val="minor"/>
    </font>
    <font>
      <b/>
      <sz val="10"/>
      <color theme="1" tint="0.499984740745262"/>
      <name val="Arial"/>
      <family val="2"/>
    </font>
    <font>
      <b/>
      <i/>
      <sz val="9"/>
      <color theme="0" tint="-0.499984740745262"/>
      <name val="Arial"/>
      <family val="2"/>
      <scheme val="minor"/>
    </font>
    <font>
      <sz val="9"/>
      <color theme="0" tint="-0.499984740745262"/>
      <name val="Arial"/>
      <family val="2"/>
    </font>
    <font>
      <sz val="12"/>
      <color theme="0"/>
      <name val="Arial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70C0"/>
      </patternFill>
    </fill>
    <fill>
      <patternFill patternType="solid">
        <fgColor rgb="FFFFFF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404040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2" tint="-0.34998626667073579"/>
        <bgColor indexed="64"/>
      </patternFill>
    </fill>
    <fill>
      <patternFill patternType="solid">
        <fgColor theme="2" tint="-4.9989318521683403E-2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4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1" tint="0.34998626667073579"/>
      </bottom>
      <diagonal/>
    </border>
    <border>
      <left/>
      <right/>
      <top style="thin">
        <color theme="1" tint="0.34998626667073579"/>
      </top>
      <bottom style="double">
        <color theme="1" tint="0.34998626667073579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theme="1" tint="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theme="0" tint="-0.249977111117893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theme="0" tint="-0.34998626667073579"/>
      </bottom>
      <diagonal/>
    </border>
    <border>
      <left/>
      <right style="medium">
        <color indexed="64"/>
      </right>
      <top style="medium">
        <color indexed="64"/>
      </top>
      <bottom style="thin">
        <color theme="0" tint="-0.34998626667073579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theme="0" tint="-0.34998626667073579"/>
      </bottom>
      <diagonal/>
    </border>
    <border>
      <left/>
      <right style="medium">
        <color indexed="64"/>
      </right>
      <top/>
      <bottom style="medium">
        <color theme="0" tint="-0.34998626667073579"/>
      </bottom>
      <diagonal/>
    </border>
    <border>
      <left/>
      <right/>
      <top style="medium">
        <color theme="0" tint="-0.34998626667073579"/>
      </top>
      <bottom style="double">
        <color indexed="64"/>
      </bottom>
      <diagonal/>
    </border>
    <border>
      <left/>
      <right style="medium">
        <color indexed="64"/>
      </right>
      <top style="medium">
        <color theme="0" tint="-0.34998626667073579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0">
    <xf numFmtId="0" fontId="0" fillId="0" borderId="0"/>
    <xf numFmtId="0" fontId="1" fillId="0" borderId="0">
      <alignment vertical="center"/>
    </xf>
    <xf numFmtId="43" fontId="3" fillId="0" borderId="0" applyFont="0" applyFill="0" applyBorder="0" applyAlignment="0" applyProtection="0"/>
    <xf numFmtId="0" fontId="6" fillId="0" borderId="0">
      <alignment vertical="center"/>
    </xf>
    <xf numFmtId="9" fontId="3" fillId="0" borderId="0" applyFont="0" applyFill="0" applyBorder="0" applyAlignment="0" applyProtection="0"/>
    <xf numFmtId="4" fontId="7" fillId="4" borderId="1">
      <alignment horizontal="right"/>
    </xf>
    <xf numFmtId="0" fontId="1" fillId="0" borderId="0">
      <alignment vertical="center"/>
    </xf>
    <xf numFmtId="44" fontId="3" fillId="0" borderId="0" applyFont="0" applyFill="0" applyBorder="0" applyAlignment="0" applyProtection="0"/>
    <xf numFmtId="0" fontId="77" fillId="0" borderId="0"/>
    <xf numFmtId="0" fontId="79" fillId="0" borderId="0"/>
  </cellStyleXfs>
  <cellXfs count="1401">
    <xf numFmtId="0" fontId="0" fillId="0" borderId="0" xfId="0"/>
    <xf numFmtId="0" fontId="0" fillId="2" borderId="0" xfId="0" applyFill="1"/>
    <xf numFmtId="3" fontId="0" fillId="2" borderId="0" xfId="0" applyNumberFormat="1" applyFill="1"/>
    <xf numFmtId="3" fontId="0" fillId="0" borderId="0" xfId="0" applyNumberFormat="1"/>
    <xf numFmtId="0" fontId="10" fillId="2" borderId="0" xfId="0" applyFont="1" applyFill="1"/>
    <xf numFmtId="0" fontId="10" fillId="2" borderId="0" xfId="0" applyFont="1" applyFill="1" applyAlignment="1">
      <alignment horizontal="center"/>
    </xf>
    <xf numFmtId="44" fontId="10" fillId="2" borderId="0" xfId="7" applyFont="1" applyFill="1" applyAlignment="1">
      <alignment horizontal="center"/>
    </xf>
    <xf numFmtId="16" fontId="10" fillId="2" borderId="0" xfId="0" applyNumberFormat="1" applyFont="1" applyFill="1"/>
    <xf numFmtId="175" fontId="10" fillId="2" borderId="0" xfId="2" applyNumberFormat="1" applyFont="1" applyFill="1"/>
    <xf numFmtId="22" fontId="10" fillId="2" borderId="0" xfId="0" applyNumberFormat="1" applyFont="1" applyFill="1"/>
    <xf numFmtId="3" fontId="10" fillId="2" borderId="0" xfId="0" applyNumberFormat="1" applyFont="1" applyFill="1" applyAlignment="1">
      <alignment horizontal="center"/>
    </xf>
    <xf numFmtId="2" fontId="10" fillId="2" borderId="0" xfId="4" applyNumberFormat="1" applyFont="1" applyFill="1" applyAlignment="1">
      <alignment horizontal="center"/>
    </xf>
    <xf numFmtId="171" fontId="10" fillId="2" borderId="0" xfId="4" applyNumberFormat="1" applyFont="1" applyFill="1" applyAlignment="1">
      <alignment horizontal="center"/>
    </xf>
    <xf numFmtId="177" fontId="10" fillId="2" borderId="0" xfId="0" applyNumberFormat="1" applyFont="1" applyFill="1"/>
    <xf numFmtId="0" fontId="10" fillId="2" borderId="11" xfId="0" applyFont="1" applyFill="1" applyBorder="1" applyAlignment="1">
      <alignment horizontal="center"/>
    </xf>
    <xf numFmtId="0" fontId="10" fillId="2" borderId="0" xfId="0" applyFont="1" applyFill="1" applyBorder="1" applyAlignment="1">
      <alignment horizontal="center"/>
    </xf>
    <xf numFmtId="38" fontId="10" fillId="2" borderId="0" xfId="0" applyNumberFormat="1" applyFont="1" applyFill="1" applyAlignment="1">
      <alignment horizontal="center"/>
    </xf>
    <xf numFmtId="169" fontId="10" fillId="2" borderId="0" xfId="0" applyNumberFormat="1" applyFont="1" applyFill="1" applyAlignment="1">
      <alignment horizontal="center"/>
    </xf>
    <xf numFmtId="169" fontId="11" fillId="2" borderId="4" xfId="0" applyNumberFormat="1" applyFont="1" applyFill="1" applyBorder="1"/>
    <xf numFmtId="0" fontId="11" fillId="2" borderId="4" xfId="0" applyFont="1" applyFill="1" applyBorder="1"/>
    <xf numFmtId="0" fontId="11" fillId="2" borderId="4" xfId="0" applyFont="1" applyFill="1" applyBorder="1" applyAlignment="1">
      <alignment horizontal="center"/>
    </xf>
    <xf numFmtId="169" fontId="10" fillId="2" borderId="0" xfId="0" applyNumberFormat="1" applyFont="1" applyFill="1"/>
    <xf numFmtId="6" fontId="10" fillId="2" borderId="0" xfId="0" applyNumberFormat="1" applyFont="1" applyFill="1" applyAlignment="1">
      <alignment horizontal="center"/>
    </xf>
    <xf numFmtId="22" fontId="12" fillId="2" borderId="0" xfId="0" applyNumberFormat="1" applyFont="1" applyFill="1"/>
    <xf numFmtId="9" fontId="12" fillId="2" borderId="0" xfId="4" applyFont="1" applyFill="1" applyAlignment="1">
      <alignment horizontal="center"/>
    </xf>
    <xf numFmtId="169" fontId="10" fillId="2" borderId="12" xfId="0" applyNumberFormat="1" applyFont="1" applyFill="1" applyBorder="1"/>
    <xf numFmtId="0" fontId="10" fillId="2" borderId="12" xfId="0" applyFont="1" applyFill="1" applyBorder="1"/>
    <xf numFmtId="169" fontId="10" fillId="2" borderId="12" xfId="0" applyNumberFormat="1" applyFont="1" applyFill="1" applyBorder="1" applyAlignment="1">
      <alignment horizontal="center"/>
    </xf>
    <xf numFmtId="178" fontId="10" fillId="2" borderId="0" xfId="0" applyNumberFormat="1" applyFont="1" applyFill="1" applyAlignment="1">
      <alignment horizontal="center"/>
    </xf>
    <xf numFmtId="171" fontId="10" fillId="2" borderId="0" xfId="0" applyNumberFormat="1" applyFont="1" applyFill="1"/>
    <xf numFmtId="0" fontId="13" fillId="2" borderId="0" xfId="0" applyFont="1" applyFill="1"/>
    <xf numFmtId="9" fontId="10" fillId="2" borderId="0" xfId="4" applyFont="1" applyFill="1"/>
    <xf numFmtId="22" fontId="10" fillId="2" borderId="0" xfId="0" applyNumberFormat="1" applyFont="1" applyFill="1" applyBorder="1"/>
    <xf numFmtId="22" fontId="11" fillId="2" borderId="13" xfId="0" applyNumberFormat="1" applyFont="1" applyFill="1" applyBorder="1"/>
    <xf numFmtId="0" fontId="10" fillId="2" borderId="0" xfId="0" applyFont="1" applyFill="1" applyBorder="1"/>
    <xf numFmtId="171" fontId="10" fillId="2" borderId="0" xfId="4" applyNumberFormat="1" applyFont="1" applyFill="1"/>
    <xf numFmtId="22" fontId="14" fillId="13" borderId="0" xfId="0" applyNumberFormat="1" applyFont="1" applyFill="1"/>
    <xf numFmtId="0" fontId="14" fillId="13" borderId="0" xfId="0" applyFont="1" applyFill="1" applyBorder="1"/>
    <xf numFmtId="0" fontId="14" fillId="13" borderId="0" xfId="0" applyFont="1" applyFill="1" applyBorder="1" applyAlignment="1">
      <alignment horizontal="center"/>
    </xf>
    <xf numFmtId="22" fontId="13" fillId="11" borderId="0" xfId="0" applyNumberFormat="1" applyFont="1" applyFill="1"/>
    <xf numFmtId="0" fontId="13" fillId="11" borderId="0" xfId="0" applyFont="1" applyFill="1" applyBorder="1" applyAlignment="1">
      <alignment horizontal="center"/>
    </xf>
    <xf numFmtId="0" fontId="13" fillId="11" borderId="0" xfId="0" applyFont="1" applyFill="1"/>
    <xf numFmtId="9" fontId="10" fillId="2" borderId="0" xfId="4" applyFont="1" applyFill="1" applyAlignment="1">
      <alignment horizontal="center"/>
    </xf>
    <xf numFmtId="0" fontId="13" fillId="11" borderId="0" xfId="0" applyFont="1" applyFill="1" applyAlignment="1">
      <alignment horizontal="center"/>
    </xf>
    <xf numFmtId="22" fontId="14" fillId="11" borderId="0" xfId="0" applyNumberFormat="1" applyFont="1" applyFill="1"/>
    <xf numFmtId="22" fontId="15" fillId="11" borderId="0" xfId="0" applyNumberFormat="1" applyFont="1" applyFill="1"/>
    <xf numFmtId="169" fontId="15" fillId="11" borderId="0" xfId="0" applyNumberFormat="1" applyFont="1" applyFill="1" applyAlignment="1">
      <alignment horizontal="center"/>
    </xf>
    <xf numFmtId="0" fontId="15" fillId="11" borderId="0" xfId="0" applyFont="1" applyFill="1" applyAlignment="1">
      <alignment horizontal="center"/>
    </xf>
    <xf numFmtId="169" fontId="11" fillId="11" borderId="0" xfId="0" applyNumberFormat="1" applyFont="1" applyFill="1" applyAlignment="1">
      <alignment horizontal="center"/>
    </xf>
    <xf numFmtId="168" fontId="10" fillId="2" borderId="0" xfId="0" applyNumberFormat="1" applyFont="1" applyFill="1"/>
    <xf numFmtId="0" fontId="15" fillId="11" borderId="0" xfId="0" applyFont="1" applyFill="1"/>
    <xf numFmtId="9" fontId="16" fillId="11" borderId="0" xfId="4" applyFont="1" applyFill="1" applyAlignment="1">
      <alignment horizontal="center"/>
    </xf>
    <xf numFmtId="3" fontId="15" fillId="11" borderId="0" xfId="0" applyNumberFormat="1" applyFont="1" applyFill="1" applyAlignment="1">
      <alignment horizontal="center"/>
    </xf>
    <xf numFmtId="178" fontId="15" fillId="11" borderId="0" xfId="0" applyNumberFormat="1" applyFont="1" applyFill="1" applyAlignment="1">
      <alignment horizontal="center"/>
    </xf>
    <xf numFmtId="171" fontId="15" fillId="11" borderId="0" xfId="4" applyNumberFormat="1" applyFont="1" applyFill="1" applyAlignment="1">
      <alignment horizontal="center"/>
    </xf>
    <xf numFmtId="171" fontId="15" fillId="11" borderId="0" xfId="0" applyNumberFormat="1" applyFont="1" applyFill="1"/>
    <xf numFmtId="171" fontId="11" fillId="11" borderId="0" xfId="4" applyNumberFormat="1" applyFont="1" applyFill="1" applyAlignment="1">
      <alignment horizontal="center"/>
    </xf>
    <xf numFmtId="22" fontId="17" fillId="11" borderId="0" xfId="0" applyNumberFormat="1" applyFont="1" applyFill="1"/>
    <xf numFmtId="22" fontId="15" fillId="13" borderId="0" xfId="0" applyNumberFormat="1" applyFont="1" applyFill="1" applyBorder="1"/>
    <xf numFmtId="22" fontId="15" fillId="13" borderId="0" xfId="0" applyNumberFormat="1" applyFont="1" applyFill="1"/>
    <xf numFmtId="0" fontId="15" fillId="13" borderId="0" xfId="0" applyFont="1" applyFill="1" applyBorder="1"/>
    <xf numFmtId="0" fontId="17" fillId="11" borderId="0" xfId="0" applyFont="1" applyFill="1"/>
    <xf numFmtId="0" fontId="15" fillId="11" borderId="0" xfId="0" applyFont="1" applyFill="1" applyBorder="1"/>
    <xf numFmtId="0" fontId="15" fillId="11" borderId="0" xfId="0" applyFont="1" applyFill="1" applyBorder="1" applyAlignment="1">
      <alignment horizontal="center"/>
    </xf>
    <xf numFmtId="38" fontId="10" fillId="2" borderId="0" xfId="0" applyNumberFormat="1" applyFont="1" applyFill="1"/>
    <xf numFmtId="171" fontId="10" fillId="2" borderId="0" xfId="0" applyNumberFormat="1" applyFont="1" applyFill="1" applyAlignment="1">
      <alignment horizontal="center"/>
    </xf>
    <xf numFmtId="44" fontId="10" fillId="2" borderId="0" xfId="7" applyFont="1" applyFill="1"/>
    <xf numFmtId="0" fontId="10" fillId="0" borderId="0" xfId="0" applyFont="1"/>
    <xf numFmtId="3" fontId="10" fillId="2" borderId="0" xfId="0" applyNumberFormat="1" applyFont="1" applyFill="1"/>
    <xf numFmtId="40" fontId="10" fillId="2" borderId="0" xfId="0" applyNumberFormat="1" applyFont="1" applyFill="1" applyAlignment="1">
      <alignment horizontal="center"/>
    </xf>
    <xf numFmtId="0" fontId="10" fillId="14" borderId="0" xfId="0" applyFont="1" applyFill="1"/>
    <xf numFmtId="0" fontId="10" fillId="11" borderId="0" xfId="0" applyFont="1" applyFill="1"/>
    <xf numFmtId="0" fontId="15" fillId="11" borderId="0" xfId="0" applyFont="1" applyFill="1" applyAlignment="1"/>
    <xf numFmtId="22" fontId="11" fillId="11" borderId="0" xfId="0" applyNumberFormat="1" applyFont="1" applyFill="1"/>
    <xf numFmtId="0" fontId="11" fillId="11" borderId="0" xfId="0" applyFont="1" applyFill="1"/>
    <xf numFmtId="0" fontId="11" fillId="11" borderId="0" xfId="0" applyFont="1" applyFill="1" applyAlignment="1">
      <alignment horizontal="center"/>
    </xf>
    <xf numFmtId="0" fontId="18" fillId="2" borderId="0" xfId="0" applyFont="1" applyFill="1"/>
    <xf numFmtId="0" fontId="20" fillId="2" borderId="0" xfId="1" applyFont="1" applyFill="1" applyAlignment="1">
      <alignment horizontal="center" vertical="center"/>
    </xf>
    <xf numFmtId="14" fontId="20" fillId="2" borderId="0" xfId="1" applyNumberFormat="1" applyFont="1" applyFill="1" applyAlignment="1">
      <alignment horizontal="center" vertical="center"/>
    </xf>
    <xf numFmtId="164" fontId="21" fillId="3" borderId="0" xfId="1" applyNumberFormat="1" applyFont="1" applyFill="1" applyAlignment="1">
      <alignment horizontal="left" vertical="center"/>
    </xf>
    <xf numFmtId="164" fontId="21" fillId="3" borderId="0" xfId="1" applyNumberFormat="1" applyFont="1" applyFill="1" applyAlignment="1">
      <alignment horizontal="center" vertical="center"/>
    </xf>
    <xf numFmtId="0" fontId="21" fillId="3" borderId="0" xfId="1" applyFont="1" applyFill="1" applyAlignment="1">
      <alignment horizontal="left" vertical="center"/>
    </xf>
    <xf numFmtId="164" fontId="21" fillId="3" borderId="0" xfId="1" applyNumberFormat="1" applyFont="1" applyFill="1" applyAlignment="1">
      <alignment horizontal="right" vertical="center"/>
    </xf>
    <xf numFmtId="0" fontId="22" fillId="2" borderId="0" xfId="0" applyFont="1" applyFill="1"/>
    <xf numFmtId="0" fontId="23" fillId="2" borderId="0" xfId="1" applyFont="1" applyFill="1" applyAlignment="1">
      <alignment horizontal="left" vertical="center"/>
    </xf>
    <xf numFmtId="166" fontId="24" fillId="2" borderId="0" xfId="1" applyNumberFormat="1" applyFont="1" applyFill="1" applyAlignment="1">
      <alignment horizontal="center" vertical="center"/>
    </xf>
    <xf numFmtId="166" fontId="24" fillId="8" borderId="0" xfId="1" applyNumberFormat="1" applyFont="1" applyFill="1" applyAlignment="1">
      <alignment horizontal="center" vertical="center"/>
    </xf>
    <xf numFmtId="166" fontId="25" fillId="8" borderId="0" xfId="1" applyNumberFormat="1" applyFont="1" applyFill="1" applyAlignment="1">
      <alignment horizontal="center" vertical="center"/>
    </xf>
    <xf numFmtId="0" fontId="26" fillId="2" borderId="0" xfId="0" applyFont="1" applyFill="1" applyBorder="1" applyAlignment="1">
      <alignment horizontal="center"/>
    </xf>
    <xf numFmtId="0" fontId="23" fillId="2" borderId="0" xfId="1" applyFont="1" applyFill="1" applyAlignment="1">
      <alignment horizontal="left" vertical="center" indent="2"/>
    </xf>
    <xf numFmtId="164" fontId="24" fillId="2" borderId="0" xfId="1" applyNumberFormat="1" applyFont="1" applyFill="1" applyAlignment="1">
      <alignment horizontal="center" vertical="center"/>
    </xf>
    <xf numFmtId="164" fontId="24" fillId="8" borderId="0" xfId="1" applyNumberFormat="1" applyFont="1" applyFill="1" applyAlignment="1">
      <alignment horizontal="center" vertical="center"/>
    </xf>
    <xf numFmtId="0" fontId="22" fillId="2" borderId="0" xfId="0" applyFont="1" applyFill="1" applyAlignment="1">
      <alignment horizontal="center"/>
    </xf>
    <xf numFmtId="166" fontId="25" fillId="2" borderId="0" xfId="1" applyNumberFormat="1" applyFont="1" applyFill="1" applyAlignment="1">
      <alignment horizontal="center" vertical="center"/>
    </xf>
    <xf numFmtId="164" fontId="22" fillId="2" borderId="0" xfId="0" applyNumberFormat="1" applyFont="1" applyFill="1" applyAlignment="1">
      <alignment horizontal="center"/>
    </xf>
    <xf numFmtId="164" fontId="23" fillId="2" borderId="0" xfId="1" applyNumberFormat="1" applyFont="1" applyFill="1" applyAlignment="1">
      <alignment horizontal="center" vertical="center"/>
    </xf>
    <xf numFmtId="164" fontId="23" fillId="2" borderId="0" xfId="1" applyNumberFormat="1" applyFont="1" applyFill="1" applyAlignment="1">
      <alignment horizontal="left" vertical="center"/>
    </xf>
    <xf numFmtId="164" fontId="25" fillId="8" borderId="0" xfId="1" applyNumberFormat="1" applyFont="1" applyFill="1" applyAlignment="1">
      <alignment horizontal="center" vertical="center"/>
    </xf>
    <xf numFmtId="0" fontId="22" fillId="2" borderId="0" xfId="0" applyFont="1" applyFill="1" applyAlignment="1">
      <alignment horizontal="left" indent="2"/>
    </xf>
    <xf numFmtId="0" fontId="22" fillId="8" borderId="0" xfId="0" applyFont="1" applyFill="1" applyAlignment="1">
      <alignment horizontal="center"/>
    </xf>
    <xf numFmtId="3" fontId="22" fillId="2" borderId="0" xfId="0" applyNumberFormat="1" applyFont="1" applyFill="1" applyAlignment="1">
      <alignment horizontal="center"/>
    </xf>
    <xf numFmtId="164" fontId="22" fillId="8" borderId="0" xfId="0" applyNumberFormat="1" applyFont="1" applyFill="1" applyAlignment="1">
      <alignment horizontal="center"/>
    </xf>
    <xf numFmtId="0" fontId="27" fillId="2" borderId="2" xfId="1" applyFont="1" applyFill="1" applyBorder="1" applyAlignment="1">
      <alignment horizontal="left" vertical="center"/>
    </xf>
    <xf numFmtId="0" fontId="28" fillId="2" borderId="2" xfId="0" applyFont="1" applyFill="1" applyBorder="1"/>
    <xf numFmtId="164" fontId="29" fillId="2" borderId="2" xfId="1" applyNumberFormat="1" applyFont="1" applyFill="1" applyBorder="1" applyAlignment="1">
      <alignment horizontal="center" vertical="center"/>
    </xf>
    <xf numFmtId="164" fontId="29" fillId="8" borderId="2" xfId="1" applyNumberFormat="1" applyFont="1" applyFill="1" applyBorder="1" applyAlignment="1">
      <alignment horizontal="center" vertical="center"/>
    </xf>
    <xf numFmtId="164" fontId="30" fillId="8" borderId="2" xfId="1" applyNumberFormat="1" applyFont="1" applyFill="1" applyBorder="1" applyAlignment="1">
      <alignment horizontal="center" vertical="center"/>
    </xf>
    <xf numFmtId="0" fontId="22" fillId="2" borderId="2" xfId="0" applyFont="1" applyFill="1" applyBorder="1" applyAlignment="1">
      <alignment horizontal="center"/>
    </xf>
    <xf numFmtId="0" fontId="22" fillId="2" borderId="0" xfId="0" applyFont="1" applyFill="1" applyAlignment="1">
      <alignment horizontal="left"/>
    </xf>
    <xf numFmtId="164" fontId="30" fillId="2" borderId="2" xfId="0" applyNumberFormat="1" applyFont="1" applyFill="1" applyBorder="1" applyAlignment="1">
      <alignment horizontal="center"/>
    </xf>
    <xf numFmtId="164" fontId="30" fillId="8" borderId="2" xfId="0" applyNumberFormat="1" applyFont="1" applyFill="1" applyBorder="1" applyAlignment="1">
      <alignment horizontal="center"/>
    </xf>
    <xf numFmtId="164" fontId="24" fillId="2" borderId="0" xfId="0" applyNumberFormat="1" applyFont="1" applyFill="1" applyAlignment="1">
      <alignment horizontal="center"/>
    </xf>
    <xf numFmtId="164" fontId="24" fillId="8" borderId="0" xfId="0" applyNumberFormat="1" applyFont="1" applyFill="1" applyAlignment="1">
      <alignment horizontal="center"/>
    </xf>
    <xf numFmtId="0" fontId="24" fillId="2" borderId="0" xfId="0" applyFont="1" applyFill="1" applyAlignment="1">
      <alignment horizontal="center"/>
    </xf>
    <xf numFmtId="165" fontId="24" fillId="2" borderId="0" xfId="0" applyNumberFormat="1" applyFont="1" applyFill="1" applyAlignment="1">
      <alignment horizontal="center"/>
    </xf>
    <xf numFmtId="165" fontId="24" fillId="8" borderId="0" xfId="0" applyNumberFormat="1" applyFont="1" applyFill="1" applyAlignment="1">
      <alignment horizontal="center"/>
    </xf>
    <xf numFmtId="164" fontId="28" fillId="2" borderId="2" xfId="0" applyNumberFormat="1" applyFont="1" applyFill="1" applyBorder="1" applyAlignment="1">
      <alignment horizontal="center"/>
    </xf>
    <xf numFmtId="164" fontId="28" fillId="8" borderId="2" xfId="0" applyNumberFormat="1" applyFont="1" applyFill="1" applyBorder="1" applyAlignment="1">
      <alignment horizontal="center"/>
    </xf>
    <xf numFmtId="3" fontId="22" fillId="2" borderId="0" xfId="0" applyNumberFormat="1" applyFont="1" applyFill="1"/>
    <xf numFmtId="0" fontId="28" fillId="2" borderId="0" xfId="0" applyFont="1" applyFill="1"/>
    <xf numFmtId="9" fontId="22" fillId="2" borderId="0" xfId="4" applyNumberFormat="1" applyFont="1" applyFill="1" applyAlignment="1">
      <alignment horizontal="center"/>
    </xf>
    <xf numFmtId="9" fontId="22" fillId="8" borderId="0" xfId="4" applyNumberFormat="1" applyFont="1" applyFill="1" applyAlignment="1">
      <alignment horizontal="center"/>
    </xf>
    <xf numFmtId="9" fontId="24" fillId="6" borderId="3" xfId="4" applyFont="1" applyFill="1" applyBorder="1" applyAlignment="1">
      <alignment horizontal="center"/>
    </xf>
    <xf numFmtId="9" fontId="24" fillId="2" borderId="0" xfId="4" applyFont="1" applyFill="1" applyBorder="1" applyAlignment="1">
      <alignment horizontal="center"/>
    </xf>
    <xf numFmtId="164" fontId="27" fillId="2" borderId="0" xfId="1" applyNumberFormat="1" applyFont="1" applyFill="1" applyAlignment="1">
      <alignment horizontal="center" vertical="center"/>
    </xf>
    <xf numFmtId="164" fontId="27" fillId="2" borderId="0" xfId="1" applyNumberFormat="1" applyFont="1" applyFill="1" applyAlignment="1">
      <alignment horizontal="left" vertical="center"/>
    </xf>
    <xf numFmtId="164" fontId="23" fillId="8" borderId="0" xfId="1" applyNumberFormat="1" applyFont="1" applyFill="1" applyAlignment="1">
      <alignment horizontal="center" vertical="center"/>
    </xf>
    <xf numFmtId="164" fontId="24" fillId="6" borderId="3" xfId="0" applyNumberFormat="1" applyFont="1" applyFill="1" applyBorder="1" applyAlignment="1">
      <alignment horizontal="center"/>
    </xf>
    <xf numFmtId="0" fontId="25" fillId="2" borderId="0" xfId="1" applyFont="1" applyFill="1" applyAlignment="1">
      <alignment horizontal="center" vertical="center"/>
    </xf>
    <xf numFmtId="0" fontId="25" fillId="2" borderId="0" xfId="1" applyFont="1" applyFill="1" applyAlignment="1">
      <alignment horizontal="left" vertical="center"/>
    </xf>
    <xf numFmtId="164" fontId="25" fillId="2" borderId="0" xfId="1" applyNumberFormat="1" applyFont="1" applyFill="1" applyAlignment="1">
      <alignment horizontal="center" vertical="center"/>
    </xf>
    <xf numFmtId="164" fontId="25" fillId="2" borderId="0" xfId="1" applyNumberFormat="1" applyFont="1" applyFill="1" applyAlignment="1">
      <alignment horizontal="left" vertical="center"/>
    </xf>
    <xf numFmtId="0" fontId="30" fillId="2" borderId="2" xfId="1" applyFont="1" applyFill="1" applyBorder="1" applyAlignment="1">
      <alignment horizontal="left" vertical="center"/>
    </xf>
    <xf numFmtId="0" fontId="18" fillId="8" borderId="0" xfId="0" applyFont="1" applyFill="1"/>
    <xf numFmtId="0" fontId="22" fillId="2" borderId="0" xfId="0" applyFont="1" applyFill="1" applyBorder="1"/>
    <xf numFmtId="0" fontId="22" fillId="2" borderId="2" xfId="0" applyFont="1" applyFill="1" applyBorder="1"/>
    <xf numFmtId="0" fontId="28" fillId="2" borderId="0" xfId="0" applyFont="1" applyFill="1" applyBorder="1"/>
    <xf numFmtId="164" fontId="29" fillId="2" borderId="0" xfId="0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center"/>
    </xf>
    <xf numFmtId="0" fontId="29" fillId="8" borderId="0" xfId="0" applyFont="1" applyFill="1" applyBorder="1" applyAlignment="1">
      <alignment horizontal="center"/>
    </xf>
    <xf numFmtId="0" fontId="22" fillId="8" borderId="0" xfId="0" applyFont="1" applyFill="1"/>
    <xf numFmtId="0" fontId="24" fillId="2" borderId="0" xfId="0" applyFont="1" applyFill="1"/>
    <xf numFmtId="9" fontId="22" fillId="2" borderId="0" xfId="4" applyFont="1" applyFill="1" applyAlignment="1">
      <alignment horizontal="center"/>
    </xf>
    <xf numFmtId="9" fontId="22" fillId="8" borderId="0" xfId="4" applyFont="1" applyFill="1" applyAlignment="1">
      <alignment horizontal="center"/>
    </xf>
    <xf numFmtId="2" fontId="28" fillId="2" borderId="2" xfId="0" applyNumberFormat="1" applyFont="1" applyFill="1" applyBorder="1" applyAlignment="1">
      <alignment horizontal="center"/>
    </xf>
    <xf numFmtId="2" fontId="28" fillId="8" borderId="2" xfId="0" applyNumberFormat="1" applyFont="1" applyFill="1" applyBorder="1" applyAlignment="1">
      <alignment horizontal="center"/>
    </xf>
    <xf numFmtId="3" fontId="24" fillId="2" borderId="0" xfId="0" applyNumberFormat="1" applyFont="1" applyFill="1" applyAlignment="1">
      <alignment horizontal="center"/>
    </xf>
    <xf numFmtId="3" fontId="24" fillId="8" borderId="0" xfId="0" applyNumberFormat="1" applyFont="1" applyFill="1" applyAlignment="1">
      <alignment horizontal="center"/>
    </xf>
    <xf numFmtId="0" fontId="24" fillId="8" borderId="0" xfId="0" applyFont="1" applyFill="1" applyAlignment="1">
      <alignment horizontal="center"/>
    </xf>
    <xf numFmtId="0" fontId="25" fillId="8" borderId="0" xfId="0" applyFont="1" applyFill="1" applyAlignment="1">
      <alignment horizontal="center"/>
    </xf>
    <xf numFmtId="164" fontId="32" fillId="2" borderId="0" xfId="1" applyNumberFormat="1" applyFont="1" applyFill="1" applyAlignment="1">
      <alignment horizontal="center" vertical="center"/>
    </xf>
    <xf numFmtId="164" fontId="32" fillId="2" borderId="0" xfId="1" applyNumberFormat="1" applyFont="1" applyFill="1" applyAlignment="1">
      <alignment horizontal="left" vertical="center"/>
    </xf>
    <xf numFmtId="0" fontId="32" fillId="2" borderId="0" xfId="1" applyFont="1" applyFill="1" applyAlignment="1">
      <alignment horizontal="left" vertical="center"/>
    </xf>
    <xf numFmtId="164" fontId="32" fillId="2" borderId="0" xfId="1" applyNumberFormat="1" applyFont="1" applyFill="1" applyAlignment="1">
      <alignment horizontal="right" vertical="center"/>
    </xf>
    <xf numFmtId="164" fontId="32" fillId="8" borderId="0" xfId="1" applyNumberFormat="1" applyFont="1" applyFill="1" applyAlignment="1">
      <alignment horizontal="right" vertical="center"/>
    </xf>
    <xf numFmtId="0" fontId="21" fillId="5" borderId="0" xfId="1" applyFont="1" applyFill="1" applyAlignment="1">
      <alignment horizontal="left" vertical="center"/>
    </xf>
    <xf numFmtId="164" fontId="21" fillId="5" borderId="0" xfId="1" applyNumberFormat="1" applyFont="1" applyFill="1" applyAlignment="1">
      <alignment horizontal="center" vertical="center"/>
    </xf>
    <xf numFmtId="164" fontId="21" fillId="5" borderId="0" xfId="1" applyNumberFormat="1" applyFont="1" applyFill="1" applyAlignment="1">
      <alignment horizontal="left" vertical="center"/>
    </xf>
    <xf numFmtId="0" fontId="18" fillId="5" borderId="0" xfId="0" applyFont="1" applyFill="1"/>
    <xf numFmtId="164" fontId="21" fillId="5" borderId="0" xfId="1" applyNumberFormat="1" applyFont="1" applyFill="1" applyAlignment="1">
      <alignment horizontal="right" vertical="center"/>
    </xf>
    <xf numFmtId="0" fontId="21" fillId="5" borderId="0" xfId="1" applyFont="1" applyFill="1" applyAlignment="1">
      <alignment horizontal="right" vertical="center"/>
    </xf>
    <xf numFmtId="0" fontId="22" fillId="5" borderId="0" xfId="0" applyFont="1" applyFill="1"/>
    <xf numFmtId="0" fontId="33" fillId="2" borderId="0" xfId="0" applyFont="1" applyFill="1"/>
    <xf numFmtId="0" fontId="25" fillId="2" borderId="0" xfId="3" applyFont="1" applyFill="1" applyAlignment="1">
      <alignment horizontal="left" vertical="center"/>
    </xf>
    <xf numFmtId="0" fontId="25" fillId="2" borderId="0" xfId="3" applyFont="1" applyFill="1" applyAlignment="1">
      <alignment horizontal="left" vertical="center" indent="2"/>
    </xf>
    <xf numFmtId="169" fontId="23" fillId="2" borderId="0" xfId="1" applyNumberFormat="1" applyFont="1" applyFill="1" applyAlignment="1">
      <alignment horizontal="center" vertical="center"/>
    </xf>
    <xf numFmtId="169" fontId="23" fillId="8" borderId="0" xfId="1" applyNumberFormat="1" applyFont="1" applyFill="1" applyAlignment="1">
      <alignment horizontal="center" vertical="center"/>
    </xf>
    <xf numFmtId="169" fontId="22" fillId="2" borderId="0" xfId="0" applyNumberFormat="1" applyFont="1" applyFill="1" applyAlignment="1">
      <alignment horizontal="center"/>
    </xf>
    <xf numFmtId="168" fontId="24" fillId="2" borderId="0" xfId="1" applyNumberFormat="1" applyFont="1" applyFill="1" applyAlignment="1">
      <alignment horizontal="center" vertical="center"/>
    </xf>
    <xf numFmtId="168" fontId="24" fillId="8" borderId="0" xfId="1" applyNumberFormat="1" applyFont="1" applyFill="1" applyAlignment="1">
      <alignment horizontal="center" vertical="center"/>
    </xf>
    <xf numFmtId="168" fontId="23" fillId="2" borderId="0" xfId="1" applyNumberFormat="1" applyFont="1" applyFill="1" applyAlignment="1">
      <alignment horizontal="center" vertical="center"/>
    </xf>
    <xf numFmtId="168" fontId="23" fillId="8" borderId="0" xfId="1" applyNumberFormat="1" applyFont="1" applyFill="1" applyAlignment="1">
      <alignment horizontal="center" vertical="center"/>
    </xf>
    <xf numFmtId="1" fontId="22" fillId="2" borderId="0" xfId="0" applyNumberFormat="1" applyFont="1" applyFill="1" applyAlignment="1">
      <alignment horizontal="center"/>
    </xf>
    <xf numFmtId="0" fontId="30" fillId="2" borderId="4" xfId="3" applyFont="1" applyFill="1" applyBorder="1" applyAlignment="1">
      <alignment horizontal="left" vertical="center"/>
    </xf>
    <xf numFmtId="0" fontId="28" fillId="2" borderId="4" xfId="0" applyFont="1" applyFill="1" applyBorder="1"/>
    <xf numFmtId="164" fontId="29" fillId="2" borderId="4" xfId="1" applyNumberFormat="1" applyFont="1" applyFill="1" applyBorder="1" applyAlignment="1">
      <alignment horizontal="center" vertical="center"/>
    </xf>
    <xf numFmtId="164" fontId="29" fillId="8" borderId="4" xfId="1" applyNumberFormat="1" applyFont="1" applyFill="1" applyBorder="1" applyAlignment="1">
      <alignment horizontal="center" vertical="center"/>
    </xf>
    <xf numFmtId="164" fontId="24" fillId="8" borderId="4" xfId="1" applyNumberFormat="1" applyFont="1" applyFill="1" applyBorder="1" applyAlignment="1">
      <alignment horizontal="center" vertical="center"/>
    </xf>
    <xf numFmtId="164" fontId="30" fillId="2" borderId="4" xfId="1" applyNumberFormat="1" applyFont="1" applyFill="1" applyBorder="1" applyAlignment="1">
      <alignment horizontal="center" vertical="center"/>
    </xf>
    <xf numFmtId="0" fontId="28" fillId="2" borderId="4" xfId="0" applyFont="1" applyFill="1" applyBorder="1" applyAlignment="1">
      <alignment horizontal="center"/>
    </xf>
    <xf numFmtId="164" fontId="24" fillId="8" borderId="0" xfId="1" applyNumberFormat="1" applyFont="1" applyFill="1" applyBorder="1" applyAlignment="1">
      <alignment horizontal="center" vertical="center"/>
    </xf>
    <xf numFmtId="164" fontId="25" fillId="8" borderId="0" xfId="1" applyNumberFormat="1" applyFont="1" applyFill="1" applyBorder="1" applyAlignment="1">
      <alignment horizontal="center" vertical="center"/>
    </xf>
    <xf numFmtId="164" fontId="23" fillId="8" borderId="4" xfId="1" applyNumberFormat="1" applyFont="1" applyFill="1" applyBorder="1" applyAlignment="1">
      <alignment horizontal="center" vertical="center"/>
    </xf>
    <xf numFmtId="0" fontId="30" fillId="2" borderId="2" xfId="3" applyFont="1" applyFill="1" applyBorder="1" applyAlignment="1">
      <alignment horizontal="left" vertical="center"/>
    </xf>
    <xf numFmtId="164" fontId="30" fillId="2" borderId="2" xfId="1" applyNumberFormat="1" applyFont="1" applyFill="1" applyBorder="1" applyAlignment="1">
      <alignment horizontal="center" vertical="center"/>
    </xf>
    <xf numFmtId="0" fontId="28" fillId="2" borderId="2" xfId="0" applyFont="1" applyFill="1" applyBorder="1" applyAlignment="1">
      <alignment horizontal="center"/>
    </xf>
    <xf numFmtId="0" fontId="30" fillId="2" borderId="0" xfId="3" applyFont="1" applyFill="1" applyBorder="1" applyAlignment="1">
      <alignment horizontal="left" vertical="center"/>
    </xf>
    <xf numFmtId="164" fontId="29" fillId="2" borderId="0" xfId="1" applyNumberFormat="1" applyFont="1" applyFill="1" applyBorder="1" applyAlignment="1">
      <alignment horizontal="center" vertical="center"/>
    </xf>
    <xf numFmtId="164" fontId="29" fillId="8" borderId="0" xfId="1" applyNumberFormat="1" applyFont="1" applyFill="1" applyBorder="1" applyAlignment="1">
      <alignment horizontal="center" vertical="center"/>
    </xf>
    <xf numFmtId="0" fontId="28" fillId="2" borderId="0" xfId="0" applyFont="1" applyFill="1" applyBorder="1" applyAlignment="1">
      <alignment horizontal="center"/>
    </xf>
    <xf numFmtId="9" fontId="25" fillId="2" borderId="0" xfId="4" applyFont="1" applyFill="1" applyBorder="1" applyAlignment="1">
      <alignment horizontal="center" vertical="center"/>
    </xf>
    <xf numFmtId="9" fontId="25" fillId="8" borderId="0" xfId="4" applyFont="1" applyFill="1" applyBorder="1" applyAlignment="1">
      <alignment horizontal="center" vertical="center"/>
    </xf>
    <xf numFmtId="164" fontId="34" fillId="5" borderId="0" xfId="1" applyNumberFormat="1" applyFont="1" applyFill="1" applyAlignment="1">
      <alignment horizontal="left" vertical="center"/>
    </xf>
    <xf numFmtId="0" fontId="34" fillId="5" borderId="0" xfId="1" applyFont="1" applyFill="1" applyAlignment="1">
      <alignment horizontal="left" vertical="center"/>
    </xf>
    <xf numFmtId="164" fontId="34" fillId="5" borderId="0" xfId="1" applyNumberFormat="1" applyFont="1" applyFill="1" applyAlignment="1">
      <alignment horizontal="right" vertical="center"/>
    </xf>
    <xf numFmtId="0" fontId="34" fillId="5" borderId="0" xfId="1" applyFont="1" applyFill="1" applyAlignment="1">
      <alignment horizontal="right" vertical="center"/>
    </xf>
    <xf numFmtId="0" fontId="24" fillId="2" borderId="0" xfId="0" applyFont="1" applyFill="1" applyBorder="1" applyAlignment="1">
      <alignment horizontal="center"/>
    </xf>
    <xf numFmtId="164" fontId="23" fillId="2" borderId="0" xfId="1" applyNumberFormat="1" applyFont="1" applyFill="1" applyAlignment="1">
      <alignment horizontal="right" vertical="center"/>
    </xf>
    <xf numFmtId="164" fontId="23" fillId="8" borderId="0" xfId="1" applyNumberFormat="1" applyFont="1" applyFill="1" applyAlignment="1">
      <alignment horizontal="right" vertical="center"/>
    </xf>
    <xf numFmtId="164" fontId="34" fillId="5" borderId="0" xfId="1" applyNumberFormat="1" applyFont="1" applyFill="1" applyAlignment="1">
      <alignment horizontal="center" vertical="center"/>
    </xf>
    <xf numFmtId="2" fontId="23" fillId="8" borderId="0" xfId="1" applyNumberFormat="1" applyFont="1" applyFill="1" applyAlignment="1">
      <alignment horizontal="center" vertical="center"/>
    </xf>
    <xf numFmtId="2" fontId="22" fillId="2" borderId="0" xfId="0" applyNumberFormat="1" applyFont="1" applyFill="1" applyAlignment="1">
      <alignment horizontal="center"/>
    </xf>
    <xf numFmtId="167" fontId="22" fillId="2" borderId="0" xfId="0" applyNumberFormat="1" applyFont="1" applyFill="1" applyAlignment="1">
      <alignment horizontal="center"/>
    </xf>
    <xf numFmtId="0" fontId="25" fillId="2" borderId="0" xfId="3" applyFont="1" applyFill="1" applyBorder="1" applyAlignment="1">
      <alignment horizontal="left" vertical="center"/>
    </xf>
    <xf numFmtId="9" fontId="34" fillId="5" borderId="0" xfId="4" applyFont="1" applyFill="1" applyAlignment="1">
      <alignment horizontal="center" vertical="center"/>
    </xf>
    <xf numFmtId="169" fontId="23" fillId="2" borderId="0" xfId="1" applyNumberFormat="1" applyFont="1" applyFill="1" applyAlignment="1">
      <alignment horizontal="right" vertical="center"/>
    </xf>
    <xf numFmtId="166" fontId="23" fillId="8" borderId="0" xfId="1" applyNumberFormat="1" applyFont="1" applyFill="1" applyAlignment="1">
      <alignment horizontal="center" vertical="center"/>
    </xf>
    <xf numFmtId="164" fontId="25" fillId="8" borderId="4" xfId="1" applyNumberFormat="1" applyFont="1" applyFill="1" applyBorder="1" applyAlignment="1">
      <alignment horizontal="center" vertical="center"/>
    </xf>
    <xf numFmtId="164" fontId="25" fillId="2" borderId="0" xfId="1" applyNumberFormat="1" applyFont="1" applyFill="1" applyBorder="1" applyAlignment="1">
      <alignment horizontal="center" vertical="center"/>
    </xf>
    <xf numFmtId="0" fontId="25" fillId="2" borderId="0" xfId="0" applyFont="1" applyFill="1" applyBorder="1" applyAlignment="1">
      <alignment horizontal="center"/>
    </xf>
    <xf numFmtId="164" fontId="23" fillId="2" borderId="0" xfId="1" applyNumberFormat="1" applyFont="1" applyFill="1" applyAlignment="1">
      <alignment vertical="center"/>
    </xf>
    <xf numFmtId="0" fontId="21" fillId="3" borderId="0" xfId="1" applyFont="1" applyFill="1" applyAlignment="1">
      <alignment horizontal="right" vertical="center"/>
    </xf>
    <xf numFmtId="166" fontId="23" fillId="2" borderId="0" xfId="1" applyNumberFormat="1" applyFont="1" applyFill="1" applyAlignment="1">
      <alignment horizontal="center" vertical="center"/>
    </xf>
    <xf numFmtId="164" fontId="25" fillId="2" borderId="0" xfId="3" applyNumberFormat="1" applyFont="1" applyFill="1" applyAlignment="1">
      <alignment horizontal="left" vertical="center"/>
    </xf>
    <xf numFmtId="164" fontId="24" fillId="2" borderId="0" xfId="3" applyNumberFormat="1" applyFont="1" applyFill="1" applyAlignment="1">
      <alignment horizontal="center" vertical="center"/>
    </xf>
    <xf numFmtId="164" fontId="24" fillId="8" borderId="0" xfId="3" applyNumberFormat="1" applyFont="1" applyFill="1" applyAlignment="1">
      <alignment horizontal="center" vertical="center"/>
    </xf>
    <xf numFmtId="164" fontId="25" fillId="2" borderId="0" xfId="3" applyNumberFormat="1" applyFont="1" applyFill="1" applyAlignment="1">
      <alignment horizontal="center" vertical="center"/>
    </xf>
    <xf numFmtId="164" fontId="25" fillId="8" borderId="0" xfId="3" applyNumberFormat="1" applyFont="1" applyFill="1" applyAlignment="1">
      <alignment horizontal="center" vertical="center"/>
    </xf>
    <xf numFmtId="165" fontId="25" fillId="2" borderId="0" xfId="3" applyNumberFormat="1" applyFont="1" applyFill="1" applyAlignment="1">
      <alignment horizontal="center" vertical="center"/>
    </xf>
    <xf numFmtId="165" fontId="25" fillId="2" borderId="0" xfId="3" applyNumberFormat="1" applyFont="1" applyFill="1" applyAlignment="1">
      <alignment horizontal="left" vertical="center"/>
    </xf>
    <xf numFmtId="165" fontId="24" fillId="2" borderId="0" xfId="3" applyNumberFormat="1" applyFont="1" applyFill="1" applyAlignment="1">
      <alignment horizontal="center" vertical="center"/>
    </xf>
    <xf numFmtId="165" fontId="24" fillId="8" borderId="0" xfId="3" applyNumberFormat="1" applyFont="1" applyFill="1" applyAlignment="1">
      <alignment horizontal="center" vertical="center"/>
    </xf>
    <xf numFmtId="165" fontId="25" fillId="8" borderId="0" xfId="3" applyNumberFormat="1" applyFont="1" applyFill="1" applyAlignment="1">
      <alignment horizontal="center" vertical="center"/>
    </xf>
    <xf numFmtId="0" fontId="25" fillId="2" borderId="0" xfId="0" applyFont="1" applyFill="1" applyAlignment="1">
      <alignment horizontal="center"/>
    </xf>
    <xf numFmtId="164" fontId="25" fillId="2" borderId="0" xfId="3" applyNumberFormat="1" applyFont="1" applyFill="1" applyBorder="1" applyAlignment="1">
      <alignment horizontal="center" vertical="center"/>
    </xf>
    <xf numFmtId="164" fontId="25" fillId="2" borderId="0" xfId="3" applyNumberFormat="1" applyFont="1" applyFill="1" applyBorder="1" applyAlignment="1">
      <alignment horizontal="left" vertical="center"/>
    </xf>
    <xf numFmtId="164" fontId="30" fillId="2" borderId="4" xfId="3" applyNumberFormat="1" applyFont="1" applyFill="1" applyBorder="1" applyAlignment="1">
      <alignment horizontal="center" vertical="center"/>
    </xf>
    <xf numFmtId="164" fontId="30" fillId="8" borderId="4" xfId="3" applyNumberFormat="1" applyFont="1" applyFill="1" applyBorder="1" applyAlignment="1">
      <alignment horizontal="center" vertical="center"/>
    </xf>
    <xf numFmtId="164" fontId="23" fillId="2" borderId="0" xfId="1" applyNumberFormat="1" applyFont="1" applyFill="1" applyBorder="1" applyAlignment="1">
      <alignment horizontal="center" vertical="center"/>
    </xf>
    <xf numFmtId="164" fontId="23" fillId="2" borderId="0" xfId="1" applyNumberFormat="1" applyFont="1" applyFill="1" applyBorder="1" applyAlignment="1">
      <alignment horizontal="left" vertical="center"/>
    </xf>
    <xf numFmtId="164" fontId="29" fillId="2" borderId="0" xfId="1" applyNumberFormat="1" applyFont="1" applyFill="1" applyAlignment="1">
      <alignment horizontal="center" vertical="center"/>
    </xf>
    <xf numFmtId="164" fontId="25" fillId="2" borderId="0" xfId="0" applyNumberFormat="1" applyFont="1" applyFill="1" applyAlignment="1">
      <alignment horizontal="center"/>
    </xf>
    <xf numFmtId="164" fontId="25" fillId="8" borderId="0" xfId="0" applyNumberFormat="1" applyFont="1" applyFill="1" applyAlignment="1">
      <alignment horizontal="center"/>
    </xf>
    <xf numFmtId="164" fontId="30" fillId="2" borderId="0" xfId="0" applyNumberFormat="1" applyFont="1" applyFill="1" applyAlignment="1">
      <alignment horizontal="center"/>
    </xf>
    <xf numFmtId="164" fontId="30" fillId="8" borderId="0" xfId="0" applyNumberFormat="1" applyFont="1" applyFill="1" applyAlignment="1">
      <alignment horizontal="center"/>
    </xf>
    <xf numFmtId="0" fontId="28" fillId="2" borderId="0" xfId="0" applyFont="1" applyFill="1" applyAlignment="1">
      <alignment horizontal="center"/>
    </xf>
    <xf numFmtId="164" fontId="27" fillId="2" borderId="0" xfId="1" applyNumberFormat="1" applyFont="1" applyFill="1" applyBorder="1" applyAlignment="1">
      <alignment horizontal="center" vertical="center"/>
    </xf>
    <xf numFmtId="164" fontId="28" fillId="2" borderId="0" xfId="0" applyNumberFormat="1" applyFont="1" applyFill="1" applyBorder="1" applyAlignment="1">
      <alignment horizontal="center"/>
    </xf>
    <xf numFmtId="164" fontId="28" fillId="8" borderId="0" xfId="0" applyNumberFormat="1" applyFont="1" applyFill="1" applyBorder="1" applyAlignment="1">
      <alignment horizontal="center"/>
    </xf>
    <xf numFmtId="2" fontId="22" fillId="2" borderId="0" xfId="4" applyNumberFormat="1" applyFont="1" applyFill="1" applyAlignment="1">
      <alignment horizontal="center"/>
    </xf>
    <xf numFmtId="2" fontId="22" fillId="8" borderId="0" xfId="4" applyNumberFormat="1" applyFont="1" applyFill="1" applyAlignment="1">
      <alignment horizontal="center"/>
    </xf>
    <xf numFmtId="165" fontId="30" fillId="2" borderId="2" xfId="3" applyNumberFormat="1" applyFont="1" applyFill="1" applyBorder="1" applyAlignment="1">
      <alignment horizontal="center" vertical="center"/>
    </xf>
    <xf numFmtId="165" fontId="30" fillId="8" borderId="2" xfId="3" applyNumberFormat="1" applyFont="1" applyFill="1" applyBorder="1" applyAlignment="1">
      <alignment horizontal="center" vertical="center"/>
    </xf>
    <xf numFmtId="0" fontId="30" fillId="8" borderId="2" xfId="3" applyNumberFormat="1" applyFont="1" applyFill="1" applyBorder="1" applyAlignment="1">
      <alignment horizontal="center" vertical="center"/>
    </xf>
    <xf numFmtId="164" fontId="30" fillId="2" borderId="0" xfId="3" applyNumberFormat="1" applyFont="1" applyFill="1" applyAlignment="1">
      <alignment horizontal="center" vertical="center"/>
    </xf>
    <xf numFmtId="164" fontId="30" fillId="2" borderId="0" xfId="3" applyNumberFormat="1" applyFont="1" applyFill="1" applyAlignment="1">
      <alignment horizontal="left" vertical="center"/>
    </xf>
    <xf numFmtId="0" fontId="30" fillId="2" borderId="0" xfId="3" applyFont="1" applyFill="1" applyAlignment="1">
      <alignment horizontal="left" vertical="center"/>
    </xf>
    <xf numFmtId="165" fontId="35" fillId="2" borderId="0" xfId="3" applyNumberFormat="1" applyFont="1" applyFill="1" applyAlignment="1">
      <alignment horizontal="center" vertical="center"/>
    </xf>
    <xf numFmtId="165" fontId="35" fillId="8" borderId="0" xfId="3" applyNumberFormat="1" applyFont="1" applyFill="1" applyAlignment="1">
      <alignment horizontal="center" vertical="center"/>
    </xf>
    <xf numFmtId="0" fontId="35" fillId="2" borderId="0" xfId="0" applyFont="1" applyFill="1" applyAlignment="1">
      <alignment horizontal="center"/>
    </xf>
    <xf numFmtId="9" fontId="23" fillId="2" borderId="0" xfId="4" applyFont="1" applyFill="1" applyAlignment="1">
      <alignment horizontal="center" vertical="center"/>
    </xf>
    <xf numFmtId="9" fontId="23" fillId="8" borderId="0" xfId="4" applyFont="1" applyFill="1" applyAlignment="1">
      <alignment horizontal="center" vertical="center"/>
    </xf>
    <xf numFmtId="164" fontId="29" fillId="8" borderId="0" xfId="1" applyNumberFormat="1" applyFont="1" applyFill="1" applyAlignment="1">
      <alignment horizontal="center" vertical="center"/>
    </xf>
    <xf numFmtId="0" fontId="21" fillId="5" borderId="0" xfId="1" applyFont="1" applyFill="1" applyAlignment="1">
      <alignment horizontal="center" vertical="center"/>
    </xf>
    <xf numFmtId="0" fontId="18" fillId="5" borderId="0" xfId="0" applyFont="1" applyFill="1" applyAlignment="1">
      <alignment horizontal="center"/>
    </xf>
    <xf numFmtId="164" fontId="28" fillId="2" borderId="4" xfId="0" applyNumberFormat="1" applyFont="1" applyFill="1" applyBorder="1"/>
    <xf numFmtId="164" fontId="29" fillId="2" borderId="4" xfId="0" applyNumberFormat="1" applyFont="1" applyFill="1" applyBorder="1" applyAlignment="1">
      <alignment horizontal="center"/>
    </xf>
    <xf numFmtId="164" fontId="29" fillId="8" borderId="4" xfId="0" applyNumberFormat="1" applyFont="1" applyFill="1" applyBorder="1" applyAlignment="1">
      <alignment horizontal="center"/>
    </xf>
    <xf numFmtId="164" fontId="24" fillId="6" borderId="6" xfId="0" applyNumberFormat="1" applyFont="1" applyFill="1" applyBorder="1" applyAlignment="1">
      <alignment horizontal="center"/>
    </xf>
    <xf numFmtId="164" fontId="24" fillId="2" borderId="0" xfId="1" applyNumberFormat="1" applyFont="1" applyFill="1" applyBorder="1" applyAlignment="1">
      <alignment horizontal="center" vertical="center"/>
    </xf>
    <xf numFmtId="165" fontId="25" fillId="2" borderId="0" xfId="3" applyNumberFormat="1" applyFont="1" applyFill="1" applyAlignment="1">
      <alignment horizontal="right" vertical="center"/>
    </xf>
    <xf numFmtId="165" fontId="25" fillId="8" borderId="0" xfId="3" applyNumberFormat="1" applyFont="1" applyFill="1" applyAlignment="1">
      <alignment horizontal="right" vertical="center"/>
    </xf>
    <xf numFmtId="0" fontId="36" fillId="2" borderId="0" xfId="0" applyFont="1" applyFill="1"/>
    <xf numFmtId="164" fontId="37" fillId="2" borderId="0" xfId="1" applyNumberFormat="1" applyFont="1" applyFill="1" applyAlignment="1">
      <alignment horizontal="left" vertical="center"/>
    </xf>
    <xf numFmtId="0" fontId="36" fillId="2" borderId="0" xfId="0" applyFont="1" applyFill="1" applyAlignment="1">
      <alignment horizontal="center"/>
    </xf>
    <xf numFmtId="0" fontId="36" fillId="8" borderId="0" xfId="0" applyFont="1" applyFill="1" applyAlignment="1">
      <alignment horizontal="center"/>
    </xf>
    <xf numFmtId="164" fontId="38" fillId="2" borderId="0" xfId="3" applyNumberFormat="1" applyFont="1" applyFill="1" applyAlignment="1">
      <alignment horizontal="center" vertical="center"/>
    </xf>
    <xf numFmtId="164" fontId="38" fillId="8" borderId="0" xfId="3" applyNumberFormat="1" applyFont="1" applyFill="1" applyAlignment="1">
      <alignment horizontal="center" vertical="center"/>
    </xf>
    <xf numFmtId="164" fontId="38" fillId="2" borderId="0" xfId="3" applyNumberFormat="1" applyFont="1" applyFill="1" applyAlignment="1">
      <alignment horizontal="left" vertical="center"/>
    </xf>
    <xf numFmtId="0" fontId="38" fillId="2" borderId="0" xfId="3" applyFont="1" applyFill="1" applyAlignment="1">
      <alignment horizontal="left" vertical="center"/>
    </xf>
    <xf numFmtId="164" fontId="39" fillId="2" borderId="0" xfId="3" applyNumberFormat="1" applyFont="1" applyFill="1" applyAlignment="1">
      <alignment horizontal="center" vertical="center"/>
    </xf>
    <xf numFmtId="164" fontId="39" fillId="8" borderId="0" xfId="3" applyNumberFormat="1" applyFont="1" applyFill="1" applyAlignment="1">
      <alignment horizontal="center" vertical="center"/>
    </xf>
    <xf numFmtId="164" fontId="36" fillId="2" borderId="0" xfId="0" applyNumberFormat="1" applyFont="1" applyFill="1" applyAlignment="1">
      <alignment horizontal="center"/>
    </xf>
    <xf numFmtId="168" fontId="36" fillId="2" borderId="0" xfId="0" applyNumberFormat="1" applyFont="1" applyFill="1" applyAlignment="1">
      <alignment horizontal="center"/>
    </xf>
    <xf numFmtId="0" fontId="36" fillId="8" borderId="0" xfId="0" applyFont="1" applyFill="1"/>
    <xf numFmtId="0" fontId="41" fillId="2" borderId="4" xfId="0" applyFont="1" applyFill="1" applyBorder="1" applyAlignment="1">
      <alignment horizontal="center"/>
    </xf>
    <xf numFmtId="0" fontId="36" fillId="2" borderId="0" xfId="0" applyFont="1" applyFill="1" applyBorder="1" applyAlignment="1">
      <alignment horizontal="center"/>
    </xf>
    <xf numFmtId="164" fontId="38" fillId="2" borderId="0" xfId="1" applyNumberFormat="1" applyFont="1" applyFill="1" applyBorder="1" applyAlignment="1">
      <alignment horizontal="center" vertical="center"/>
    </xf>
    <xf numFmtId="164" fontId="38" fillId="8" borderId="0" xfId="1" applyNumberFormat="1" applyFont="1" applyFill="1" applyBorder="1" applyAlignment="1">
      <alignment horizontal="center" vertical="center"/>
    </xf>
    <xf numFmtId="164" fontId="37" fillId="2" borderId="0" xfId="1" applyNumberFormat="1" applyFont="1" applyFill="1" applyAlignment="1">
      <alignment horizontal="center" vertical="center"/>
    </xf>
    <xf numFmtId="0" fontId="41" fillId="2" borderId="2" xfId="0" applyFont="1" applyFill="1" applyBorder="1" applyAlignment="1">
      <alignment horizontal="center"/>
    </xf>
    <xf numFmtId="164" fontId="40" fillId="2" borderId="2" xfId="3" applyNumberFormat="1" applyFont="1" applyFill="1" applyBorder="1" applyAlignment="1">
      <alignment horizontal="center" vertical="center"/>
    </xf>
    <xf numFmtId="164" fontId="40" fillId="8" borderId="2" xfId="3" applyNumberFormat="1" applyFont="1" applyFill="1" applyBorder="1" applyAlignment="1">
      <alignment horizontal="center" vertical="center"/>
    </xf>
    <xf numFmtId="0" fontId="41" fillId="2" borderId="2" xfId="0" applyFont="1" applyFill="1" applyBorder="1"/>
    <xf numFmtId="0" fontId="36" fillId="2" borderId="0" xfId="0" applyFont="1" applyFill="1" applyBorder="1"/>
    <xf numFmtId="165" fontId="39" fillId="2" borderId="0" xfId="3" applyNumberFormat="1" applyFont="1" applyFill="1" applyBorder="1" applyAlignment="1">
      <alignment horizontal="center" vertical="center"/>
    </xf>
    <xf numFmtId="165" fontId="39" fillId="8" borderId="0" xfId="3" applyNumberFormat="1" applyFont="1" applyFill="1" applyBorder="1" applyAlignment="1">
      <alignment horizontal="center" vertical="center"/>
    </xf>
    <xf numFmtId="0" fontId="39" fillId="2" borderId="0" xfId="0" applyFont="1" applyFill="1" applyAlignment="1">
      <alignment horizontal="center"/>
    </xf>
    <xf numFmtId="0" fontId="40" fillId="2" borderId="0" xfId="3" applyFont="1" applyFill="1" applyAlignment="1">
      <alignment horizontal="left" vertical="center"/>
    </xf>
    <xf numFmtId="0" fontId="41" fillId="2" borderId="0" xfId="0" applyFont="1" applyFill="1" applyAlignment="1">
      <alignment horizontal="center"/>
    </xf>
    <xf numFmtId="164" fontId="40" fillId="2" borderId="0" xfId="3" applyNumberFormat="1" applyFont="1" applyFill="1" applyAlignment="1">
      <alignment horizontal="center" vertical="center"/>
    </xf>
    <xf numFmtId="164" fontId="40" fillId="8" borderId="0" xfId="3" applyNumberFormat="1" applyFont="1" applyFill="1" applyAlignment="1">
      <alignment horizontal="center" vertical="center"/>
    </xf>
    <xf numFmtId="0" fontId="38" fillId="2" borderId="0" xfId="3" applyFont="1" applyFill="1" applyAlignment="1">
      <alignment horizontal="center" vertical="center"/>
    </xf>
    <xf numFmtId="164" fontId="40" fillId="2" borderId="2" xfId="0" applyNumberFormat="1" applyFont="1" applyFill="1" applyBorder="1" applyAlignment="1">
      <alignment horizontal="center"/>
    </xf>
    <xf numFmtId="164" fontId="40" fillId="8" borderId="2" xfId="0" applyNumberFormat="1" applyFont="1" applyFill="1" applyBorder="1" applyAlignment="1">
      <alignment horizontal="center"/>
    </xf>
    <xf numFmtId="9" fontId="38" fillId="2" borderId="0" xfId="4" applyFont="1" applyFill="1" applyAlignment="1">
      <alignment horizontal="center" vertical="center"/>
    </xf>
    <xf numFmtId="9" fontId="38" fillId="8" borderId="0" xfId="4" applyFont="1" applyFill="1" applyAlignment="1">
      <alignment horizontal="center" vertical="center"/>
    </xf>
    <xf numFmtId="9" fontId="38" fillId="2" borderId="0" xfId="4" applyFont="1" applyFill="1" applyAlignment="1">
      <alignment horizontal="center"/>
    </xf>
    <xf numFmtId="9" fontId="38" fillId="8" borderId="0" xfId="4" applyFont="1" applyFill="1" applyAlignment="1">
      <alignment horizontal="center"/>
    </xf>
    <xf numFmtId="164" fontId="39" fillId="2" borderId="0" xfId="0" applyNumberFormat="1" applyFont="1" applyFill="1" applyAlignment="1">
      <alignment horizontal="center"/>
    </xf>
    <xf numFmtId="164" fontId="39" fillId="8" borderId="0" xfId="0" applyNumberFormat="1" applyFont="1" applyFill="1" applyAlignment="1">
      <alignment horizontal="center"/>
    </xf>
    <xf numFmtId="0" fontId="38" fillId="2" borderId="0" xfId="3" applyFont="1" applyFill="1" applyBorder="1" applyAlignment="1">
      <alignment horizontal="center" vertical="center"/>
    </xf>
    <xf numFmtId="0" fontId="38" fillId="2" borderId="0" xfId="3" applyFont="1" applyFill="1" applyBorder="1" applyAlignment="1">
      <alignment horizontal="left" vertical="center"/>
    </xf>
    <xf numFmtId="164" fontId="39" fillId="2" borderId="0" xfId="0" applyNumberFormat="1" applyFont="1" applyFill="1" applyBorder="1" applyAlignment="1">
      <alignment horizontal="center"/>
    </xf>
    <xf numFmtId="164" fontId="39" fillId="8" borderId="0" xfId="0" applyNumberFormat="1" applyFont="1" applyFill="1" applyBorder="1" applyAlignment="1">
      <alignment horizontal="center"/>
    </xf>
    <xf numFmtId="164" fontId="36" fillId="8" borderId="0" xfId="0" applyNumberFormat="1" applyFont="1" applyFill="1" applyAlignment="1">
      <alignment horizontal="center"/>
    </xf>
    <xf numFmtId="0" fontId="22" fillId="2" borderId="0" xfId="0" applyFont="1" applyFill="1" applyBorder="1" applyAlignment="1">
      <alignment horizontal="center"/>
    </xf>
    <xf numFmtId="0" fontId="22" fillId="8" borderId="0" xfId="0" applyFont="1" applyFill="1" applyBorder="1" applyAlignment="1">
      <alignment horizontal="center"/>
    </xf>
    <xf numFmtId="169" fontId="24" fillId="8" borderId="0" xfId="0" applyNumberFormat="1" applyFont="1" applyFill="1" applyBorder="1" applyAlignment="1">
      <alignment horizontal="center"/>
    </xf>
    <xf numFmtId="169" fontId="24" fillId="2" borderId="0" xfId="0" applyNumberFormat="1" applyFont="1" applyFill="1" applyBorder="1" applyAlignment="1">
      <alignment horizontal="center"/>
    </xf>
    <xf numFmtId="164" fontId="22" fillId="2" borderId="0" xfId="0" applyNumberFormat="1" applyFont="1" applyFill="1" applyBorder="1" applyAlignment="1">
      <alignment horizontal="center"/>
    </xf>
    <xf numFmtId="164" fontId="22" fillId="8" borderId="0" xfId="0" applyNumberFormat="1" applyFont="1" applyFill="1" applyBorder="1" applyAlignment="1">
      <alignment horizontal="center"/>
    </xf>
    <xf numFmtId="164" fontId="25" fillId="2" borderId="0" xfId="0" applyNumberFormat="1" applyFont="1" applyFill="1" applyBorder="1" applyAlignment="1">
      <alignment horizontal="center"/>
    </xf>
    <xf numFmtId="164" fontId="22" fillId="8" borderId="4" xfId="0" applyNumberFormat="1" applyFont="1" applyFill="1" applyBorder="1" applyAlignment="1">
      <alignment horizontal="center"/>
    </xf>
    <xf numFmtId="164" fontId="30" fillId="8" borderId="0" xfId="1" applyNumberFormat="1" applyFont="1" applyFill="1" applyAlignment="1">
      <alignment horizontal="center" vertical="center"/>
    </xf>
    <xf numFmtId="10" fontId="22" fillId="8" borderId="0" xfId="4" applyNumberFormat="1" applyFont="1" applyFill="1" applyBorder="1" applyAlignment="1">
      <alignment horizontal="center"/>
    </xf>
    <xf numFmtId="9" fontId="22" fillId="8" borderId="0" xfId="4" applyFont="1" applyFill="1" applyBorder="1" applyAlignment="1">
      <alignment horizontal="center"/>
    </xf>
    <xf numFmtId="0" fontId="24" fillId="8" borderId="0" xfId="0" applyFont="1" applyFill="1" applyBorder="1" applyAlignment="1">
      <alignment horizontal="center"/>
    </xf>
    <xf numFmtId="0" fontId="41" fillId="2" borderId="0" xfId="0" applyFont="1" applyFill="1" applyBorder="1"/>
    <xf numFmtId="0" fontId="21" fillId="3" borderId="0" xfId="1" applyFont="1" applyFill="1" applyAlignment="1">
      <alignment horizontal="center" vertical="center"/>
    </xf>
    <xf numFmtId="0" fontId="25" fillId="0" borderId="0" xfId="3" applyFont="1" applyAlignment="1">
      <alignment horizontal="left" vertical="center"/>
    </xf>
    <xf numFmtId="164" fontId="30" fillId="2" borderId="0" xfId="1" applyNumberFormat="1" applyFont="1" applyFill="1" applyAlignment="1">
      <alignment horizontal="center" vertical="center"/>
    </xf>
    <xf numFmtId="0" fontId="25" fillId="2" borderId="0" xfId="0" applyFont="1" applyFill="1"/>
    <xf numFmtId="0" fontId="18" fillId="2" borderId="0" xfId="0" applyFont="1" applyFill="1" applyAlignment="1">
      <alignment horizontal="center"/>
    </xf>
    <xf numFmtId="0" fontId="18" fillId="8" borderId="0" xfId="0" applyFont="1" applyFill="1" applyAlignment="1">
      <alignment horizontal="center"/>
    </xf>
    <xf numFmtId="164" fontId="28" fillId="2" borderId="0" xfId="0" applyNumberFormat="1" applyFont="1" applyFill="1" applyAlignment="1">
      <alignment horizontal="center"/>
    </xf>
    <xf numFmtId="164" fontId="28" fillId="8" borderId="0" xfId="0" applyNumberFormat="1" applyFont="1" applyFill="1" applyAlignment="1">
      <alignment horizontal="center"/>
    </xf>
    <xf numFmtId="0" fontId="25" fillId="2" borderId="0" xfId="1" applyFont="1" applyFill="1" applyAlignment="1">
      <alignment horizontal="left" vertical="center" indent="2"/>
    </xf>
    <xf numFmtId="164" fontId="24" fillId="6" borderId="3" xfId="1" applyNumberFormat="1" applyFont="1" applyFill="1" applyBorder="1" applyAlignment="1">
      <alignment horizontal="center" vertical="center"/>
    </xf>
    <xf numFmtId="9" fontId="24" fillId="6" borderId="3" xfId="4" applyFont="1" applyFill="1" applyBorder="1" applyAlignment="1">
      <alignment horizontal="center" vertical="center"/>
    </xf>
    <xf numFmtId="174" fontId="24" fillId="8" borderId="0" xfId="0" applyNumberFormat="1" applyFont="1" applyFill="1" applyAlignment="1">
      <alignment horizontal="center"/>
    </xf>
    <xf numFmtId="0" fontId="26" fillId="2" borderId="0" xfId="0" applyFont="1" applyFill="1"/>
    <xf numFmtId="166" fontId="22" fillId="2" borderId="0" xfId="0" applyNumberFormat="1" applyFont="1" applyFill="1" applyBorder="1" applyAlignment="1">
      <alignment horizontal="center"/>
    </xf>
    <xf numFmtId="166" fontId="22" fillId="8" borderId="0" xfId="0" applyNumberFormat="1" applyFont="1" applyFill="1" applyBorder="1" applyAlignment="1">
      <alignment horizontal="center"/>
    </xf>
    <xf numFmtId="166" fontId="25" fillId="2" borderId="0" xfId="1" applyNumberFormat="1" applyFont="1" applyFill="1" applyBorder="1" applyAlignment="1">
      <alignment horizontal="center" vertical="center"/>
    </xf>
    <xf numFmtId="2" fontId="22" fillId="8" borderId="0" xfId="0" applyNumberFormat="1" applyFont="1" applyFill="1" applyAlignment="1">
      <alignment horizontal="center"/>
    </xf>
    <xf numFmtId="171" fontId="22" fillId="2" borderId="0" xfId="4" applyNumberFormat="1" applyFont="1" applyFill="1" applyAlignment="1">
      <alignment horizontal="center"/>
    </xf>
    <xf numFmtId="171" fontId="22" fillId="8" borderId="0" xfId="4" applyNumberFormat="1" applyFont="1" applyFill="1" applyAlignment="1">
      <alignment horizontal="center"/>
    </xf>
    <xf numFmtId="171" fontId="24" fillId="2" borderId="0" xfId="4" applyNumberFormat="1" applyFont="1" applyFill="1" applyBorder="1" applyAlignment="1">
      <alignment horizontal="center"/>
    </xf>
    <xf numFmtId="9" fontId="28" fillId="2" borderId="0" xfId="4" applyFont="1" applyFill="1" applyBorder="1" applyAlignment="1">
      <alignment horizontal="center"/>
    </xf>
    <xf numFmtId="0" fontId="30" fillId="3" borderId="0" xfId="1" applyFont="1" applyFill="1" applyAlignment="1">
      <alignment horizontal="left" vertical="center"/>
    </xf>
    <xf numFmtId="164" fontId="34" fillId="2" borderId="0" xfId="1" applyNumberFormat="1" applyFont="1" applyFill="1" applyAlignment="1">
      <alignment horizontal="left" vertical="center"/>
    </xf>
    <xf numFmtId="0" fontId="34" fillId="2" borderId="0" xfId="1" applyFont="1" applyFill="1" applyAlignment="1">
      <alignment horizontal="left" vertical="center"/>
    </xf>
    <xf numFmtId="0" fontId="30" fillId="2" borderId="0" xfId="1" applyFont="1" applyFill="1" applyAlignment="1">
      <alignment horizontal="left" vertical="center"/>
    </xf>
    <xf numFmtId="0" fontId="28" fillId="2" borderId="4" xfId="1" applyFont="1" applyFill="1" applyBorder="1" applyAlignment="1">
      <alignment horizontal="left" vertical="center"/>
    </xf>
    <xf numFmtId="0" fontId="25" fillId="7" borderId="0" xfId="1" applyFont="1" applyFill="1" applyAlignment="1">
      <alignment horizontal="center" vertical="center"/>
    </xf>
    <xf numFmtId="0" fontId="22" fillId="2" borderId="0" xfId="0" applyFont="1" applyFill="1" applyAlignment="1">
      <alignment horizontal="left" indent="1"/>
    </xf>
    <xf numFmtId="3" fontId="25" fillId="2" borderId="0" xfId="1" applyNumberFormat="1" applyFont="1" applyFill="1" applyAlignment="1">
      <alignment horizontal="center" vertical="center"/>
    </xf>
    <xf numFmtId="3" fontId="25" fillId="7" borderId="0" xfId="1" applyNumberFormat="1" applyFont="1" applyFill="1" applyAlignment="1">
      <alignment horizontal="center" vertical="center"/>
    </xf>
    <xf numFmtId="3" fontId="25" fillId="2" borderId="0" xfId="1" applyNumberFormat="1" applyFont="1" applyFill="1" applyBorder="1" applyAlignment="1">
      <alignment horizontal="center" vertical="center"/>
    </xf>
    <xf numFmtId="0" fontId="25" fillId="2" borderId="0" xfId="1" applyFont="1" applyFill="1" applyBorder="1" applyAlignment="1">
      <alignment horizontal="center" vertical="center"/>
    </xf>
    <xf numFmtId="1" fontId="25" fillId="2" borderId="0" xfId="1" applyNumberFormat="1" applyFont="1" applyFill="1" applyAlignment="1">
      <alignment horizontal="center" vertical="center"/>
    </xf>
    <xf numFmtId="9" fontId="25" fillId="2" borderId="0" xfId="4" applyFont="1" applyFill="1" applyAlignment="1">
      <alignment horizontal="center" vertical="center"/>
    </xf>
    <xf numFmtId="9" fontId="25" fillId="7" borderId="0" xfId="4" applyFont="1" applyFill="1" applyAlignment="1">
      <alignment horizontal="center" vertical="center"/>
    </xf>
    <xf numFmtId="172" fontId="25" fillId="2" borderId="0" xfId="1" applyNumberFormat="1" applyFont="1" applyFill="1" applyAlignment="1">
      <alignment horizontal="center" vertical="center"/>
    </xf>
    <xf numFmtId="172" fontId="25" fillId="7" borderId="0" xfId="1" applyNumberFormat="1" applyFont="1" applyFill="1" applyAlignment="1">
      <alignment horizontal="center" vertical="center"/>
    </xf>
    <xf numFmtId="164" fontId="43" fillId="2" borderId="0" xfId="1" applyNumberFormat="1" applyFont="1" applyFill="1" applyAlignment="1">
      <alignment horizontal="left" vertical="center"/>
    </xf>
    <xf numFmtId="0" fontId="43" fillId="2" borderId="0" xfId="1" applyFont="1" applyFill="1" applyAlignment="1">
      <alignment horizontal="left" vertical="center"/>
    </xf>
    <xf numFmtId="0" fontId="43" fillId="2" borderId="0" xfId="1" applyFont="1" applyFill="1" applyAlignment="1">
      <alignment horizontal="center" vertical="center"/>
    </xf>
    <xf numFmtId="0" fontId="43" fillId="7" borderId="0" xfId="1" applyFont="1" applyFill="1" applyAlignment="1">
      <alignment horizontal="center" vertical="center"/>
    </xf>
    <xf numFmtId="0" fontId="34" fillId="2" borderId="0" xfId="1" applyFont="1" applyFill="1" applyAlignment="1">
      <alignment horizontal="center" vertical="center"/>
    </xf>
    <xf numFmtId="0" fontId="30" fillId="2" borderId="0" xfId="1" applyFont="1" applyFill="1" applyBorder="1" applyAlignment="1">
      <alignment horizontal="left" vertical="center"/>
    </xf>
    <xf numFmtId="0" fontId="30" fillId="2" borderId="0" xfId="1" applyFont="1" applyFill="1" applyAlignment="1">
      <alignment horizontal="center" vertical="center"/>
    </xf>
    <xf numFmtId="170" fontId="25" fillId="2" borderId="0" xfId="1" applyNumberFormat="1" applyFont="1" applyFill="1" applyAlignment="1">
      <alignment horizontal="center" vertical="center"/>
    </xf>
    <xf numFmtId="170" fontId="25" fillId="7" borderId="0" xfId="1" applyNumberFormat="1" applyFont="1" applyFill="1" applyAlignment="1">
      <alignment horizontal="center" vertical="center"/>
    </xf>
    <xf numFmtId="0" fontId="30" fillId="7" borderId="0" xfId="1" applyFont="1" applyFill="1" applyAlignment="1">
      <alignment horizontal="center" vertical="center"/>
    </xf>
    <xf numFmtId="0" fontId="28" fillId="2" borderId="0" xfId="1" applyFont="1" applyFill="1" applyAlignment="1">
      <alignment horizontal="left" vertical="center"/>
    </xf>
    <xf numFmtId="0" fontId="22" fillId="2" borderId="0" xfId="1" applyFont="1" applyFill="1" applyAlignment="1">
      <alignment horizontal="left" vertical="center"/>
    </xf>
    <xf numFmtId="164" fontId="25" fillId="7" borderId="0" xfId="1" applyNumberFormat="1" applyFont="1" applyFill="1" applyAlignment="1">
      <alignment horizontal="center" vertical="center"/>
    </xf>
    <xf numFmtId="0" fontId="22" fillId="7" borderId="0" xfId="0" applyFont="1" applyFill="1"/>
    <xf numFmtId="164" fontId="22" fillId="2" borderId="0" xfId="1" applyNumberFormat="1" applyFont="1" applyFill="1" applyBorder="1" applyAlignment="1">
      <alignment horizontal="center" vertical="center"/>
    </xf>
    <xf numFmtId="171" fontId="25" fillId="2" borderId="0" xfId="4" applyNumberFormat="1" applyFont="1" applyFill="1" applyAlignment="1">
      <alignment horizontal="center" vertical="center"/>
    </xf>
    <xf numFmtId="171" fontId="25" fillId="7" borderId="0" xfId="4" applyNumberFormat="1" applyFont="1" applyFill="1" applyAlignment="1">
      <alignment horizontal="center" vertical="center"/>
    </xf>
    <xf numFmtId="173" fontId="24" fillId="2" borderId="0" xfId="1" applyNumberFormat="1" applyFont="1" applyFill="1" applyBorder="1" applyAlignment="1">
      <alignment horizontal="center" vertical="center"/>
    </xf>
    <xf numFmtId="0" fontId="28" fillId="2" borderId="0" xfId="0" applyFont="1" applyFill="1" applyAlignment="1">
      <alignment horizontal="left"/>
    </xf>
    <xf numFmtId="1" fontId="22" fillId="2" borderId="0" xfId="0" applyNumberFormat="1" applyFont="1" applyFill="1" applyAlignment="1">
      <alignment horizontal="left"/>
    </xf>
    <xf numFmtId="0" fontId="28" fillId="2" borderId="0" xfId="1" applyFont="1" applyFill="1" applyBorder="1" applyAlignment="1">
      <alignment horizontal="left" vertical="center"/>
    </xf>
    <xf numFmtId="164" fontId="30" fillId="2" borderId="0" xfId="1" applyNumberFormat="1" applyFont="1" applyFill="1" applyAlignment="1">
      <alignment horizontal="left" vertical="center"/>
    </xf>
    <xf numFmtId="3" fontId="24" fillId="2" borderId="0" xfId="1" applyNumberFormat="1" applyFont="1" applyFill="1" applyAlignment="1">
      <alignment horizontal="center" vertical="center"/>
    </xf>
    <xf numFmtId="3" fontId="24" fillId="8" borderId="0" xfId="1" applyNumberFormat="1" applyFont="1" applyFill="1" applyAlignment="1">
      <alignment horizontal="center" vertical="center"/>
    </xf>
    <xf numFmtId="3" fontId="25" fillId="2" borderId="0" xfId="0" applyNumberFormat="1" applyFont="1" applyFill="1" applyAlignment="1">
      <alignment horizontal="center"/>
    </xf>
    <xf numFmtId="0" fontId="44" fillId="2" borderId="0" xfId="0" applyFont="1" applyFill="1" applyAlignment="1">
      <alignment horizontal="center"/>
    </xf>
    <xf numFmtId="3" fontId="25" fillId="8" borderId="0" xfId="1" applyNumberFormat="1" applyFont="1" applyFill="1" applyAlignment="1">
      <alignment horizontal="center" vertical="center"/>
    </xf>
    <xf numFmtId="1" fontId="25" fillId="2" borderId="0" xfId="0" applyNumberFormat="1" applyFont="1" applyFill="1" applyAlignment="1">
      <alignment horizontal="center"/>
    </xf>
    <xf numFmtId="3" fontId="30" fillId="2" borderId="2" xfId="0" applyNumberFormat="1" applyFont="1" applyFill="1" applyBorder="1" applyAlignment="1">
      <alignment horizontal="center"/>
    </xf>
    <xf numFmtId="0" fontId="24" fillId="8" borderId="0" xfId="0" applyFont="1" applyFill="1"/>
    <xf numFmtId="3" fontId="30" fillId="2" borderId="2" xfId="1" applyNumberFormat="1" applyFont="1" applyFill="1" applyBorder="1" applyAlignment="1">
      <alignment horizontal="center" vertical="center"/>
    </xf>
    <xf numFmtId="3" fontId="30" fillId="8" borderId="2" xfId="1" applyNumberFormat="1" applyFont="1" applyFill="1" applyBorder="1" applyAlignment="1">
      <alignment horizontal="center" vertical="center"/>
    </xf>
    <xf numFmtId="0" fontId="30" fillId="2" borderId="5" xfId="1" applyFont="1" applyFill="1" applyBorder="1" applyAlignment="1">
      <alignment horizontal="left" vertical="center"/>
    </xf>
    <xf numFmtId="0" fontId="22" fillId="2" borderId="5" xfId="0" applyFont="1" applyFill="1" applyBorder="1" applyAlignment="1">
      <alignment horizontal="center"/>
    </xf>
    <xf numFmtId="3" fontId="30" fillId="2" borderId="5" xfId="1" applyNumberFormat="1" applyFont="1" applyFill="1" applyBorder="1" applyAlignment="1">
      <alignment horizontal="center" vertical="center"/>
    </xf>
    <xf numFmtId="3" fontId="30" fillId="8" borderId="5" xfId="1" applyNumberFormat="1" applyFont="1" applyFill="1" applyBorder="1" applyAlignment="1">
      <alignment horizontal="center" vertical="center"/>
    </xf>
    <xf numFmtId="3" fontId="29" fillId="2" borderId="0" xfId="1" applyNumberFormat="1" applyFont="1" applyFill="1" applyAlignment="1">
      <alignment horizontal="center" vertical="center"/>
    </xf>
    <xf numFmtId="3" fontId="29" fillId="8" borderId="0" xfId="1" applyNumberFormat="1" applyFont="1" applyFill="1" applyAlignment="1">
      <alignment horizontal="center" vertical="center"/>
    </xf>
    <xf numFmtId="0" fontId="25" fillId="2" borderId="2" xfId="0" applyFont="1" applyFill="1" applyBorder="1" applyAlignment="1">
      <alignment horizontal="center"/>
    </xf>
    <xf numFmtId="3" fontId="30" fillId="2" borderId="0" xfId="1" applyNumberFormat="1" applyFont="1" applyFill="1" applyAlignment="1">
      <alignment horizontal="center" vertical="center"/>
    </xf>
    <xf numFmtId="3" fontId="30" fillId="8" borderId="0" xfId="1" applyNumberFormat="1" applyFont="1" applyFill="1" applyAlignment="1">
      <alignment horizontal="center" vertical="center"/>
    </xf>
    <xf numFmtId="0" fontId="30" fillId="8" borderId="0" xfId="1" applyFont="1" applyFill="1" applyAlignment="1">
      <alignment horizontal="center" vertical="center"/>
    </xf>
    <xf numFmtId="0" fontId="25" fillId="2" borderId="0" xfId="1" applyFont="1" applyFill="1" applyAlignment="1">
      <alignment horizontal="left" vertical="center" indent="4"/>
    </xf>
    <xf numFmtId="0" fontId="22" fillId="2" borderId="0" xfId="0" applyFont="1" applyFill="1" applyAlignment="1">
      <alignment horizontal="left" indent="4"/>
    </xf>
    <xf numFmtId="0" fontId="25" fillId="2" borderId="0" xfId="0" applyFont="1" applyFill="1" applyAlignment="1">
      <alignment horizontal="left" indent="4"/>
    </xf>
    <xf numFmtId="3" fontId="22" fillId="8" borderId="0" xfId="0" applyNumberFormat="1" applyFont="1" applyFill="1" applyAlignment="1">
      <alignment horizontal="center"/>
    </xf>
    <xf numFmtId="3" fontId="22" fillId="8" borderId="0" xfId="0" applyNumberFormat="1" applyFont="1" applyFill="1" applyBorder="1" applyAlignment="1">
      <alignment horizontal="center"/>
    </xf>
    <xf numFmtId="0" fontId="30" fillId="3" borderId="0" xfId="1" applyFont="1" applyFill="1" applyAlignment="1">
      <alignment horizontal="center" vertical="center"/>
    </xf>
    <xf numFmtId="164" fontId="45" fillId="2" borderId="0" xfId="1" applyNumberFormat="1" applyFont="1" applyFill="1" applyAlignment="1">
      <alignment horizontal="center" vertical="center"/>
    </xf>
    <xf numFmtId="9" fontId="25" fillId="2" borderId="0" xfId="4" applyFont="1" applyFill="1" applyAlignment="1">
      <alignment horizontal="center"/>
    </xf>
    <xf numFmtId="0" fontId="30" fillId="2" borderId="0" xfId="0" applyFont="1" applyFill="1" applyAlignment="1">
      <alignment horizontal="center"/>
    </xf>
    <xf numFmtId="0" fontId="30" fillId="2" borderId="0" xfId="0" applyFont="1" applyFill="1"/>
    <xf numFmtId="0" fontId="30" fillId="9" borderId="0" xfId="1" applyFont="1" applyFill="1" applyAlignment="1">
      <alignment horizontal="left" vertical="center"/>
    </xf>
    <xf numFmtId="0" fontId="28" fillId="9" borderId="0" xfId="0" applyFont="1" applyFill="1"/>
    <xf numFmtId="164" fontId="28" fillId="9" borderId="0" xfId="0" applyNumberFormat="1" applyFont="1" applyFill="1" applyAlignment="1">
      <alignment horizontal="center"/>
    </xf>
    <xf numFmtId="0" fontId="22" fillId="9" borderId="0" xfId="0" applyFont="1" applyFill="1"/>
    <xf numFmtId="0" fontId="25" fillId="9" borderId="0" xfId="0" applyFont="1" applyFill="1" applyAlignment="1">
      <alignment horizontal="center"/>
    </xf>
    <xf numFmtId="0" fontId="25" fillId="9" borderId="0" xfId="0" applyFont="1" applyFill="1"/>
    <xf numFmtId="165" fontId="25" fillId="2" borderId="0" xfId="1" applyNumberFormat="1" applyFont="1" applyFill="1" applyAlignment="1">
      <alignment horizontal="center" vertical="center"/>
    </xf>
    <xf numFmtId="165" fontId="25" fillId="8" borderId="0" xfId="1" applyNumberFormat="1" applyFont="1" applyFill="1" applyAlignment="1">
      <alignment horizontal="center" vertical="center"/>
    </xf>
    <xf numFmtId="0" fontId="30" fillId="2" borderId="2" xfId="1" applyFont="1" applyFill="1" applyBorder="1" applyAlignment="1">
      <alignment horizontal="left" vertical="center" indent="2"/>
    </xf>
    <xf numFmtId="0" fontId="30" fillId="2" borderId="0" xfId="1" applyFont="1" applyFill="1" applyAlignment="1">
      <alignment horizontal="left" vertical="center" indent="2"/>
    </xf>
    <xf numFmtId="0" fontId="20" fillId="2" borderId="0" xfId="1" applyFont="1" applyFill="1" applyAlignment="1">
      <alignment horizontal="right" vertical="center"/>
    </xf>
    <xf numFmtId="0" fontId="30" fillId="2" borderId="0" xfId="1" applyFont="1" applyFill="1" applyAlignment="1">
      <alignment horizontal="right" vertical="center"/>
    </xf>
    <xf numFmtId="0" fontId="45" fillId="2" borderId="0" xfId="1" applyFont="1" applyFill="1" applyAlignment="1">
      <alignment horizontal="left" vertical="center"/>
    </xf>
    <xf numFmtId="164" fontId="45" fillId="2" borderId="0" xfId="1" applyNumberFormat="1" applyFont="1" applyFill="1" applyAlignment="1">
      <alignment horizontal="right" vertical="center"/>
    </xf>
    <xf numFmtId="164" fontId="25" fillId="2" borderId="0" xfId="1" applyNumberFormat="1" applyFont="1" applyFill="1" applyAlignment="1">
      <alignment horizontal="right" vertical="center"/>
    </xf>
    <xf numFmtId="0" fontId="47" fillId="2" borderId="0" xfId="1" applyFont="1" applyFill="1" applyAlignment="1">
      <alignment horizontal="left" vertical="center"/>
    </xf>
    <xf numFmtId="0" fontId="47" fillId="2" borderId="0" xfId="1" applyFont="1" applyFill="1" applyAlignment="1">
      <alignment horizontal="right" vertical="center"/>
    </xf>
    <xf numFmtId="0" fontId="45" fillId="2" borderId="0" xfId="1" applyFont="1" applyFill="1" applyAlignment="1">
      <alignment horizontal="left" vertical="center" indent="2"/>
    </xf>
    <xf numFmtId="164" fontId="47" fillId="2" borderId="0" xfId="1" applyNumberFormat="1" applyFont="1" applyFill="1" applyAlignment="1">
      <alignment horizontal="right" vertical="center"/>
    </xf>
    <xf numFmtId="164" fontId="30" fillId="2" borderId="0" xfId="1" applyNumberFormat="1" applyFont="1" applyFill="1" applyAlignment="1">
      <alignment horizontal="right" vertical="center"/>
    </xf>
    <xf numFmtId="165" fontId="45" fillId="2" borderId="0" xfId="1" applyNumberFormat="1" applyFont="1" applyFill="1" applyAlignment="1">
      <alignment horizontal="right" vertical="center"/>
    </xf>
    <xf numFmtId="165" fontId="25" fillId="2" borderId="0" xfId="1" applyNumberFormat="1" applyFont="1" applyFill="1" applyAlignment="1">
      <alignment horizontal="right" vertical="center"/>
    </xf>
    <xf numFmtId="166" fontId="45" fillId="2" borderId="0" xfId="1" applyNumberFormat="1" applyFont="1" applyFill="1" applyAlignment="1">
      <alignment horizontal="right" vertical="center"/>
    </xf>
    <xf numFmtId="166" fontId="25" fillId="2" borderId="0" xfId="1" applyNumberFormat="1" applyFont="1" applyFill="1" applyAlignment="1">
      <alignment horizontal="right" vertical="center"/>
    </xf>
    <xf numFmtId="0" fontId="47" fillId="2" borderId="0" xfId="1" applyFont="1" applyFill="1" applyAlignment="1">
      <alignment horizontal="left" vertical="center" indent="2"/>
    </xf>
    <xf numFmtId="0" fontId="45" fillId="2" borderId="0" xfId="1" applyFont="1" applyFill="1" applyAlignment="1">
      <alignment horizontal="left" vertical="center" indent="4"/>
    </xf>
    <xf numFmtId="0" fontId="45" fillId="2" borderId="0" xfId="1" applyFont="1" applyFill="1" applyAlignment="1">
      <alignment horizontal="left" vertical="center" indent="3"/>
    </xf>
    <xf numFmtId="0" fontId="30" fillId="3" borderId="0" xfId="1" applyFont="1" applyFill="1" applyAlignment="1">
      <alignment horizontal="right" vertical="center"/>
    </xf>
    <xf numFmtId="0" fontId="48" fillId="2" borderId="0" xfId="1" applyFont="1" applyFill="1" applyAlignment="1">
      <alignment horizontal="left" vertical="center"/>
    </xf>
    <xf numFmtId="164" fontId="48" fillId="2" borderId="0" xfId="1" applyNumberFormat="1" applyFont="1" applyFill="1" applyAlignment="1">
      <alignment horizontal="right" vertical="center"/>
    </xf>
    <xf numFmtId="0" fontId="48" fillId="2" borderId="0" xfId="1" applyFont="1" applyFill="1" applyAlignment="1">
      <alignment horizontal="right" vertical="center"/>
    </xf>
    <xf numFmtId="0" fontId="32" fillId="2" borderId="0" xfId="1" applyFont="1" applyFill="1" applyAlignment="1">
      <alignment horizontal="left" vertical="center" indent="2"/>
    </xf>
    <xf numFmtId="0" fontId="48" fillId="2" borderId="0" xfId="1" applyFont="1" applyFill="1" applyAlignment="1">
      <alignment horizontal="left" vertical="center" indent="2"/>
    </xf>
    <xf numFmtId="0" fontId="32" fillId="2" borderId="0" xfId="1" applyFont="1" applyFill="1" applyAlignment="1">
      <alignment horizontal="left" vertical="center" indent="4"/>
    </xf>
    <xf numFmtId="0" fontId="49" fillId="2" borderId="0" xfId="1" applyFont="1" applyFill="1" applyAlignment="1">
      <alignment horizontal="left" vertical="center"/>
    </xf>
    <xf numFmtId="164" fontId="49" fillId="2" borderId="0" xfId="1" applyNumberFormat="1" applyFont="1" applyFill="1" applyAlignment="1">
      <alignment horizontal="right" vertical="center"/>
    </xf>
    <xf numFmtId="0" fontId="49" fillId="2" borderId="0" xfId="1" applyFont="1" applyFill="1" applyAlignment="1">
      <alignment horizontal="right" vertical="center"/>
    </xf>
    <xf numFmtId="0" fontId="25" fillId="2" borderId="0" xfId="1" applyFont="1" applyFill="1" applyAlignment="1">
      <alignment horizontal="right" vertical="center"/>
    </xf>
    <xf numFmtId="1" fontId="18" fillId="2" borderId="0" xfId="0" applyNumberFormat="1" applyFont="1" applyFill="1"/>
    <xf numFmtId="165" fontId="30" fillId="2" borderId="4" xfId="3" applyNumberFormat="1" applyFont="1" applyFill="1" applyBorder="1" applyAlignment="1">
      <alignment horizontal="center" vertical="center"/>
    </xf>
    <xf numFmtId="165" fontId="30" fillId="8" borderId="4" xfId="3" applyNumberFormat="1" applyFont="1" applyFill="1" applyBorder="1" applyAlignment="1">
      <alignment horizontal="center" vertical="center"/>
    </xf>
    <xf numFmtId="166" fontId="24" fillId="8" borderId="0" xfId="3" applyNumberFormat="1" applyFont="1" applyFill="1" applyAlignment="1">
      <alignment horizontal="center" vertical="center"/>
    </xf>
    <xf numFmtId="0" fontId="25" fillId="2" borderId="0" xfId="3" applyFont="1" applyFill="1" applyAlignment="1">
      <alignment horizontal="left" vertical="center" indent="1"/>
    </xf>
    <xf numFmtId="0" fontId="41" fillId="2" borderId="4" xfId="0" applyFont="1" applyFill="1" applyBorder="1"/>
    <xf numFmtId="164" fontId="18" fillId="8" borderId="0" xfId="0" applyNumberFormat="1" applyFont="1" applyFill="1" applyAlignment="1">
      <alignment horizontal="center"/>
    </xf>
    <xf numFmtId="164" fontId="18" fillId="2" borderId="0" xfId="0" applyNumberFormat="1" applyFont="1" applyFill="1" applyAlignment="1">
      <alignment horizontal="center"/>
    </xf>
    <xf numFmtId="0" fontId="19" fillId="2" borderId="4" xfId="0" applyFont="1" applyFill="1" applyBorder="1"/>
    <xf numFmtId="0" fontId="19" fillId="8" borderId="4" xfId="0" applyFont="1" applyFill="1" applyBorder="1"/>
    <xf numFmtId="1" fontId="36" fillId="2" borderId="0" xfId="2" applyNumberFormat="1" applyFont="1" applyFill="1" applyAlignment="1">
      <alignment horizontal="center"/>
    </xf>
    <xf numFmtId="1" fontId="36" fillId="2" borderId="0" xfId="0" applyNumberFormat="1" applyFont="1" applyFill="1" applyAlignment="1">
      <alignment horizontal="center"/>
    </xf>
    <xf numFmtId="168" fontId="36" fillId="8" borderId="0" xfId="0" applyNumberFormat="1" applyFont="1" applyFill="1" applyAlignment="1">
      <alignment horizontal="center"/>
    </xf>
    <xf numFmtId="7" fontId="36" fillId="2" borderId="0" xfId="0" applyNumberFormat="1" applyFont="1" applyFill="1" applyAlignment="1">
      <alignment horizontal="center"/>
    </xf>
    <xf numFmtId="7" fontId="36" fillId="8" borderId="0" xfId="0" applyNumberFormat="1" applyFont="1" applyFill="1" applyAlignment="1">
      <alignment horizontal="center"/>
    </xf>
    <xf numFmtId="0" fontId="39" fillId="8" borderId="0" xfId="0" applyFont="1" applyFill="1" applyAlignment="1">
      <alignment horizontal="center"/>
    </xf>
    <xf numFmtId="1" fontId="36" fillId="8" borderId="0" xfId="2" applyNumberFormat="1" applyFont="1" applyFill="1" applyAlignment="1">
      <alignment horizontal="center"/>
    </xf>
    <xf numFmtId="1" fontId="23" fillId="2" borderId="0" xfId="1" applyNumberFormat="1" applyFont="1" applyFill="1" applyAlignment="1">
      <alignment horizontal="center" vertical="center"/>
    </xf>
    <xf numFmtId="2" fontId="23" fillId="2" borderId="0" xfId="4" applyNumberFormat="1" applyFont="1" applyFill="1" applyAlignment="1">
      <alignment horizontal="center" vertical="center"/>
    </xf>
    <xf numFmtId="2" fontId="23" fillId="8" borderId="0" xfId="4" applyNumberFormat="1" applyFont="1" applyFill="1" applyAlignment="1">
      <alignment horizontal="center" vertical="center"/>
    </xf>
    <xf numFmtId="164" fontId="24" fillId="2" borderId="0" xfId="0" applyNumberFormat="1" applyFont="1" applyFill="1" applyBorder="1" applyAlignment="1">
      <alignment horizontal="center"/>
    </xf>
    <xf numFmtId="167" fontId="36" fillId="8" borderId="0" xfId="0" applyNumberFormat="1" applyFont="1" applyFill="1" applyAlignment="1">
      <alignment horizontal="center"/>
    </xf>
    <xf numFmtId="7" fontId="25" fillId="2" borderId="0" xfId="3" applyNumberFormat="1" applyFont="1" applyFill="1" applyAlignment="1">
      <alignment horizontal="center" vertical="center"/>
    </xf>
    <xf numFmtId="7" fontId="25" fillId="8" borderId="0" xfId="3" applyNumberFormat="1" applyFont="1" applyFill="1" applyAlignment="1">
      <alignment horizontal="center" vertical="center"/>
    </xf>
    <xf numFmtId="165" fontId="2" fillId="0" borderId="0" xfId="0" applyNumberFormat="1" applyFont="1" applyAlignment="1">
      <alignment horizontal="right" vertical="center"/>
    </xf>
    <xf numFmtId="0" fontId="36" fillId="2" borderId="4" xfId="0" applyFont="1" applyFill="1" applyBorder="1" applyAlignment="1">
      <alignment horizontal="center"/>
    </xf>
    <xf numFmtId="1" fontId="24" fillId="8" borderId="0" xfId="1" applyNumberFormat="1" applyFont="1" applyFill="1" applyAlignment="1">
      <alignment horizontal="center" vertical="center"/>
    </xf>
    <xf numFmtId="0" fontId="0" fillId="2" borderId="0" xfId="0" applyFill="1" applyAlignment="1">
      <alignment horizontal="center"/>
    </xf>
    <xf numFmtId="0" fontId="18" fillId="2" borderId="16" xfId="0" applyFont="1" applyFill="1" applyBorder="1"/>
    <xf numFmtId="0" fontId="18" fillId="2" borderId="17" xfId="0" applyFont="1" applyFill="1" applyBorder="1"/>
    <xf numFmtId="0" fontId="18" fillId="2" borderId="18" xfId="0" applyFont="1" applyFill="1" applyBorder="1"/>
    <xf numFmtId="0" fontId="18" fillId="2" borderId="0" xfId="0" applyFont="1" applyFill="1" applyBorder="1"/>
    <xf numFmtId="0" fontId="18" fillId="2" borderId="19" xfId="0" applyFont="1" applyFill="1" applyBorder="1"/>
    <xf numFmtId="0" fontId="18" fillId="2" borderId="20" xfId="0" applyFont="1" applyFill="1" applyBorder="1"/>
    <xf numFmtId="0" fontId="18" fillId="2" borderId="21" xfId="0" applyFont="1" applyFill="1" applyBorder="1"/>
    <xf numFmtId="0" fontId="18" fillId="2" borderId="22" xfId="0" applyFont="1" applyFill="1" applyBorder="1"/>
    <xf numFmtId="168" fontId="18" fillId="2" borderId="0" xfId="0" applyNumberFormat="1" applyFont="1" applyFill="1" applyBorder="1"/>
    <xf numFmtId="2" fontId="18" fillId="2" borderId="0" xfId="0" applyNumberFormat="1" applyFont="1" applyFill="1" applyBorder="1"/>
    <xf numFmtId="1" fontId="18" fillId="2" borderId="0" xfId="0" applyNumberFormat="1" applyFont="1" applyFill="1" applyBorder="1"/>
    <xf numFmtId="3" fontId="18" fillId="2" borderId="0" xfId="0" applyNumberFormat="1" applyFont="1" applyFill="1" applyBorder="1" applyAlignment="1">
      <alignment horizontal="center"/>
    </xf>
    <xf numFmtId="3" fontId="18" fillId="2" borderId="0" xfId="2" applyNumberFormat="1" applyFont="1" applyFill="1" applyBorder="1" applyAlignment="1">
      <alignment horizontal="center"/>
    </xf>
    <xf numFmtId="0" fontId="18" fillId="11" borderId="0" xfId="0" applyFont="1" applyFill="1" applyBorder="1"/>
    <xf numFmtId="3" fontId="50" fillId="11" borderId="0" xfId="0" applyNumberFormat="1" applyFont="1" applyFill="1" applyBorder="1" applyAlignment="1">
      <alignment horizontal="center"/>
    </xf>
    <xf numFmtId="0" fontId="50" fillId="11" borderId="0" xfId="0" applyFont="1" applyFill="1" applyBorder="1"/>
    <xf numFmtId="169" fontId="50" fillId="11" borderId="0" xfId="0" applyNumberFormat="1" applyFont="1" applyFill="1" applyBorder="1" applyAlignment="1">
      <alignment horizontal="center"/>
    </xf>
    <xf numFmtId="0" fontId="51" fillId="2" borderId="15" xfId="0" applyFont="1" applyFill="1" applyBorder="1"/>
    <xf numFmtId="4" fontId="50" fillId="11" borderId="0" xfId="0" applyNumberFormat="1" applyFont="1" applyFill="1" applyBorder="1" applyAlignment="1">
      <alignment horizontal="center"/>
    </xf>
    <xf numFmtId="2" fontId="18" fillId="2" borderId="0" xfId="0" applyNumberFormat="1" applyFont="1" applyFill="1" applyBorder="1" applyAlignment="1">
      <alignment horizontal="center"/>
    </xf>
    <xf numFmtId="170" fontId="19" fillId="2" borderId="0" xfId="0" applyNumberFormat="1" applyFont="1" applyFill="1" applyBorder="1" applyAlignment="1">
      <alignment horizontal="center"/>
    </xf>
    <xf numFmtId="170" fontId="19" fillId="2" borderId="0" xfId="0" applyNumberFormat="1" applyFont="1" applyFill="1" applyBorder="1"/>
    <xf numFmtId="180" fontId="18" fillId="2" borderId="0" xfId="0" applyNumberFormat="1" applyFont="1" applyFill="1" applyBorder="1"/>
    <xf numFmtId="168" fontId="19" fillId="2" borderId="0" xfId="0" applyNumberFormat="1" applyFont="1" applyFill="1" applyBorder="1" applyAlignment="1">
      <alignment horizontal="center"/>
    </xf>
    <xf numFmtId="0" fontId="18" fillId="2" borderId="0" xfId="0" applyFont="1" applyFill="1" applyBorder="1" applyAlignment="1">
      <alignment horizontal="center"/>
    </xf>
    <xf numFmtId="180" fontId="18" fillId="2" borderId="0" xfId="0" applyNumberFormat="1" applyFont="1" applyFill="1" applyBorder="1" applyAlignment="1">
      <alignment horizontal="center"/>
    </xf>
    <xf numFmtId="180" fontId="18" fillId="2" borderId="18" xfId="0" applyNumberFormat="1" applyFont="1" applyFill="1" applyBorder="1" applyAlignment="1">
      <alignment horizontal="center"/>
    </xf>
    <xf numFmtId="0" fontId="18" fillId="2" borderId="18" xfId="0" applyFont="1" applyFill="1" applyBorder="1" applyAlignment="1">
      <alignment horizontal="center"/>
    </xf>
    <xf numFmtId="0" fontId="18" fillId="15" borderId="0" xfId="0" applyFont="1" applyFill="1"/>
    <xf numFmtId="175" fontId="18" fillId="2" borderId="0" xfId="0" applyNumberFormat="1" applyFont="1" applyFill="1" applyBorder="1" applyAlignment="1">
      <alignment horizontal="left" indent="2"/>
    </xf>
    <xf numFmtId="0" fontId="18" fillId="11" borderId="19" xfId="0" applyFont="1" applyFill="1" applyBorder="1"/>
    <xf numFmtId="0" fontId="18" fillId="11" borderId="0" xfId="0" applyFont="1" applyFill="1"/>
    <xf numFmtId="9" fontId="19" fillId="2" borderId="0" xfId="4" applyFont="1" applyFill="1" applyAlignment="1">
      <alignment horizontal="center"/>
    </xf>
    <xf numFmtId="0" fontId="53" fillId="11" borderId="0" xfId="0" applyFont="1" applyFill="1" applyBorder="1"/>
    <xf numFmtId="0" fontId="18" fillId="16" borderId="0" xfId="0" applyFont="1" applyFill="1"/>
    <xf numFmtId="0" fontId="22" fillId="16" borderId="0" xfId="0" applyFont="1" applyFill="1"/>
    <xf numFmtId="0" fontId="18" fillId="11" borderId="16" xfId="0" applyFont="1" applyFill="1" applyBorder="1"/>
    <xf numFmtId="0" fontId="18" fillId="11" borderId="21" xfId="0" applyFont="1" applyFill="1" applyBorder="1"/>
    <xf numFmtId="168" fontId="18" fillId="11" borderId="0" xfId="0" applyNumberFormat="1" applyFont="1" applyFill="1" applyBorder="1"/>
    <xf numFmtId="0" fontId="54" fillId="0" borderId="0" xfId="0" applyFont="1"/>
    <xf numFmtId="167" fontId="54" fillId="0" borderId="0" xfId="0" applyNumberFormat="1" applyFont="1" applyAlignment="1">
      <alignment horizontal="center"/>
    </xf>
    <xf numFmtId="0" fontId="54" fillId="0" borderId="0" xfId="0" applyFont="1" applyAlignment="1">
      <alignment horizontal="center"/>
    </xf>
    <xf numFmtId="2" fontId="54" fillId="0" borderId="0" xfId="0" applyNumberFormat="1" applyFont="1" applyAlignment="1">
      <alignment horizontal="center"/>
    </xf>
    <xf numFmtId="2" fontId="54" fillId="0" borderId="0" xfId="4" applyNumberFormat="1" applyFont="1" applyAlignment="1">
      <alignment horizontal="center"/>
    </xf>
    <xf numFmtId="181" fontId="54" fillId="0" borderId="0" xfId="0" applyNumberFormat="1" applyFont="1" applyAlignment="1">
      <alignment horizontal="center"/>
    </xf>
    <xf numFmtId="167" fontId="54" fillId="0" borderId="0" xfId="0" applyNumberFormat="1" applyFont="1"/>
    <xf numFmtId="1" fontId="54" fillId="0" borderId="0" xfId="0" applyNumberFormat="1" applyFont="1" applyAlignment="1">
      <alignment horizontal="center"/>
    </xf>
    <xf numFmtId="1" fontId="54" fillId="0" borderId="0" xfId="0" applyNumberFormat="1" applyFont="1"/>
    <xf numFmtId="171" fontId="54" fillId="0" borderId="0" xfId="4" applyNumberFormat="1" applyFont="1" applyAlignment="1">
      <alignment horizontal="center"/>
    </xf>
    <xf numFmtId="169" fontId="18" fillId="2" borderId="0" xfId="0" applyNumberFormat="1" applyFont="1" applyFill="1" applyBorder="1"/>
    <xf numFmtId="0" fontId="0" fillId="11" borderId="0" xfId="0" applyFill="1"/>
    <xf numFmtId="0" fontId="22" fillId="11" borderId="0" xfId="0" applyFont="1" applyFill="1"/>
    <xf numFmtId="0" fontId="55" fillId="11" borderId="0" xfId="0" applyFont="1" applyFill="1" applyBorder="1"/>
    <xf numFmtId="0" fontId="56" fillId="11" borderId="0" xfId="0" applyFont="1" applyFill="1" applyBorder="1"/>
    <xf numFmtId="168" fontId="59" fillId="2" borderId="0" xfId="0" applyNumberFormat="1" applyFont="1" applyFill="1" applyBorder="1" applyAlignment="1">
      <alignment horizontal="center"/>
    </xf>
    <xf numFmtId="0" fontId="60" fillId="11" borderId="0" xfId="0" applyFont="1" applyFill="1" applyBorder="1"/>
    <xf numFmtId="0" fontId="56" fillId="11" borderId="16" xfId="0" applyFont="1" applyFill="1" applyBorder="1"/>
    <xf numFmtId="0" fontId="57" fillId="11" borderId="0" xfId="0" applyFont="1" applyFill="1" applyAlignment="1">
      <alignment vertical="center"/>
    </xf>
    <xf numFmtId="0" fontId="59" fillId="11" borderId="16" xfId="0" applyFont="1" applyFill="1" applyBorder="1"/>
    <xf numFmtId="0" fontId="59" fillId="11" borderId="0" xfId="0" applyFont="1" applyFill="1" applyBorder="1"/>
    <xf numFmtId="0" fontId="59" fillId="11" borderId="21" xfId="0" applyFont="1" applyFill="1" applyBorder="1"/>
    <xf numFmtId="0" fontId="52" fillId="11" borderId="0" xfId="0" applyFont="1" applyFill="1" applyAlignment="1">
      <alignment vertical="center" textRotation="90" wrapText="1"/>
    </xf>
    <xf numFmtId="0" fontId="61" fillId="11" borderId="0" xfId="0" applyFont="1" applyFill="1"/>
    <xf numFmtId="0" fontId="56" fillId="11" borderId="0" xfId="0" applyFont="1" applyFill="1"/>
    <xf numFmtId="177" fontId="62" fillId="11" borderId="16" xfId="7" applyNumberFormat="1" applyFont="1" applyFill="1" applyBorder="1" applyAlignment="1">
      <alignment horizontal="left" indent="3"/>
    </xf>
    <xf numFmtId="0" fontId="63" fillId="11" borderId="0" xfId="0" applyFont="1" applyFill="1" applyBorder="1"/>
    <xf numFmtId="0" fontId="64" fillId="11" borderId="0" xfId="0" applyFont="1" applyFill="1" applyBorder="1"/>
    <xf numFmtId="0" fontId="62" fillId="11" borderId="0" xfId="0" applyFont="1" applyFill="1" applyBorder="1"/>
    <xf numFmtId="176" fontId="63" fillId="11" borderId="0" xfId="0" applyNumberFormat="1" applyFont="1" applyFill="1" applyBorder="1" applyAlignment="1">
      <alignment horizontal="center"/>
    </xf>
    <xf numFmtId="0" fontId="61" fillId="11" borderId="0" xfId="0" applyFont="1" applyFill="1" applyBorder="1"/>
    <xf numFmtId="0" fontId="56" fillId="11" borderId="19" xfId="0" applyFont="1" applyFill="1" applyBorder="1"/>
    <xf numFmtId="171" fontId="59" fillId="2" borderId="0" xfId="4" applyNumberFormat="1" applyFont="1" applyFill="1" applyBorder="1" applyAlignment="1">
      <alignment horizontal="center"/>
    </xf>
    <xf numFmtId="8" fontId="0" fillId="0" borderId="0" xfId="0" applyNumberFormat="1"/>
    <xf numFmtId="182" fontId="0" fillId="0" borderId="0" xfId="0" applyNumberFormat="1"/>
    <xf numFmtId="6" fontId="0" fillId="0" borderId="0" xfId="0" applyNumberFormat="1"/>
    <xf numFmtId="175" fontId="0" fillId="0" borderId="0" xfId="2" applyNumberFormat="1" applyFont="1"/>
    <xf numFmtId="9" fontId="0" fillId="0" borderId="0" xfId="0" applyNumberFormat="1"/>
    <xf numFmtId="165" fontId="24" fillId="8" borderId="0" xfId="1" applyNumberFormat="1" applyFont="1" applyFill="1" applyAlignment="1">
      <alignment horizontal="center" vertical="center"/>
    </xf>
    <xf numFmtId="0" fontId="66" fillId="2" borderId="0" xfId="0" applyFont="1" applyFill="1"/>
    <xf numFmtId="0" fontId="33" fillId="2" borderId="0" xfId="0" applyFont="1" applyFill="1" applyAlignment="1">
      <alignment horizontal="left" indent="1"/>
    </xf>
    <xf numFmtId="0" fontId="66" fillId="2" borderId="4" xfId="0" applyFont="1" applyFill="1" applyBorder="1"/>
    <xf numFmtId="164" fontId="27" fillId="2" borderId="4" xfId="1" applyNumberFormat="1" applyFont="1" applyFill="1" applyBorder="1" applyAlignment="1">
      <alignment horizontal="center" vertical="center"/>
    </xf>
    <xf numFmtId="164" fontId="27" fillId="8" borderId="4" xfId="1" applyNumberFormat="1" applyFont="1" applyFill="1" applyBorder="1" applyAlignment="1">
      <alignment horizontal="center" vertical="center"/>
    </xf>
    <xf numFmtId="0" fontId="67" fillId="2" borderId="0" xfId="0" applyFont="1" applyFill="1"/>
    <xf numFmtId="0" fontId="68" fillId="2" borderId="0" xfId="0" applyFont="1" applyFill="1"/>
    <xf numFmtId="0" fontId="68" fillId="2" borderId="0" xfId="0" applyFont="1" applyFill="1" applyAlignment="1">
      <alignment horizontal="center"/>
    </xf>
    <xf numFmtId="169" fontId="69" fillId="2" borderId="0" xfId="7" applyNumberFormat="1" applyFont="1" applyFill="1" applyAlignment="1">
      <alignment horizontal="center" vertical="center"/>
    </xf>
    <xf numFmtId="169" fontId="69" fillId="8" borderId="0" xfId="7" applyNumberFormat="1" applyFont="1" applyFill="1" applyAlignment="1">
      <alignment horizontal="center" vertical="center"/>
    </xf>
    <xf numFmtId="169" fontId="68" fillId="2" borderId="0" xfId="7" applyNumberFormat="1" applyFont="1" applyFill="1" applyAlignment="1">
      <alignment horizontal="center"/>
    </xf>
    <xf numFmtId="169" fontId="23" fillId="2" borderId="0" xfId="4" applyNumberFormat="1" applyFont="1" applyFill="1" applyAlignment="1">
      <alignment horizontal="center" vertical="center"/>
    </xf>
    <xf numFmtId="169" fontId="23" fillId="8" borderId="0" xfId="4" applyNumberFormat="1" applyFont="1" applyFill="1" applyAlignment="1">
      <alignment horizontal="center" vertical="center"/>
    </xf>
    <xf numFmtId="169" fontId="24" fillId="6" borderId="3" xfId="0" applyNumberFormat="1" applyFont="1" applyFill="1" applyBorder="1" applyAlignment="1">
      <alignment horizontal="center"/>
    </xf>
    <xf numFmtId="0" fontId="33" fillId="2" borderId="0" xfId="0" applyFont="1" applyFill="1" applyBorder="1"/>
    <xf numFmtId="164" fontId="23" fillId="8" borderId="0" xfId="1" applyNumberFormat="1" applyFont="1" applyFill="1" applyBorder="1" applyAlignment="1">
      <alignment horizontal="center" vertical="center"/>
    </xf>
    <xf numFmtId="9" fontId="59" fillId="2" borderId="0" xfId="4" applyFont="1" applyFill="1" applyBorder="1" applyAlignment="1">
      <alignment horizontal="center"/>
    </xf>
    <xf numFmtId="9" fontId="22" fillId="2" borderId="0" xfId="4" applyFont="1" applyFill="1" applyBorder="1" applyAlignment="1">
      <alignment horizontal="center"/>
    </xf>
    <xf numFmtId="1" fontId="22" fillId="2" borderId="0" xfId="0" applyNumberFormat="1" applyFont="1" applyFill="1" applyBorder="1" applyAlignment="1">
      <alignment horizontal="center"/>
    </xf>
    <xf numFmtId="164" fontId="26" fillId="2" borderId="0" xfId="1" applyNumberFormat="1" applyFont="1" applyFill="1" applyAlignment="1">
      <alignment horizontal="center" vertical="center"/>
    </xf>
    <xf numFmtId="0" fontId="70" fillId="2" borderId="0" xfId="0" applyFont="1" applyFill="1"/>
    <xf numFmtId="166" fontId="24" fillId="8" borderId="0" xfId="1" applyNumberFormat="1" applyFont="1" applyFill="1" applyBorder="1" applyAlignment="1">
      <alignment horizontal="center" vertical="center"/>
    </xf>
    <xf numFmtId="0" fontId="28" fillId="8" borderId="0" xfId="0" applyFont="1" applyFill="1"/>
    <xf numFmtId="168" fontId="18" fillId="8" borderId="0" xfId="0" applyNumberFormat="1" applyFont="1" applyFill="1" applyAlignment="1">
      <alignment horizontal="center"/>
    </xf>
    <xf numFmtId="165" fontId="24" fillId="2" borderId="0" xfId="1" applyNumberFormat="1" applyFont="1" applyFill="1" applyAlignment="1">
      <alignment horizontal="center" vertical="center"/>
    </xf>
    <xf numFmtId="166" fontId="24" fillId="2" borderId="0" xfId="0" applyNumberFormat="1" applyFont="1" applyFill="1" applyBorder="1" applyAlignment="1">
      <alignment horizontal="center"/>
    </xf>
    <xf numFmtId="179" fontId="24" fillId="8" borderId="0" xfId="0" applyNumberFormat="1" applyFont="1" applyFill="1" applyBorder="1" applyAlignment="1">
      <alignment horizontal="center"/>
    </xf>
    <xf numFmtId="0" fontId="71" fillId="2" borderId="0" xfId="0" applyFont="1" applyFill="1"/>
    <xf numFmtId="10" fontId="24" fillId="2" borderId="0" xfId="1" applyNumberFormat="1" applyFont="1" applyFill="1" applyAlignment="1">
      <alignment horizontal="center" vertical="center"/>
    </xf>
    <xf numFmtId="0" fontId="24" fillId="6" borderId="6" xfId="0" applyFont="1" applyFill="1" applyBorder="1" applyAlignment="1">
      <alignment horizontal="center"/>
    </xf>
    <xf numFmtId="2" fontId="27" fillId="8" borderId="4" xfId="4" applyNumberFormat="1" applyFont="1" applyFill="1" applyBorder="1" applyAlignment="1">
      <alignment horizontal="center" vertical="center"/>
    </xf>
    <xf numFmtId="10" fontId="24" fillId="2" borderId="0" xfId="4" applyNumberFormat="1" applyFont="1" applyFill="1" applyAlignment="1">
      <alignment horizontal="center" vertical="center"/>
    </xf>
    <xf numFmtId="10" fontId="24" fillId="8" borderId="0" xfId="4" applyNumberFormat="1" applyFont="1" applyFill="1" applyAlignment="1">
      <alignment horizontal="center" vertical="center"/>
    </xf>
    <xf numFmtId="0" fontId="25" fillId="2" borderId="4" xfId="3" applyFont="1" applyFill="1" applyBorder="1" applyAlignment="1">
      <alignment horizontal="left" vertical="center"/>
    </xf>
    <xf numFmtId="0" fontId="22" fillId="2" borderId="4" xfId="0" applyFont="1" applyFill="1" applyBorder="1"/>
    <xf numFmtId="164" fontId="24" fillId="2" borderId="4" xfId="1" applyNumberFormat="1" applyFont="1" applyFill="1" applyBorder="1" applyAlignment="1">
      <alignment horizontal="center" vertical="center"/>
    </xf>
    <xf numFmtId="0" fontId="22" fillId="2" borderId="4" xfId="0" applyFont="1" applyFill="1" applyBorder="1" applyAlignment="1">
      <alignment horizontal="center"/>
    </xf>
    <xf numFmtId="168" fontId="25" fillId="2" borderId="0" xfId="1" applyNumberFormat="1" applyFont="1" applyFill="1" applyAlignment="1">
      <alignment horizontal="center" vertical="center"/>
    </xf>
    <xf numFmtId="168" fontId="25" fillId="8" borderId="0" xfId="1" applyNumberFormat="1" applyFont="1" applyFill="1" applyAlignment="1">
      <alignment horizontal="center" vertical="center"/>
    </xf>
    <xf numFmtId="168" fontId="29" fillId="2" borderId="4" xfId="1" applyNumberFormat="1" applyFont="1" applyFill="1" applyBorder="1" applyAlignment="1">
      <alignment horizontal="center" vertical="center"/>
    </xf>
    <xf numFmtId="168" fontId="29" fillId="8" borderId="4" xfId="1" applyNumberFormat="1" applyFont="1" applyFill="1" applyBorder="1" applyAlignment="1">
      <alignment horizontal="center" vertical="center"/>
    </xf>
    <xf numFmtId="183" fontId="71" fillId="8" borderId="0" xfId="0" applyNumberFormat="1" applyFont="1" applyFill="1" applyAlignment="1">
      <alignment horizontal="center"/>
    </xf>
    <xf numFmtId="0" fontId="30" fillId="2" borderId="8" xfId="3" applyFont="1" applyFill="1" applyBorder="1" applyAlignment="1">
      <alignment horizontal="left" vertical="center"/>
    </xf>
    <xf numFmtId="0" fontId="28" fillId="2" borderId="8" xfId="0" applyFont="1" applyFill="1" applyBorder="1"/>
    <xf numFmtId="164" fontId="29" fillId="2" borderId="8" xfId="1" applyNumberFormat="1" applyFont="1" applyFill="1" applyBorder="1" applyAlignment="1">
      <alignment horizontal="center" vertical="center"/>
    </xf>
    <xf numFmtId="164" fontId="29" fillId="8" borderId="8" xfId="1" applyNumberFormat="1" applyFont="1" applyFill="1" applyBorder="1" applyAlignment="1">
      <alignment horizontal="center" vertical="center"/>
    </xf>
    <xf numFmtId="0" fontId="28" fillId="2" borderId="8" xfId="0" applyFont="1" applyFill="1" applyBorder="1" applyAlignment="1">
      <alignment horizontal="center"/>
    </xf>
    <xf numFmtId="0" fontId="25" fillId="2" borderId="0" xfId="3" applyFont="1" applyFill="1" applyBorder="1" applyAlignment="1">
      <alignment horizontal="left" vertical="center" indent="2"/>
    </xf>
    <xf numFmtId="0" fontId="22" fillId="2" borderId="8" xfId="0" applyFont="1" applyFill="1" applyBorder="1"/>
    <xf numFmtId="164" fontId="23" fillId="2" borderId="8" xfId="1" applyNumberFormat="1" applyFont="1" applyFill="1" applyBorder="1" applyAlignment="1">
      <alignment horizontal="center" vertical="center"/>
    </xf>
    <xf numFmtId="164" fontId="30" fillId="2" borderId="8" xfId="1" applyNumberFormat="1" applyFont="1" applyFill="1" applyBorder="1" applyAlignment="1">
      <alignment horizontal="center" vertical="center"/>
    </xf>
    <xf numFmtId="44" fontId="23" fillId="2" borderId="0" xfId="1" applyNumberFormat="1" applyFont="1" applyFill="1" applyAlignment="1">
      <alignment horizontal="center" vertical="center"/>
    </xf>
    <xf numFmtId="44" fontId="23" fillId="2" borderId="0" xfId="7" applyFont="1" applyFill="1" applyAlignment="1">
      <alignment horizontal="center" vertical="center"/>
    </xf>
    <xf numFmtId="164" fontId="23" fillId="2" borderId="4" xfId="1" applyNumberFormat="1" applyFont="1" applyFill="1" applyBorder="1" applyAlignment="1">
      <alignment horizontal="center" vertical="center"/>
    </xf>
    <xf numFmtId="164" fontId="69" fillId="2" borderId="0" xfId="1" applyNumberFormat="1" applyFont="1" applyFill="1" applyAlignment="1">
      <alignment horizontal="center" vertical="center"/>
    </xf>
    <xf numFmtId="0" fontId="44" fillId="2" borderId="0" xfId="3" applyFont="1" applyFill="1" applyAlignment="1">
      <alignment horizontal="left" vertical="center"/>
    </xf>
    <xf numFmtId="0" fontId="72" fillId="2" borderId="0" xfId="3" applyFont="1" applyFill="1" applyBorder="1" applyAlignment="1">
      <alignment horizontal="left" vertical="center"/>
    </xf>
    <xf numFmtId="0" fontId="73" fillId="2" borderId="0" xfId="0" applyFont="1" applyFill="1" applyBorder="1"/>
    <xf numFmtId="164" fontId="44" fillId="2" borderId="0" xfId="1" applyNumberFormat="1" applyFont="1" applyFill="1" applyAlignment="1">
      <alignment horizontal="center" vertical="center"/>
    </xf>
    <xf numFmtId="164" fontId="44" fillId="8" borderId="0" xfId="1" applyNumberFormat="1" applyFont="1" applyFill="1" applyAlignment="1">
      <alignment horizontal="center" vertical="center"/>
    </xf>
    <xf numFmtId="0" fontId="74" fillId="2" borderId="0" xfId="0" applyFont="1" applyFill="1"/>
    <xf numFmtId="0" fontId="74" fillId="2" borderId="0" xfId="0" applyFont="1" applyFill="1" applyBorder="1"/>
    <xf numFmtId="164" fontId="23" fillId="8" borderId="8" xfId="1" applyNumberFormat="1" applyFont="1" applyFill="1" applyBorder="1" applyAlignment="1">
      <alignment horizontal="center" vertical="center"/>
    </xf>
    <xf numFmtId="164" fontId="30" fillId="8" borderId="8" xfId="1" applyNumberFormat="1" applyFont="1" applyFill="1" applyBorder="1" applyAlignment="1">
      <alignment horizontal="center" vertical="center"/>
    </xf>
    <xf numFmtId="44" fontId="23" fillId="8" borderId="0" xfId="1" applyNumberFormat="1" applyFont="1" applyFill="1" applyAlignment="1">
      <alignment horizontal="center" vertical="center"/>
    </xf>
    <xf numFmtId="44" fontId="23" fillId="8" borderId="0" xfId="7" applyFont="1" applyFill="1" applyAlignment="1">
      <alignment horizontal="center" vertical="center"/>
    </xf>
    <xf numFmtId="10" fontId="23" fillId="2" borderId="0" xfId="4" applyNumberFormat="1" applyFont="1" applyFill="1" applyAlignment="1">
      <alignment horizontal="center" vertical="center"/>
    </xf>
    <xf numFmtId="10" fontId="23" fillId="8" borderId="0" xfId="4" applyNumberFormat="1" applyFont="1" applyFill="1" applyAlignment="1">
      <alignment horizontal="center" vertical="center"/>
    </xf>
    <xf numFmtId="1" fontId="23" fillId="8" borderId="0" xfId="4" applyNumberFormat="1" applyFont="1" applyFill="1" applyAlignment="1">
      <alignment horizontal="center" vertical="center"/>
    </xf>
    <xf numFmtId="164" fontId="46" fillId="2" borderId="0" xfId="0" applyNumberFormat="1" applyFont="1" applyFill="1" applyAlignment="1">
      <alignment horizontal="center"/>
    </xf>
    <xf numFmtId="0" fontId="46" fillId="8" borderId="0" xfId="0" applyFont="1" applyFill="1" applyAlignment="1">
      <alignment horizontal="center"/>
    </xf>
    <xf numFmtId="3" fontId="23" fillId="2" borderId="0" xfId="2" applyNumberFormat="1" applyFont="1" applyFill="1" applyAlignment="1">
      <alignment horizontal="center" vertical="center"/>
    </xf>
    <xf numFmtId="183" fontId="23" fillId="2" borderId="0" xfId="1" applyNumberFormat="1" applyFont="1" applyFill="1" applyAlignment="1">
      <alignment horizontal="center" vertical="center"/>
    </xf>
    <xf numFmtId="2" fontId="0" fillId="0" borderId="0" xfId="0" applyNumberFormat="1"/>
    <xf numFmtId="2" fontId="70" fillId="0" borderId="0" xfId="0" applyNumberFormat="1" applyFont="1"/>
    <xf numFmtId="0" fontId="70" fillId="8" borderId="4" xfId="0" applyFont="1" applyFill="1" applyBorder="1"/>
    <xf numFmtId="168" fontId="70" fillId="8" borderId="4" xfId="0" applyNumberFormat="1" applyFont="1" applyFill="1" applyBorder="1"/>
    <xf numFmtId="14" fontId="0" fillId="2" borderId="0" xfId="0" applyNumberFormat="1" applyFill="1"/>
    <xf numFmtId="169" fontId="0" fillId="2" borderId="0" xfId="2" applyNumberFormat="1" applyFont="1" applyFill="1"/>
    <xf numFmtId="0" fontId="75" fillId="2" borderId="0" xfId="0" applyFont="1" applyFill="1" applyAlignment="1">
      <alignment horizontal="left" indent="2"/>
    </xf>
    <xf numFmtId="2" fontId="75" fillId="2" borderId="0" xfId="0" applyNumberFormat="1" applyFont="1" applyFill="1"/>
    <xf numFmtId="2" fontId="0" fillId="2" borderId="0" xfId="0" applyNumberFormat="1" applyFill="1"/>
    <xf numFmtId="169" fontId="0" fillId="2" borderId="0" xfId="0" applyNumberFormat="1" applyFill="1"/>
    <xf numFmtId="0" fontId="75" fillId="17" borderId="0" xfId="0" applyFont="1" applyFill="1" applyAlignment="1">
      <alignment horizontal="left" indent="2"/>
    </xf>
    <xf numFmtId="2" fontId="75" fillId="17" borderId="0" xfId="0" applyNumberFormat="1" applyFont="1" applyFill="1"/>
    <xf numFmtId="0" fontId="70" fillId="2" borderId="4" xfId="0" applyFont="1" applyFill="1" applyBorder="1"/>
    <xf numFmtId="2" fontId="70" fillId="2" borderId="4" xfId="0" applyNumberFormat="1" applyFont="1" applyFill="1" applyBorder="1"/>
    <xf numFmtId="0" fontId="70" fillId="8" borderId="5" xfId="0" applyFont="1" applyFill="1" applyBorder="1"/>
    <xf numFmtId="169" fontId="70" fillId="8" borderId="5" xfId="0" applyNumberFormat="1" applyFont="1" applyFill="1" applyBorder="1"/>
    <xf numFmtId="0" fontId="0" fillId="2" borderId="4" xfId="0" applyFont="1" applyFill="1" applyBorder="1"/>
    <xf numFmtId="169" fontId="0" fillId="2" borderId="4" xfId="0" applyNumberFormat="1" applyFont="1" applyFill="1" applyBorder="1"/>
    <xf numFmtId="2" fontId="0" fillId="2" borderId="4" xfId="0" applyNumberFormat="1" applyFont="1" applyFill="1" applyBorder="1"/>
    <xf numFmtId="2" fontId="70" fillId="8" borderId="5" xfId="0" applyNumberFormat="1" applyFont="1" applyFill="1" applyBorder="1"/>
    <xf numFmtId="168" fontId="18" fillId="2" borderId="0" xfId="0" applyNumberFormat="1" applyFont="1" applyFill="1" applyAlignment="1">
      <alignment horizontal="center"/>
    </xf>
    <xf numFmtId="2" fontId="23" fillId="2" borderId="0" xfId="1" applyNumberFormat="1" applyFont="1" applyFill="1" applyAlignment="1">
      <alignment horizontal="center" vertical="center"/>
    </xf>
    <xf numFmtId="10" fontId="25" fillId="2" borderId="0" xfId="1" applyNumberFormat="1" applyFont="1" applyFill="1" applyAlignment="1">
      <alignment horizontal="center" vertical="center"/>
    </xf>
    <xf numFmtId="1" fontId="24" fillId="2" borderId="0" xfId="4" applyNumberFormat="1" applyFont="1" applyFill="1" applyAlignment="1">
      <alignment horizontal="center" vertical="center"/>
    </xf>
    <xf numFmtId="0" fontId="22" fillId="18" borderId="0" xfId="0" applyFont="1" applyFill="1" applyAlignment="1">
      <alignment horizontal="center"/>
    </xf>
    <xf numFmtId="0" fontId="68" fillId="18" borderId="0" xfId="0" applyFont="1" applyFill="1" applyAlignment="1">
      <alignment horizontal="center"/>
    </xf>
    <xf numFmtId="0" fontId="22" fillId="18" borderId="0" xfId="0" applyFont="1" applyFill="1"/>
    <xf numFmtId="0" fontId="18" fillId="18" borderId="0" xfId="0" applyFont="1" applyFill="1"/>
    <xf numFmtId="0" fontId="33" fillId="2" borderId="4" xfId="0" applyFont="1" applyFill="1" applyBorder="1"/>
    <xf numFmtId="0" fontId="18" fillId="2" borderId="4" xfId="0" applyFont="1" applyFill="1" applyBorder="1"/>
    <xf numFmtId="0" fontId="18" fillId="8" borderId="4" xfId="0" applyFont="1" applyFill="1" applyBorder="1"/>
    <xf numFmtId="166" fontId="25" fillId="2" borderId="0" xfId="0" applyNumberFormat="1" applyFont="1" applyFill="1" applyAlignment="1">
      <alignment horizontal="center"/>
    </xf>
    <xf numFmtId="0" fontId="33" fillId="2" borderId="2" xfId="0" applyFont="1" applyFill="1" applyBorder="1"/>
    <xf numFmtId="168" fontId="23" fillId="2" borderId="4" xfId="1" applyNumberFormat="1" applyFont="1" applyFill="1" applyBorder="1" applyAlignment="1">
      <alignment horizontal="center" vertical="center"/>
    </xf>
    <xf numFmtId="0" fontId="66" fillId="2" borderId="2" xfId="0" applyFont="1" applyFill="1" applyBorder="1"/>
    <xf numFmtId="0" fontId="25" fillId="2" borderId="8" xfId="3" applyFont="1" applyFill="1" applyBorder="1" applyAlignment="1">
      <alignment horizontal="left" vertical="center"/>
    </xf>
    <xf numFmtId="0" fontId="66" fillId="2" borderId="8" xfId="0" applyFont="1" applyFill="1" applyBorder="1"/>
    <xf numFmtId="1" fontId="18" fillId="2" borderId="0" xfId="0" applyNumberFormat="1" applyFont="1" applyFill="1" applyAlignment="1">
      <alignment horizontal="center"/>
    </xf>
    <xf numFmtId="3" fontId="23" fillId="8" borderId="0" xfId="2" applyNumberFormat="1" applyFont="1" applyFill="1" applyAlignment="1">
      <alignment horizontal="center" vertical="center"/>
    </xf>
    <xf numFmtId="183" fontId="23" fillId="8" borderId="0" xfId="1" applyNumberFormat="1" applyFont="1" applyFill="1" applyAlignment="1">
      <alignment horizontal="center" vertical="center"/>
    </xf>
    <xf numFmtId="168" fontId="23" fillId="8" borderId="4" xfId="1" applyNumberFormat="1" applyFont="1" applyFill="1" applyBorder="1" applyAlignment="1">
      <alignment horizontal="center" vertical="center"/>
    </xf>
    <xf numFmtId="1" fontId="18" fillId="8" borderId="0" xfId="0" applyNumberFormat="1" applyFont="1" applyFill="1" applyAlignment="1">
      <alignment horizontal="center"/>
    </xf>
    <xf numFmtId="1" fontId="23" fillId="8" borderId="4" xfId="4" applyNumberFormat="1" applyFont="1" applyFill="1" applyBorder="1" applyAlignment="1">
      <alignment horizontal="center" vertical="center"/>
    </xf>
    <xf numFmtId="1" fontId="27" fillId="8" borderId="4" xfId="4" applyNumberFormat="1" applyFont="1" applyFill="1" applyBorder="1" applyAlignment="1">
      <alignment horizontal="center" vertical="center"/>
    </xf>
    <xf numFmtId="169" fontId="25" fillId="2" borderId="0" xfId="1" applyNumberFormat="1" applyFont="1" applyFill="1" applyAlignment="1">
      <alignment horizontal="center" vertical="center"/>
    </xf>
    <xf numFmtId="173" fontId="23" fillId="2" borderId="0" xfId="1" applyNumberFormat="1" applyFont="1" applyFill="1" applyAlignment="1">
      <alignment horizontal="center" vertical="center"/>
    </xf>
    <xf numFmtId="169" fontId="25" fillId="8" borderId="0" xfId="1" applyNumberFormat="1" applyFont="1" applyFill="1" applyAlignment="1">
      <alignment horizontal="center" vertical="center"/>
    </xf>
    <xf numFmtId="173" fontId="23" fillId="8" borderId="0" xfId="1" applyNumberFormat="1" applyFont="1" applyFill="1" applyAlignment="1">
      <alignment horizontal="center" vertical="center"/>
    </xf>
    <xf numFmtId="164" fontId="27" fillId="2" borderId="2" xfId="1" applyNumberFormat="1" applyFont="1" applyFill="1" applyBorder="1" applyAlignment="1">
      <alignment horizontal="center" vertical="center"/>
    </xf>
    <xf numFmtId="164" fontId="27" fillId="8" borderId="2" xfId="1" applyNumberFormat="1" applyFont="1" applyFill="1" applyBorder="1" applyAlignment="1">
      <alignment horizontal="center" vertical="center"/>
    </xf>
    <xf numFmtId="164" fontId="30" fillId="2" borderId="0" xfId="1" applyNumberFormat="1" applyFont="1" applyFill="1" applyBorder="1" applyAlignment="1">
      <alignment horizontal="center" vertical="center"/>
    </xf>
    <xf numFmtId="164" fontId="25" fillId="2" borderId="4" xfId="1" applyNumberFormat="1" applyFont="1" applyFill="1" applyBorder="1" applyAlignment="1">
      <alignment horizontal="center" vertical="center"/>
    </xf>
    <xf numFmtId="0" fontId="33" fillId="2" borderId="8" xfId="0" applyFont="1" applyFill="1" applyBorder="1"/>
    <xf numFmtId="164" fontId="27" fillId="2" borderId="8" xfId="1" applyNumberFormat="1" applyFont="1" applyFill="1" applyBorder="1" applyAlignment="1">
      <alignment horizontal="center" vertical="center"/>
    </xf>
    <xf numFmtId="164" fontId="27" fillId="8" borderId="8" xfId="1" applyNumberFormat="1" applyFont="1" applyFill="1" applyBorder="1" applyAlignment="1">
      <alignment horizontal="center" vertical="center"/>
    </xf>
    <xf numFmtId="10" fontId="25" fillId="8" borderId="0" xfId="1" applyNumberFormat="1" applyFont="1" applyFill="1" applyAlignment="1">
      <alignment horizontal="center" vertical="center"/>
    </xf>
    <xf numFmtId="183" fontId="71" fillId="2" borderId="0" xfId="0" applyNumberFormat="1" applyFont="1" applyFill="1" applyAlignment="1">
      <alignment horizontal="center"/>
    </xf>
    <xf numFmtId="0" fontId="44" fillId="2" borderId="0" xfId="3" applyFont="1" applyFill="1" applyBorder="1" applyAlignment="1">
      <alignment horizontal="left" vertical="center" indent="2"/>
    </xf>
    <xf numFmtId="0" fontId="44" fillId="2" borderId="0" xfId="3" applyFont="1" applyFill="1" applyBorder="1" applyAlignment="1">
      <alignment horizontal="left" vertical="center"/>
    </xf>
    <xf numFmtId="0" fontId="68" fillId="2" borderId="0" xfId="0" applyFont="1" applyFill="1" applyBorder="1"/>
    <xf numFmtId="164" fontId="69" fillId="8" borderId="0" xfId="1" applyNumberFormat="1" applyFont="1" applyFill="1" applyAlignment="1">
      <alignment horizontal="center" vertical="center"/>
    </xf>
    <xf numFmtId="0" fontId="28" fillId="8" borderId="0" xfId="0" applyFont="1" applyFill="1" applyBorder="1" applyAlignment="1">
      <alignment horizontal="center"/>
    </xf>
    <xf numFmtId="9" fontId="24" fillId="6" borderId="7" xfId="4" applyFont="1" applyFill="1" applyBorder="1" applyAlignment="1">
      <alignment horizontal="center"/>
    </xf>
    <xf numFmtId="9" fontId="24" fillId="8" borderId="0" xfId="4" applyFont="1" applyFill="1" applyBorder="1" applyAlignment="1">
      <alignment horizontal="center"/>
    </xf>
    <xf numFmtId="164" fontId="28" fillId="2" borderId="4" xfId="0" applyNumberFormat="1" applyFont="1" applyFill="1" applyBorder="1" applyAlignment="1">
      <alignment horizontal="center"/>
    </xf>
    <xf numFmtId="164" fontId="28" fillId="8" borderId="4" xfId="0" applyNumberFormat="1" applyFont="1" applyFill="1" applyBorder="1" applyAlignment="1">
      <alignment horizontal="center"/>
    </xf>
    <xf numFmtId="164" fontId="22" fillId="2" borderId="4" xfId="0" applyNumberFormat="1" applyFont="1" applyFill="1" applyBorder="1" applyAlignment="1">
      <alignment horizontal="center"/>
    </xf>
    <xf numFmtId="164" fontId="25" fillId="8" borderId="0" xfId="3" applyNumberFormat="1" applyFont="1" applyFill="1" applyBorder="1" applyAlignment="1">
      <alignment horizontal="center" vertical="center"/>
    </xf>
    <xf numFmtId="164" fontId="24" fillId="2" borderId="4" xfId="0" applyNumberFormat="1" applyFont="1" applyFill="1" applyBorder="1" applyAlignment="1">
      <alignment horizontal="center"/>
    </xf>
    <xf numFmtId="164" fontId="24" fillId="2" borderId="4" xfId="3" applyNumberFormat="1" applyFont="1" applyFill="1" applyBorder="1" applyAlignment="1">
      <alignment horizontal="center" vertical="center"/>
    </xf>
    <xf numFmtId="164" fontId="24" fillId="8" borderId="4" xfId="3" applyNumberFormat="1" applyFont="1" applyFill="1" applyBorder="1" applyAlignment="1">
      <alignment horizontal="center" vertical="center"/>
    </xf>
    <xf numFmtId="164" fontId="29" fillId="2" borderId="4" xfId="3" applyNumberFormat="1" applyFont="1" applyFill="1" applyBorder="1" applyAlignment="1">
      <alignment horizontal="center" vertical="center"/>
    </xf>
    <xf numFmtId="164" fontId="29" fillId="8" borderId="4" xfId="3" applyNumberFormat="1" applyFont="1" applyFill="1" applyBorder="1" applyAlignment="1">
      <alignment horizontal="center" vertical="center"/>
    </xf>
    <xf numFmtId="171" fontId="23" fillId="2" borderId="0" xfId="4" applyNumberFormat="1" applyFont="1" applyFill="1" applyAlignment="1">
      <alignment horizontal="center" vertical="center"/>
    </xf>
    <xf numFmtId="171" fontId="23" fillId="8" borderId="0" xfId="1" applyNumberFormat="1" applyFont="1" applyFill="1" applyAlignment="1">
      <alignment horizontal="center" vertical="center"/>
    </xf>
    <xf numFmtId="167" fontId="22" fillId="2" borderId="4" xfId="0" applyNumberFormat="1" applyFont="1" applyFill="1" applyBorder="1" applyAlignment="1">
      <alignment horizontal="center"/>
    </xf>
    <xf numFmtId="171" fontId="24" fillId="2" borderId="0" xfId="4" applyNumberFormat="1" applyFont="1" applyFill="1" applyAlignment="1">
      <alignment horizontal="center" vertical="center"/>
    </xf>
    <xf numFmtId="171" fontId="24" fillId="8" borderId="0" xfId="1" applyNumberFormat="1" applyFont="1" applyFill="1" applyAlignment="1">
      <alignment horizontal="center" vertical="center"/>
    </xf>
    <xf numFmtId="1" fontId="24" fillId="2" borderId="0" xfId="1" applyNumberFormat="1" applyFont="1" applyFill="1" applyAlignment="1">
      <alignment horizontal="center" vertical="center"/>
    </xf>
    <xf numFmtId="44" fontId="22" fillId="2" borderId="0" xfId="0" applyNumberFormat="1" applyFont="1" applyFill="1" applyAlignment="1">
      <alignment horizontal="center"/>
    </xf>
    <xf numFmtId="0" fontId="22" fillId="8" borderId="4" xfId="0" applyFont="1" applyFill="1" applyBorder="1" applyAlignment="1">
      <alignment horizontal="center"/>
    </xf>
    <xf numFmtId="164" fontId="26" fillId="8" borderId="0" xfId="1" applyNumberFormat="1" applyFont="1" applyFill="1" applyAlignment="1">
      <alignment horizontal="center" vertical="center"/>
    </xf>
    <xf numFmtId="164" fontId="42" fillId="8" borderId="4" xfId="1" applyNumberFormat="1" applyFont="1" applyFill="1" applyBorder="1" applyAlignment="1">
      <alignment horizontal="center" vertical="center"/>
    </xf>
    <xf numFmtId="0" fontId="28" fillId="8" borderId="8" xfId="0" applyFont="1" applyFill="1" applyBorder="1" applyAlignment="1">
      <alignment horizontal="center"/>
    </xf>
    <xf numFmtId="164" fontId="24" fillId="6" borderId="23" xfId="0" applyNumberFormat="1" applyFont="1" applyFill="1" applyBorder="1" applyAlignment="1">
      <alignment horizontal="center"/>
    </xf>
    <xf numFmtId="164" fontId="22" fillId="2" borderId="0" xfId="0" applyNumberFormat="1" applyFont="1" applyFill="1" applyBorder="1"/>
    <xf numFmtId="164" fontId="24" fillId="8" borderId="0" xfId="0" applyNumberFormat="1" applyFont="1" applyFill="1" applyBorder="1" applyAlignment="1">
      <alignment horizontal="center"/>
    </xf>
    <xf numFmtId="2" fontId="25" fillId="2" borderId="0" xfId="1" applyNumberFormat="1" applyFont="1" applyFill="1" applyAlignment="1">
      <alignment horizontal="center" vertical="center"/>
    </xf>
    <xf numFmtId="167" fontId="25" fillId="2" borderId="0" xfId="1" applyNumberFormat="1" applyFont="1" applyFill="1" applyAlignment="1">
      <alignment horizontal="center" vertical="center"/>
    </xf>
    <xf numFmtId="185" fontId="25" fillId="2" borderId="0" xfId="1" applyNumberFormat="1" applyFont="1" applyFill="1" applyAlignment="1">
      <alignment horizontal="center" vertical="center"/>
    </xf>
    <xf numFmtId="0" fontId="67" fillId="2" borderId="0" xfId="0" applyFont="1" applyFill="1" applyBorder="1" applyAlignment="1">
      <alignment horizontal="left" indent="3"/>
    </xf>
    <xf numFmtId="2" fontId="25" fillId="8" borderId="0" xfId="1" applyNumberFormat="1" applyFont="1" applyFill="1" applyAlignment="1">
      <alignment horizontal="center" vertical="center"/>
    </xf>
    <xf numFmtId="167" fontId="25" fillId="8" borderId="0" xfId="1" applyNumberFormat="1" applyFont="1" applyFill="1" applyAlignment="1">
      <alignment horizontal="center" vertical="center"/>
    </xf>
    <xf numFmtId="1" fontId="25" fillId="8" borderId="0" xfId="1" applyNumberFormat="1" applyFont="1" applyFill="1" applyAlignment="1">
      <alignment horizontal="center" vertical="center"/>
    </xf>
    <xf numFmtId="171" fontId="24" fillId="8" borderId="0" xfId="4" applyNumberFormat="1" applyFont="1" applyFill="1" applyAlignment="1">
      <alignment horizontal="center" vertical="center"/>
    </xf>
    <xf numFmtId="10" fontId="24" fillId="2" borderId="0" xfId="4" applyNumberFormat="1" applyFont="1" applyFill="1" applyAlignment="1">
      <alignment horizontal="center"/>
    </xf>
    <xf numFmtId="166" fontId="24" fillId="2" borderId="0" xfId="0" applyNumberFormat="1" applyFont="1" applyFill="1" applyAlignment="1">
      <alignment horizontal="center"/>
    </xf>
    <xf numFmtId="0" fontId="24" fillId="2" borderId="4" xfId="0" applyFont="1" applyFill="1" applyBorder="1"/>
    <xf numFmtId="0" fontId="24" fillId="8" borderId="4" xfId="0" applyFont="1" applyFill="1" applyBorder="1"/>
    <xf numFmtId="10" fontId="22" fillId="8" borderId="0" xfId="4" applyNumberFormat="1" applyFont="1" applyFill="1" applyAlignment="1">
      <alignment horizontal="center"/>
    </xf>
    <xf numFmtId="0" fontId="22" fillId="8" borderId="4" xfId="0" applyFont="1" applyFill="1" applyBorder="1"/>
    <xf numFmtId="166" fontId="38" fillId="2" borderId="0" xfId="3" applyNumberFormat="1" applyFont="1" applyFill="1" applyAlignment="1">
      <alignment horizontal="center" vertical="center"/>
    </xf>
    <xf numFmtId="166" fontId="38" fillId="8" borderId="0" xfId="3" applyNumberFormat="1" applyFont="1" applyFill="1" applyAlignment="1">
      <alignment horizontal="center" vertical="center"/>
    </xf>
    <xf numFmtId="164" fontId="37" fillId="2" borderId="4" xfId="1" applyNumberFormat="1" applyFont="1" applyFill="1" applyBorder="1" applyAlignment="1">
      <alignment horizontal="left" vertical="center"/>
    </xf>
    <xf numFmtId="164" fontId="38" fillId="2" borderId="4" xfId="3" applyNumberFormat="1" applyFont="1" applyFill="1" applyBorder="1" applyAlignment="1">
      <alignment horizontal="center" vertical="center"/>
    </xf>
    <xf numFmtId="164" fontId="38" fillId="8" borderId="4" xfId="3" applyNumberFormat="1" applyFont="1" applyFill="1" applyBorder="1" applyAlignment="1">
      <alignment horizontal="center" vertical="center"/>
    </xf>
    <xf numFmtId="164" fontId="76" fillId="2" borderId="4" xfId="1" applyNumberFormat="1" applyFont="1" applyFill="1" applyBorder="1" applyAlignment="1">
      <alignment horizontal="left" vertical="center"/>
    </xf>
    <xf numFmtId="164" fontId="40" fillId="2" borderId="4" xfId="3" applyNumberFormat="1" applyFont="1" applyFill="1" applyBorder="1" applyAlignment="1">
      <alignment horizontal="center" vertical="center"/>
    </xf>
    <xf numFmtId="164" fontId="40" fillId="8" borderId="4" xfId="3" applyNumberFormat="1" applyFont="1" applyFill="1" applyBorder="1" applyAlignment="1">
      <alignment horizontal="center" vertical="center"/>
    </xf>
    <xf numFmtId="164" fontId="76" fillId="2" borderId="2" xfId="1" applyNumberFormat="1" applyFont="1" applyFill="1" applyBorder="1" applyAlignment="1">
      <alignment horizontal="left" vertical="center"/>
    </xf>
    <xf numFmtId="0" fontId="36" fillId="2" borderId="2" xfId="0" applyFont="1" applyFill="1" applyBorder="1" applyAlignment="1">
      <alignment horizontal="center"/>
    </xf>
    <xf numFmtId="164" fontId="41" fillId="2" borderId="2" xfId="0" applyNumberFormat="1" applyFont="1" applyFill="1" applyBorder="1" applyAlignment="1">
      <alignment horizontal="center"/>
    </xf>
    <xf numFmtId="164" fontId="41" fillId="8" borderId="2" xfId="0" applyNumberFormat="1" applyFont="1" applyFill="1" applyBorder="1" applyAlignment="1">
      <alignment horizontal="center"/>
    </xf>
    <xf numFmtId="1" fontId="36" fillId="8" borderId="0" xfId="0" applyNumberFormat="1" applyFont="1" applyFill="1" applyAlignment="1">
      <alignment horizontal="center"/>
    </xf>
    <xf numFmtId="0" fontId="41" fillId="2" borderId="0" xfId="0" applyFont="1" applyFill="1"/>
    <xf numFmtId="0" fontId="41" fillId="8" borderId="4" xfId="0" applyFont="1" applyFill="1" applyBorder="1"/>
    <xf numFmtId="0" fontId="41" fillId="8" borderId="4" xfId="0" applyFont="1" applyFill="1" applyBorder="1" applyAlignment="1">
      <alignment horizontal="center"/>
    </xf>
    <xf numFmtId="9" fontId="24" fillId="2" borderId="0" xfId="4" applyFont="1" applyFill="1" applyAlignment="1">
      <alignment horizontal="center" vertical="center"/>
    </xf>
    <xf numFmtId="9" fontId="24" fillId="8" borderId="0" xfId="4" applyFont="1" applyFill="1" applyAlignment="1">
      <alignment horizontal="center" vertical="center"/>
    </xf>
    <xf numFmtId="164" fontId="30" fillId="2" borderId="0" xfId="0" applyNumberFormat="1" applyFont="1" applyFill="1" applyBorder="1" applyAlignment="1">
      <alignment horizontal="center"/>
    </xf>
    <xf numFmtId="3" fontId="18" fillId="2" borderId="0" xfId="0" applyNumberFormat="1" applyFont="1" applyFill="1" applyAlignment="1">
      <alignment horizontal="center"/>
    </xf>
    <xf numFmtId="0" fontId="19" fillId="2" borderId="2" xfId="0" applyFont="1" applyFill="1" applyBorder="1"/>
    <xf numFmtId="0" fontId="27" fillId="2" borderId="2" xfId="1" applyFont="1" applyFill="1" applyBorder="1" applyAlignment="1">
      <alignment horizontal="left" vertical="center" indent="2"/>
    </xf>
    <xf numFmtId="0" fontId="19" fillId="2" borderId="0" xfId="0" applyFont="1" applyFill="1" applyBorder="1"/>
    <xf numFmtId="0" fontId="19" fillId="8" borderId="0" xfId="0" applyFont="1" applyFill="1" applyBorder="1"/>
    <xf numFmtId="164" fontId="18" fillId="8" borderId="0" xfId="0" applyNumberFormat="1" applyFont="1" applyFill="1" applyBorder="1" applyAlignment="1">
      <alignment horizontal="center"/>
    </xf>
    <xf numFmtId="164" fontId="18" fillId="2" borderId="0" xfId="0" applyNumberFormat="1" applyFont="1" applyFill="1" applyBorder="1" applyAlignment="1">
      <alignment horizontal="center"/>
    </xf>
    <xf numFmtId="0" fontId="18" fillId="8" borderId="0" xfId="0" applyFont="1" applyFill="1" applyBorder="1"/>
    <xf numFmtId="0" fontId="25" fillId="2" borderId="0" xfId="3" applyFont="1" applyFill="1" applyBorder="1" applyAlignment="1">
      <alignment horizontal="left" vertical="center" indent="1"/>
    </xf>
    <xf numFmtId="184" fontId="30" fillId="2" borderId="2" xfId="1" applyNumberFormat="1" applyFont="1" applyFill="1" applyBorder="1" applyAlignment="1">
      <alignment horizontal="center" vertical="center"/>
    </xf>
    <xf numFmtId="0" fontId="30" fillId="2" borderId="2" xfId="1" applyNumberFormat="1" applyFont="1" applyFill="1" applyBorder="1" applyAlignment="1">
      <alignment horizontal="center" vertical="center"/>
    </xf>
    <xf numFmtId="167" fontId="30" fillId="2" borderId="2" xfId="1" applyNumberFormat="1" applyFont="1" applyFill="1" applyBorder="1" applyAlignment="1">
      <alignment horizontal="center" vertical="center"/>
    </xf>
    <xf numFmtId="0" fontId="27" fillId="2" borderId="4" xfId="1" applyFont="1" applyFill="1" applyBorder="1" applyAlignment="1">
      <alignment horizontal="left" vertical="center"/>
    </xf>
    <xf numFmtId="0" fontId="42" fillId="2" borderId="4" xfId="0" applyFont="1" applyFill="1" applyBorder="1" applyAlignment="1">
      <alignment horizontal="center"/>
    </xf>
    <xf numFmtId="0" fontId="18" fillId="2" borderId="2" xfId="0" applyFont="1" applyFill="1" applyBorder="1"/>
    <xf numFmtId="37" fontId="30" fillId="2" borderId="2" xfId="1" applyNumberFormat="1" applyFont="1" applyFill="1" applyBorder="1" applyAlignment="1">
      <alignment horizontal="center" vertical="center"/>
    </xf>
    <xf numFmtId="164" fontId="25" fillId="8" borderId="0" xfId="0" applyNumberFormat="1" applyFont="1" applyFill="1" applyBorder="1" applyAlignment="1">
      <alignment horizontal="center"/>
    </xf>
    <xf numFmtId="164" fontId="30" fillId="8" borderId="0" xfId="0" applyNumberFormat="1" applyFont="1" applyFill="1" applyBorder="1" applyAlignment="1">
      <alignment horizontal="center"/>
    </xf>
    <xf numFmtId="167" fontId="30" fillId="8" borderId="2" xfId="1" applyNumberFormat="1" applyFont="1" applyFill="1" applyBorder="1" applyAlignment="1">
      <alignment horizontal="center" vertical="center"/>
    </xf>
    <xf numFmtId="37" fontId="30" fillId="8" borderId="2" xfId="1" applyNumberFormat="1" applyFont="1" applyFill="1" applyBorder="1" applyAlignment="1">
      <alignment horizontal="center" vertical="center"/>
    </xf>
    <xf numFmtId="3" fontId="18" fillId="8" borderId="0" xfId="0" applyNumberFormat="1" applyFont="1" applyFill="1" applyAlignment="1">
      <alignment horizontal="center"/>
    </xf>
    <xf numFmtId="0" fontId="27" fillId="2" borderId="8" xfId="1" applyFont="1" applyFill="1" applyBorder="1" applyAlignment="1">
      <alignment horizontal="left" vertical="center"/>
    </xf>
    <xf numFmtId="3" fontId="28" fillId="2" borderId="8" xfId="0" applyNumberFormat="1" applyFont="1" applyFill="1" applyBorder="1" applyAlignment="1">
      <alignment horizontal="center"/>
    </xf>
    <xf numFmtId="0" fontId="19" fillId="2" borderId="8" xfId="0" applyFont="1" applyFill="1" applyBorder="1"/>
    <xf numFmtId="168" fontId="22" fillId="2" borderId="0" xfId="0" applyNumberFormat="1" applyFont="1" applyFill="1" applyAlignment="1">
      <alignment horizontal="center"/>
    </xf>
    <xf numFmtId="9" fontId="22" fillId="2" borderId="0" xfId="0" applyNumberFormat="1" applyFont="1" applyFill="1"/>
    <xf numFmtId="9" fontId="22" fillId="2" borderId="0" xfId="4" applyFont="1" applyFill="1"/>
    <xf numFmtId="1" fontId="22" fillId="8" borderId="0" xfId="0" applyNumberFormat="1" applyFont="1" applyFill="1" applyAlignment="1">
      <alignment horizontal="center"/>
    </xf>
    <xf numFmtId="1" fontId="24" fillId="2" borderId="0" xfId="0" applyNumberFormat="1" applyFont="1" applyFill="1" applyBorder="1" applyAlignment="1">
      <alignment horizontal="center"/>
    </xf>
    <xf numFmtId="9" fontId="22" fillId="8" borderId="0" xfId="4" applyNumberFormat="1" applyFont="1" applyFill="1" applyBorder="1" applyAlignment="1">
      <alignment horizontal="center"/>
    </xf>
    <xf numFmtId="1" fontId="25" fillId="8" borderId="0" xfId="0" applyNumberFormat="1" applyFont="1" applyFill="1" applyAlignment="1">
      <alignment horizontal="center"/>
    </xf>
    <xf numFmtId="2" fontId="25" fillId="8" borderId="0" xfId="0" applyNumberFormat="1" applyFont="1" applyFill="1" applyAlignment="1">
      <alignment horizontal="center"/>
    </xf>
    <xf numFmtId="168" fontId="22" fillId="8" borderId="0" xfId="0" applyNumberFormat="1" applyFont="1" applyFill="1" applyAlignment="1">
      <alignment horizontal="center"/>
    </xf>
    <xf numFmtId="0" fontId="28" fillId="8" borderId="4" xfId="0" applyFont="1" applyFill="1" applyBorder="1"/>
    <xf numFmtId="168" fontId="28" fillId="2" borderId="2" xfId="0" applyNumberFormat="1" applyFont="1" applyFill="1" applyBorder="1" applyAlignment="1">
      <alignment horizontal="center"/>
    </xf>
    <xf numFmtId="0" fontId="69" fillId="2" borderId="0" xfId="1" applyFont="1" applyFill="1" applyAlignment="1">
      <alignment horizontal="left" vertical="center"/>
    </xf>
    <xf numFmtId="168" fontId="68" fillId="2" borderId="0" xfId="0" applyNumberFormat="1" applyFont="1" applyFill="1" applyAlignment="1">
      <alignment horizontal="center"/>
    </xf>
    <xf numFmtId="168" fontId="68" fillId="8" borderId="0" xfId="0" applyNumberFormat="1" applyFont="1" applyFill="1" applyAlignment="1">
      <alignment horizontal="center"/>
    </xf>
    <xf numFmtId="168" fontId="28" fillId="8" borderId="2" xfId="0" applyNumberFormat="1" applyFont="1" applyFill="1" applyBorder="1" applyAlignment="1">
      <alignment horizontal="center"/>
    </xf>
    <xf numFmtId="9" fontId="22" fillId="8" borderId="0" xfId="0" applyNumberFormat="1" applyFont="1" applyFill="1"/>
    <xf numFmtId="9" fontId="22" fillId="8" borderId="0" xfId="4" applyFont="1" applyFill="1"/>
    <xf numFmtId="1" fontId="24" fillId="8" borderId="0" xfId="0" applyNumberFormat="1" applyFont="1" applyFill="1" applyBorder="1" applyAlignment="1">
      <alignment horizontal="center"/>
    </xf>
    <xf numFmtId="1" fontId="22" fillId="8" borderId="0" xfId="0" applyNumberFormat="1" applyFont="1" applyFill="1" applyBorder="1" applyAlignment="1">
      <alignment horizontal="center"/>
    </xf>
    <xf numFmtId="9" fontId="22" fillId="2" borderId="0" xfId="4" applyNumberFormat="1" applyFont="1" applyFill="1" applyBorder="1" applyAlignment="1">
      <alignment horizontal="center"/>
    </xf>
    <xf numFmtId="0" fontId="29" fillId="8" borderId="4" xfId="0" applyFont="1" applyFill="1" applyBorder="1"/>
    <xf numFmtId="0" fontId="29" fillId="8" borderId="4" xfId="0" applyFont="1" applyFill="1" applyBorder="1" applyAlignment="1">
      <alignment horizontal="center"/>
    </xf>
    <xf numFmtId="0" fontId="29" fillId="2" borderId="4" xfId="0" applyFont="1" applyFill="1" applyBorder="1"/>
    <xf numFmtId="9" fontId="25" fillId="8" borderId="0" xfId="4" applyFont="1" applyFill="1" applyAlignment="1">
      <alignment horizontal="center"/>
    </xf>
    <xf numFmtId="0" fontId="22" fillId="2" borderId="0" xfId="0" applyFont="1" applyFill="1" applyBorder="1" applyAlignment="1">
      <alignment horizontal="left"/>
    </xf>
    <xf numFmtId="0" fontId="27" fillId="2" borderId="0" xfId="1" applyFont="1" applyFill="1" applyAlignment="1">
      <alignment horizontal="left" vertical="center" indent="2"/>
    </xf>
    <xf numFmtId="164" fontId="30" fillId="8" borderId="0" xfId="1" applyNumberFormat="1" applyFont="1" applyFill="1" applyBorder="1" applyAlignment="1">
      <alignment horizontal="center" vertical="center"/>
    </xf>
    <xf numFmtId="9" fontId="28" fillId="8" borderId="0" xfId="4" applyFont="1" applyFill="1" applyBorder="1" applyAlignment="1">
      <alignment horizontal="center"/>
    </xf>
    <xf numFmtId="0" fontId="0" fillId="2" borderId="0" xfId="0" applyFill="1" applyBorder="1"/>
    <xf numFmtId="0" fontId="78" fillId="2" borderId="0" xfId="8" applyFont="1" applyFill="1" applyAlignment="1" applyProtection="1">
      <alignment horizontal="left" vertical="center"/>
    </xf>
    <xf numFmtId="0" fontId="79" fillId="2" borderId="0" xfId="8" applyFont="1" applyFill="1" applyAlignment="1" applyProtection="1">
      <alignment vertical="center"/>
    </xf>
    <xf numFmtId="0" fontId="78" fillId="2" borderId="0" xfId="8" applyFont="1" applyFill="1" applyAlignment="1" applyProtection="1">
      <alignment horizontal="left"/>
    </xf>
    <xf numFmtId="0" fontId="79" fillId="2" borderId="0" xfId="8" applyFont="1" applyFill="1" applyProtection="1"/>
    <xf numFmtId="0" fontId="79" fillId="2" borderId="0" xfId="8" applyFont="1" applyFill="1" applyAlignment="1" applyProtection="1">
      <alignment horizontal="left"/>
    </xf>
    <xf numFmtId="0" fontId="80" fillId="2" borderId="0" xfId="0" applyFont="1" applyFill="1"/>
    <xf numFmtId="0" fontId="0" fillId="2" borderId="0" xfId="0" applyFont="1" applyFill="1"/>
    <xf numFmtId="1" fontId="0" fillId="2" borderId="0" xfId="0" applyNumberFormat="1" applyFill="1" applyBorder="1"/>
    <xf numFmtId="1" fontId="80" fillId="2" borderId="0" xfId="0" applyNumberFormat="1" applyFont="1" applyFill="1" applyBorder="1"/>
    <xf numFmtId="0" fontId="0" fillId="2" borderId="27" xfId="0" applyFill="1" applyBorder="1"/>
    <xf numFmtId="0" fontId="80" fillId="2" borderId="2" xfId="0" applyFont="1" applyFill="1" applyBorder="1"/>
    <xf numFmtId="0" fontId="80" fillId="2" borderId="28" xfId="0" applyFont="1" applyFill="1" applyBorder="1"/>
    <xf numFmtId="1" fontId="0" fillId="2" borderId="24" xfId="0" applyNumberFormat="1" applyFill="1" applyBorder="1"/>
    <xf numFmtId="1" fontId="80" fillId="2" borderId="25" xfId="0" applyNumberFormat="1" applyFont="1" applyFill="1" applyBorder="1"/>
    <xf numFmtId="1" fontId="0" fillId="2" borderId="25" xfId="0" applyNumberFormat="1" applyFill="1" applyBorder="1"/>
    <xf numFmtId="1" fontId="0" fillId="2" borderId="26" xfId="0" applyNumberFormat="1" applyFill="1" applyBorder="1"/>
    <xf numFmtId="1" fontId="0" fillId="2" borderId="4" xfId="0" applyNumberFormat="1" applyFill="1" applyBorder="1"/>
    <xf numFmtId="1" fontId="0" fillId="2" borderId="23" xfId="0" applyNumberFormat="1" applyFill="1" applyBorder="1"/>
    <xf numFmtId="2" fontId="0" fillId="2" borderId="27" xfId="0" applyNumberFormat="1" applyFill="1" applyBorder="1"/>
    <xf numFmtId="2" fontId="80" fillId="2" borderId="2" xfId="0" applyNumberFormat="1" applyFont="1" applyFill="1" applyBorder="1"/>
    <xf numFmtId="2" fontId="80" fillId="2" borderId="28" xfId="0" applyNumberFormat="1" applyFont="1" applyFill="1" applyBorder="1"/>
    <xf numFmtId="2" fontId="0" fillId="2" borderId="24" xfId="0" applyNumberFormat="1" applyFont="1" applyFill="1" applyBorder="1"/>
    <xf numFmtId="2" fontId="0" fillId="2" borderId="0" xfId="0" applyNumberFormat="1" applyFont="1" applyFill="1" applyBorder="1"/>
    <xf numFmtId="2" fontId="80" fillId="2" borderId="0" xfId="0" applyNumberFormat="1" applyFont="1" applyFill="1" applyBorder="1"/>
    <xf numFmtId="2" fontId="80" fillId="2" borderId="25" xfId="0" applyNumberFormat="1" applyFont="1" applyFill="1" applyBorder="1"/>
    <xf numFmtId="2" fontId="0" fillId="2" borderId="24" xfId="0" applyNumberFormat="1" applyFill="1" applyBorder="1"/>
    <xf numFmtId="2" fontId="0" fillId="2" borderId="0" xfId="0" applyNumberFormat="1" applyFill="1" applyBorder="1"/>
    <xf numFmtId="2" fontId="0" fillId="2" borderId="25" xfId="0" applyNumberFormat="1" applyFill="1" applyBorder="1"/>
    <xf numFmtId="2" fontId="0" fillId="2" borderId="26" xfId="0" applyNumberFormat="1" applyFill="1" applyBorder="1"/>
    <xf numFmtId="2" fontId="0" fillId="2" borderId="4" xfId="0" applyNumberFormat="1" applyFill="1" applyBorder="1"/>
    <xf numFmtId="2" fontId="0" fillId="2" borderId="23" xfId="0" applyNumberFormat="1" applyFill="1" applyBorder="1"/>
    <xf numFmtId="2" fontId="46" fillId="2" borderId="2" xfId="0" applyNumberFormat="1" applyFont="1" applyFill="1" applyBorder="1"/>
    <xf numFmtId="2" fontId="46" fillId="2" borderId="28" xfId="0" applyNumberFormat="1" applyFont="1" applyFill="1" applyBorder="1"/>
    <xf numFmtId="2" fontId="0" fillId="2" borderId="27" xfId="0" applyNumberFormat="1" applyFont="1" applyFill="1" applyBorder="1"/>
    <xf numFmtId="2" fontId="0" fillId="2" borderId="25" xfId="0" applyNumberFormat="1" applyFont="1" applyFill="1" applyBorder="1"/>
    <xf numFmtId="2" fontId="0" fillId="2" borderId="26" xfId="0" applyNumberFormat="1" applyFont="1" applyFill="1" applyBorder="1"/>
    <xf numFmtId="2" fontId="0" fillId="2" borderId="23" xfId="0" applyNumberFormat="1" applyFont="1" applyFill="1" applyBorder="1"/>
    <xf numFmtId="1" fontId="0" fillId="2" borderId="27" xfId="0" applyNumberFormat="1" applyFill="1" applyBorder="1"/>
    <xf numFmtId="1" fontId="80" fillId="2" borderId="2" xfId="0" applyNumberFormat="1" applyFont="1" applyFill="1" applyBorder="1"/>
    <xf numFmtId="1" fontId="80" fillId="2" borderId="28" xfId="0" applyNumberFormat="1" applyFont="1" applyFill="1" applyBorder="1"/>
    <xf numFmtId="1" fontId="0" fillId="2" borderId="24" xfId="0" applyNumberFormat="1" applyFont="1" applyFill="1" applyBorder="1"/>
    <xf numFmtId="1" fontId="0" fillId="2" borderId="0" xfId="0" applyNumberFormat="1" applyFont="1" applyFill="1" applyBorder="1"/>
    <xf numFmtId="1" fontId="0" fillId="2" borderId="25" xfId="0" applyNumberFormat="1" applyFont="1" applyFill="1" applyBorder="1"/>
    <xf numFmtId="1" fontId="0" fillId="2" borderId="26" xfId="0" applyNumberFormat="1" applyFont="1" applyFill="1" applyBorder="1"/>
    <xf numFmtId="1" fontId="0" fillId="2" borderId="4" xfId="0" applyNumberFormat="1" applyFont="1" applyFill="1" applyBorder="1"/>
    <xf numFmtId="1" fontId="0" fillId="2" borderId="23" xfId="0" applyNumberFormat="1" applyFont="1" applyFill="1" applyBorder="1"/>
    <xf numFmtId="2" fontId="80" fillId="2" borderId="24" xfId="0" applyNumberFormat="1" applyFont="1" applyFill="1" applyBorder="1"/>
    <xf numFmtId="1" fontId="70" fillId="2" borderId="9" xfId="0" applyNumberFormat="1" applyFont="1" applyFill="1" applyBorder="1"/>
    <xf numFmtId="1" fontId="70" fillId="2" borderId="8" xfId="0" applyNumberFormat="1" applyFont="1" applyFill="1" applyBorder="1"/>
    <xf numFmtId="1" fontId="70" fillId="2" borderId="7" xfId="0" applyNumberFormat="1" applyFont="1" applyFill="1" applyBorder="1"/>
    <xf numFmtId="2" fontId="70" fillId="2" borderId="9" xfId="0" applyNumberFormat="1" applyFont="1" applyFill="1" applyBorder="1"/>
    <xf numFmtId="2" fontId="70" fillId="2" borderId="8" xfId="0" applyNumberFormat="1" applyFont="1" applyFill="1" applyBorder="1"/>
    <xf numFmtId="2" fontId="70" fillId="2" borderId="7" xfId="0" applyNumberFormat="1" applyFont="1" applyFill="1" applyBorder="1"/>
    <xf numFmtId="14" fontId="20" fillId="8" borderId="0" xfId="1" applyNumberFormat="1" applyFont="1" applyFill="1" applyAlignment="1">
      <alignment horizontal="center" vertical="center"/>
    </xf>
    <xf numFmtId="0" fontId="20" fillId="8" borderId="0" xfId="1" applyFont="1" applyFill="1" applyAlignment="1">
      <alignment horizontal="center" vertical="center"/>
    </xf>
    <xf numFmtId="0" fontId="81" fillId="2" borderId="0" xfId="0" applyFont="1" applyFill="1"/>
    <xf numFmtId="0" fontId="82" fillId="2" borderId="0" xfId="0" applyFont="1" applyFill="1" applyBorder="1"/>
    <xf numFmtId="0" fontId="82" fillId="2" borderId="0" xfId="0" applyFont="1" applyFill="1"/>
    <xf numFmtId="0" fontId="83" fillId="2" borderId="0" xfId="1" applyFont="1" applyFill="1" applyAlignment="1">
      <alignment horizontal="center" vertical="center"/>
    </xf>
    <xf numFmtId="0" fontId="83" fillId="8" borderId="0" xfId="1" applyFont="1" applyFill="1" applyAlignment="1">
      <alignment horizontal="center" vertical="center"/>
    </xf>
    <xf numFmtId="14" fontId="83" fillId="8" borderId="0" xfId="1" applyNumberFormat="1" applyFont="1" applyFill="1" applyAlignment="1">
      <alignment horizontal="center" vertical="center"/>
    </xf>
    <xf numFmtId="14" fontId="83" fillId="2" borderId="0" xfId="1" applyNumberFormat="1" applyFont="1" applyFill="1" applyAlignment="1">
      <alignment horizontal="center" vertical="center"/>
    </xf>
    <xf numFmtId="0" fontId="84" fillId="2" borderId="0" xfId="0" applyFont="1" applyFill="1"/>
    <xf numFmtId="1" fontId="83" fillId="2" borderId="0" xfId="1" applyNumberFormat="1" applyFont="1" applyFill="1" applyAlignment="1">
      <alignment horizontal="center" vertical="center"/>
    </xf>
    <xf numFmtId="0" fontId="82" fillId="2" borderId="0" xfId="0" applyFont="1" applyFill="1" applyBorder="1" applyAlignment="1">
      <alignment horizontal="center"/>
    </xf>
    <xf numFmtId="169" fontId="85" fillId="2" borderId="0" xfId="3" applyNumberFormat="1" applyFont="1" applyFill="1" applyAlignment="1">
      <alignment horizontal="center" vertical="center"/>
    </xf>
    <xf numFmtId="169" fontId="86" fillId="2" borderId="0" xfId="3" applyNumberFormat="1" applyFont="1" applyFill="1" applyAlignment="1">
      <alignment horizontal="center" vertical="center"/>
    </xf>
    <xf numFmtId="169" fontId="85" fillId="8" borderId="0" xfId="3" applyNumberFormat="1" applyFont="1" applyFill="1" applyAlignment="1">
      <alignment horizontal="center" vertical="center"/>
    </xf>
    <xf numFmtId="0" fontId="82" fillId="2" borderId="0" xfId="0" applyFont="1" applyFill="1" applyAlignment="1">
      <alignment horizontal="center"/>
    </xf>
    <xf numFmtId="165" fontId="85" fillId="2" borderId="0" xfId="3" applyNumberFormat="1" applyFont="1" applyFill="1" applyAlignment="1">
      <alignment horizontal="left" vertical="center"/>
    </xf>
    <xf numFmtId="0" fontId="85" fillId="2" borderId="0" xfId="3" applyFont="1" applyFill="1" applyAlignment="1">
      <alignment horizontal="left" vertical="center"/>
    </xf>
    <xf numFmtId="168" fontId="87" fillId="2" borderId="0" xfId="3" applyNumberFormat="1" applyFont="1" applyFill="1" applyAlignment="1">
      <alignment horizontal="center" vertical="center"/>
    </xf>
    <xf numFmtId="168" fontId="87" fillId="8" borderId="0" xfId="3" applyNumberFormat="1" applyFont="1" applyFill="1" applyAlignment="1">
      <alignment horizontal="center" vertical="center"/>
    </xf>
    <xf numFmtId="168" fontId="85" fillId="8" borderId="0" xfId="3" applyNumberFormat="1" applyFont="1" applyFill="1" applyAlignment="1">
      <alignment horizontal="center" vertical="center"/>
    </xf>
    <xf numFmtId="168" fontId="85" fillId="2" borderId="0" xfId="3" applyNumberFormat="1" applyFont="1" applyFill="1" applyAlignment="1">
      <alignment horizontal="center" vertical="center"/>
    </xf>
    <xf numFmtId="0" fontId="82" fillId="18" borderId="0" xfId="0" applyFont="1" applyFill="1"/>
    <xf numFmtId="0" fontId="82" fillId="8" borderId="0" xfId="0" applyFont="1" applyFill="1"/>
    <xf numFmtId="165" fontId="85" fillId="2" borderId="0" xfId="3" applyNumberFormat="1" applyFont="1" applyFill="1" applyAlignment="1">
      <alignment horizontal="center" vertical="center"/>
    </xf>
    <xf numFmtId="0" fontId="88" fillId="2" borderId="0" xfId="1" applyFont="1" applyFill="1" applyAlignment="1">
      <alignment horizontal="left" vertical="center"/>
    </xf>
    <xf numFmtId="0" fontId="89" fillId="2" borderId="0" xfId="0" applyFont="1" applyFill="1"/>
    <xf numFmtId="168" fontId="82" fillId="2" borderId="0" xfId="0" applyNumberFormat="1" applyFont="1" applyFill="1" applyAlignment="1">
      <alignment horizontal="center"/>
    </xf>
    <xf numFmtId="168" fontId="82" fillId="8" borderId="0" xfId="0" applyNumberFormat="1" applyFont="1" applyFill="1" applyAlignment="1">
      <alignment horizontal="center"/>
    </xf>
    <xf numFmtId="2" fontId="83" fillId="2" borderId="0" xfId="1" applyNumberFormat="1" applyFont="1" applyFill="1" applyAlignment="1">
      <alignment horizontal="center" vertical="center"/>
    </xf>
    <xf numFmtId="0" fontId="90" fillId="2" borderId="0" xfId="3" applyFont="1" applyFill="1" applyAlignment="1">
      <alignment horizontal="left" vertical="center"/>
    </xf>
    <xf numFmtId="10" fontId="87" fillId="2" borderId="0" xfId="1" applyNumberFormat="1" applyFont="1" applyFill="1" applyAlignment="1">
      <alignment horizontal="center" vertical="center"/>
    </xf>
    <xf numFmtId="183" fontId="87" fillId="2" borderId="0" xfId="0" applyNumberFormat="1" applyFont="1" applyFill="1" applyAlignment="1">
      <alignment horizontal="center"/>
    </xf>
    <xf numFmtId="183" fontId="85" fillId="8" borderId="0" xfId="0" applyNumberFormat="1" applyFont="1" applyFill="1" applyAlignment="1">
      <alignment horizontal="center"/>
    </xf>
    <xf numFmtId="183" fontId="87" fillId="8" borderId="0" xfId="0" applyNumberFormat="1" applyFont="1" applyFill="1" applyAlignment="1">
      <alignment horizontal="center"/>
    </xf>
    <xf numFmtId="0" fontId="87" fillId="8" borderId="0" xfId="0" applyFont="1" applyFill="1" applyAlignment="1">
      <alignment horizontal="center"/>
    </xf>
    <xf numFmtId="10" fontId="87" fillId="2" borderId="0" xfId="3" applyNumberFormat="1" applyFont="1" applyFill="1" applyAlignment="1">
      <alignment horizontal="center" vertical="center"/>
    </xf>
    <xf numFmtId="10" fontId="87" fillId="8" borderId="0" xfId="3" applyNumberFormat="1" applyFont="1" applyFill="1" applyAlignment="1">
      <alignment horizontal="center" vertical="center"/>
    </xf>
    <xf numFmtId="164" fontId="87" fillId="2" borderId="0" xfId="3" applyNumberFormat="1" applyFont="1" applyFill="1" applyAlignment="1">
      <alignment horizontal="center" vertical="center"/>
    </xf>
    <xf numFmtId="164" fontId="85" fillId="8" borderId="0" xfId="3" applyNumberFormat="1" applyFont="1" applyFill="1" applyAlignment="1">
      <alignment horizontal="center" vertical="center"/>
    </xf>
    <xf numFmtId="164" fontId="87" fillId="2" borderId="0" xfId="0" applyNumberFormat="1" applyFont="1" applyFill="1" applyAlignment="1">
      <alignment horizontal="center"/>
    </xf>
    <xf numFmtId="164" fontId="85" fillId="8" borderId="0" xfId="0" applyNumberFormat="1" applyFont="1" applyFill="1" applyAlignment="1">
      <alignment horizontal="center"/>
    </xf>
    <xf numFmtId="164" fontId="82" fillId="2" borderId="0" xfId="0" applyNumberFormat="1" applyFont="1" applyFill="1" applyAlignment="1">
      <alignment horizontal="center"/>
    </xf>
    <xf numFmtId="165" fontId="85" fillId="8" borderId="0" xfId="3" applyNumberFormat="1" applyFont="1" applyFill="1" applyAlignment="1">
      <alignment horizontal="center" vertical="center"/>
    </xf>
    <xf numFmtId="3" fontId="85" fillId="2" borderId="0" xfId="0" applyNumberFormat="1" applyFont="1" applyFill="1" applyAlignment="1">
      <alignment horizontal="center"/>
    </xf>
    <xf numFmtId="0" fontId="85" fillId="8" borderId="0" xfId="0" applyFont="1" applyFill="1" applyAlignment="1">
      <alignment horizontal="center"/>
    </xf>
    <xf numFmtId="3" fontId="82" fillId="2" borderId="0" xfId="0" applyNumberFormat="1" applyFont="1" applyFill="1" applyAlignment="1">
      <alignment horizontal="center"/>
    </xf>
    <xf numFmtId="2" fontId="87" fillId="2" borderId="0" xfId="3" applyNumberFormat="1" applyFont="1" applyFill="1" applyAlignment="1">
      <alignment horizontal="center" vertical="center"/>
    </xf>
    <xf numFmtId="2" fontId="87" fillId="8" borderId="0" xfId="3" applyNumberFormat="1" applyFont="1" applyFill="1" applyAlignment="1">
      <alignment horizontal="center" vertical="center"/>
    </xf>
    <xf numFmtId="2" fontId="83" fillId="8" borderId="0" xfId="1" applyNumberFormat="1" applyFont="1" applyFill="1" applyAlignment="1">
      <alignment horizontal="center" vertical="center"/>
    </xf>
    <xf numFmtId="0" fontId="84" fillId="2" borderId="0" xfId="0" applyFont="1" applyFill="1" applyBorder="1" applyAlignment="1"/>
    <xf numFmtId="165" fontId="85" fillId="2" borderId="0" xfId="3" applyNumberFormat="1" applyFont="1" applyFill="1" applyBorder="1" applyAlignment="1">
      <alignment horizontal="center" vertical="center"/>
    </xf>
    <xf numFmtId="165" fontId="85" fillId="2" borderId="0" xfId="3" applyNumberFormat="1" applyFont="1" applyFill="1" applyBorder="1" applyAlignment="1">
      <alignment horizontal="left" vertical="center"/>
    </xf>
    <xf numFmtId="0" fontId="85" fillId="2" borderId="0" xfId="9" applyFont="1" applyFill="1" applyBorder="1" applyProtection="1"/>
    <xf numFmtId="0" fontId="90" fillId="2" borderId="0" xfId="9" applyFont="1" applyFill="1" applyBorder="1" applyAlignment="1" applyProtection="1">
      <alignment vertical="center"/>
    </xf>
    <xf numFmtId="0" fontId="85" fillId="2" borderId="0" xfId="9" quotePrefix="1" applyFont="1" applyFill="1" applyBorder="1" applyAlignment="1" applyProtection="1">
      <alignment horizontal="left"/>
    </xf>
    <xf numFmtId="0" fontId="90" fillId="19" borderId="9" xfId="9" applyFont="1" applyFill="1" applyBorder="1" applyAlignment="1" applyProtection="1">
      <alignment vertical="center"/>
    </xf>
    <xf numFmtId="0" fontId="85" fillId="19" borderId="8" xfId="9" quotePrefix="1" applyFont="1" applyFill="1" applyBorder="1" applyAlignment="1" applyProtection="1">
      <alignment horizontal="left"/>
    </xf>
    <xf numFmtId="0" fontId="85" fillId="19" borderId="8" xfId="9" applyFont="1" applyFill="1" applyBorder="1" applyProtection="1"/>
    <xf numFmtId="0" fontId="85" fillId="19" borderId="7" xfId="9" applyFont="1" applyFill="1" applyBorder="1" applyProtection="1"/>
    <xf numFmtId="0" fontId="85" fillId="2" borderId="24" xfId="9" applyFont="1" applyFill="1" applyBorder="1" applyProtection="1"/>
    <xf numFmtId="0" fontId="85" fillId="2" borderId="25" xfId="9" applyFont="1" applyFill="1" applyBorder="1" applyProtection="1"/>
    <xf numFmtId="0" fontId="92" fillId="2" borderId="24" xfId="9" applyFont="1" applyFill="1" applyBorder="1" applyAlignment="1" applyProtection="1">
      <alignment vertical="center"/>
    </xf>
    <xf numFmtId="0" fontId="92" fillId="2" borderId="0" xfId="9" applyFont="1" applyFill="1" applyBorder="1" applyAlignment="1" applyProtection="1">
      <alignment horizontal="center" vertical="center"/>
    </xf>
    <xf numFmtId="0" fontId="93" fillId="2" borderId="24" xfId="9" applyFont="1" applyFill="1" applyBorder="1" applyProtection="1"/>
    <xf numFmtId="186" fontId="93" fillId="2" borderId="0" xfId="9" applyNumberFormat="1" applyFont="1" applyFill="1" applyBorder="1" applyAlignment="1" applyProtection="1">
      <alignment horizontal="center"/>
    </xf>
    <xf numFmtId="187" fontId="93" fillId="2" borderId="0" xfId="9" applyNumberFormat="1" applyFont="1" applyFill="1" applyBorder="1" applyAlignment="1" applyProtection="1">
      <alignment horizontal="center"/>
    </xf>
    <xf numFmtId="0" fontId="85" fillId="2" borderId="26" xfId="9" applyFont="1" applyFill="1" applyBorder="1" applyProtection="1"/>
    <xf numFmtId="0" fontId="85" fillId="2" borderId="4" xfId="9" applyFont="1" applyFill="1" applyBorder="1" applyProtection="1"/>
    <xf numFmtId="0" fontId="85" fillId="2" borderId="23" xfId="9" applyFont="1" applyFill="1" applyBorder="1" applyProtection="1"/>
    <xf numFmtId="0" fontId="85" fillId="2" borderId="24" xfId="3" applyFont="1" applyFill="1" applyBorder="1" applyAlignment="1">
      <alignment horizontal="left" vertical="center"/>
    </xf>
    <xf numFmtId="168" fontId="85" fillId="2" borderId="25" xfId="3" applyNumberFormat="1" applyFont="1" applyFill="1" applyBorder="1" applyAlignment="1">
      <alignment horizontal="center" vertical="center"/>
    </xf>
    <xf numFmtId="0" fontId="88" fillId="2" borderId="26" xfId="1" applyFont="1" applyFill="1" applyBorder="1" applyAlignment="1">
      <alignment horizontal="left" vertical="center"/>
    </xf>
    <xf numFmtId="0" fontId="85" fillId="20" borderId="24" xfId="3" applyFont="1" applyFill="1" applyBorder="1" applyAlignment="1">
      <alignment horizontal="left" vertical="center"/>
    </xf>
    <xf numFmtId="168" fontId="85" fillId="20" borderId="25" xfId="3" applyNumberFormat="1" applyFont="1" applyFill="1" applyBorder="1" applyAlignment="1">
      <alignment horizontal="center" vertical="center"/>
    </xf>
    <xf numFmtId="0" fontId="82" fillId="20" borderId="24" xfId="0" applyFont="1" applyFill="1" applyBorder="1"/>
    <xf numFmtId="169" fontId="85" fillId="20" borderId="25" xfId="3" applyNumberFormat="1" applyFont="1" applyFill="1" applyBorder="1" applyAlignment="1">
      <alignment horizontal="center" vertical="center"/>
    </xf>
    <xf numFmtId="0" fontId="90" fillId="19" borderId="7" xfId="9" applyFont="1" applyFill="1" applyBorder="1" applyAlignment="1" applyProtection="1">
      <alignment vertical="center"/>
    </xf>
    <xf numFmtId="0" fontId="0" fillId="16" borderId="0" xfId="0" applyFill="1"/>
    <xf numFmtId="1" fontId="0" fillId="2" borderId="0" xfId="0" applyNumberFormat="1" applyFill="1"/>
    <xf numFmtId="0" fontId="94" fillId="2" borderId="0" xfId="8" applyFont="1" applyFill="1" applyProtection="1"/>
    <xf numFmtId="0" fontId="94" fillId="2" borderId="0" xfId="8" applyFont="1" applyFill="1" applyAlignment="1" applyProtection="1">
      <alignment horizontal="left" indent="2"/>
    </xf>
    <xf numFmtId="0" fontId="75" fillId="2" borderId="0" xfId="0" applyFont="1" applyFill="1"/>
    <xf numFmtId="3" fontId="80" fillId="2" borderId="0" xfId="0" applyNumberFormat="1" applyFont="1" applyFill="1"/>
    <xf numFmtId="171" fontId="24" fillId="6" borderId="3" xfId="4" applyNumberFormat="1" applyFont="1" applyFill="1" applyBorder="1" applyAlignment="1">
      <alignment horizontal="center"/>
    </xf>
    <xf numFmtId="183" fontId="24" fillId="6" borderId="3" xfId="0" applyNumberFormat="1" applyFont="1" applyFill="1" applyBorder="1" applyAlignment="1">
      <alignment horizontal="center"/>
    </xf>
    <xf numFmtId="10" fontId="85" fillId="8" borderId="0" xfId="1" applyNumberFormat="1" applyFont="1" applyFill="1" applyAlignment="1">
      <alignment horizontal="center" vertical="center"/>
    </xf>
    <xf numFmtId="171" fontId="85" fillId="8" borderId="0" xfId="1" applyNumberFormat="1" applyFont="1" applyFill="1" applyAlignment="1">
      <alignment horizontal="center" vertical="center"/>
    </xf>
    <xf numFmtId="183" fontId="85" fillId="8" borderId="0" xfId="1" applyNumberFormat="1" applyFont="1" applyFill="1" applyAlignment="1">
      <alignment horizontal="center" vertical="center"/>
    </xf>
    <xf numFmtId="164" fontId="85" fillId="2" borderId="0" xfId="0" applyNumberFormat="1" applyFont="1" applyFill="1" applyAlignment="1">
      <alignment horizontal="center"/>
    </xf>
    <xf numFmtId="9" fontId="85" fillId="8" borderId="0" xfId="3" applyNumberFormat="1" applyFont="1" applyFill="1" applyAlignment="1">
      <alignment horizontal="center" vertical="center"/>
    </xf>
    <xf numFmtId="3" fontId="85" fillId="8" borderId="0" xfId="0" applyNumberFormat="1" applyFont="1" applyFill="1" applyAlignment="1">
      <alignment horizontal="center"/>
    </xf>
    <xf numFmtId="9" fontId="95" fillId="8" borderId="0" xfId="1" applyNumberFormat="1" applyFont="1" applyFill="1" applyAlignment="1">
      <alignment horizontal="center" vertical="center"/>
    </xf>
    <xf numFmtId="9" fontId="87" fillId="8" borderId="0" xfId="3" applyNumberFormat="1" applyFont="1" applyFill="1" applyAlignment="1">
      <alignment horizontal="center" vertical="center"/>
    </xf>
    <xf numFmtId="9" fontId="24" fillId="6" borderId="3" xfId="4" applyNumberFormat="1" applyFont="1" applyFill="1" applyBorder="1" applyAlignment="1">
      <alignment horizontal="center"/>
    </xf>
    <xf numFmtId="9" fontId="91" fillId="2" borderId="0" xfId="3" applyNumberFormat="1" applyFont="1" applyFill="1" applyAlignment="1">
      <alignment horizontal="center" vertical="center"/>
    </xf>
    <xf numFmtId="9" fontId="87" fillId="2" borderId="0" xfId="3" applyNumberFormat="1" applyFont="1" applyFill="1" applyAlignment="1">
      <alignment horizontal="center" vertical="center"/>
    </xf>
    <xf numFmtId="164" fontId="87" fillId="6" borderId="3" xfId="0" applyNumberFormat="1" applyFont="1" applyFill="1" applyBorder="1" applyAlignment="1">
      <alignment horizontal="center"/>
    </xf>
    <xf numFmtId="0" fontId="85" fillId="2" borderId="0" xfId="0" applyFont="1" applyFill="1"/>
    <xf numFmtId="0" fontId="96" fillId="2" borderId="0" xfId="0" applyFont="1" applyFill="1" applyBorder="1"/>
    <xf numFmtId="165" fontId="96" fillId="2" borderId="0" xfId="3" applyNumberFormat="1" applyFont="1" applyFill="1" applyAlignment="1">
      <alignment horizontal="left" vertical="center"/>
    </xf>
    <xf numFmtId="0" fontId="96" fillId="2" borderId="0" xfId="0" applyFont="1" applyFill="1"/>
    <xf numFmtId="0" fontId="82" fillId="8" borderId="0" xfId="0" applyFont="1" applyFill="1" applyAlignment="1">
      <alignment horizontal="center"/>
    </xf>
    <xf numFmtId="9" fontId="25" fillId="8" borderId="0" xfId="4" applyFont="1" applyFill="1" applyAlignment="1">
      <alignment horizontal="center" vertical="center"/>
    </xf>
    <xf numFmtId="166" fontId="22" fillId="2" borderId="0" xfId="0" applyNumberFormat="1" applyFont="1" applyFill="1" applyAlignment="1">
      <alignment horizontal="center"/>
    </xf>
    <xf numFmtId="3" fontId="30" fillId="2" borderId="8" xfId="0" applyNumberFormat="1" applyFont="1" applyFill="1" applyBorder="1" applyAlignment="1">
      <alignment horizontal="center"/>
    </xf>
    <xf numFmtId="164" fontId="24" fillId="6" borderId="9" xfId="0" applyNumberFormat="1" applyFont="1" applyFill="1" applyBorder="1" applyAlignment="1">
      <alignment horizontal="center"/>
    </xf>
    <xf numFmtId="164" fontId="25" fillId="6" borderId="7" xfId="0" applyNumberFormat="1" applyFont="1" applyFill="1" applyBorder="1" applyAlignment="1">
      <alignment horizontal="center"/>
    </xf>
    <xf numFmtId="166" fontId="26" fillId="8" borderId="0" xfId="1" applyNumberFormat="1" applyFont="1" applyFill="1" applyAlignment="1">
      <alignment horizontal="center" vertical="center"/>
    </xf>
    <xf numFmtId="166" fontId="26" fillId="8" borderId="0" xfId="1" applyNumberFormat="1" applyFont="1" applyFill="1" applyBorder="1" applyAlignment="1">
      <alignment horizontal="center" vertical="center"/>
    </xf>
    <xf numFmtId="169" fontId="22" fillId="8" borderId="0" xfId="0" applyNumberFormat="1" applyFont="1" applyFill="1" applyAlignment="1">
      <alignment horizontal="center"/>
    </xf>
    <xf numFmtId="166" fontId="25" fillId="8" borderId="0" xfId="1" applyNumberFormat="1" applyFont="1" applyFill="1" applyBorder="1" applyAlignment="1">
      <alignment horizontal="center" vertical="center"/>
    </xf>
    <xf numFmtId="0" fontId="97" fillId="8" borderId="4" xfId="0" applyFont="1" applyFill="1" applyBorder="1"/>
    <xf numFmtId="166" fontId="25" fillId="8" borderId="0" xfId="0" applyNumberFormat="1" applyFont="1" applyFill="1" applyAlignment="1">
      <alignment horizontal="center"/>
    </xf>
    <xf numFmtId="164" fontId="26" fillId="8" borderId="0" xfId="1" applyNumberFormat="1" applyFont="1" applyFill="1" applyBorder="1" applyAlignment="1">
      <alignment horizontal="center" vertical="center"/>
    </xf>
    <xf numFmtId="3" fontId="30" fillId="8" borderId="8" xfId="0" applyNumberFormat="1" applyFont="1" applyFill="1" applyBorder="1" applyAlignment="1">
      <alignment horizontal="center"/>
    </xf>
    <xf numFmtId="166" fontId="24" fillId="8" borderId="0" xfId="0" applyNumberFormat="1" applyFont="1" applyFill="1" applyBorder="1" applyAlignment="1">
      <alignment horizontal="center"/>
    </xf>
    <xf numFmtId="2" fontId="24" fillId="8" borderId="0" xfId="0" applyNumberFormat="1" applyFont="1" applyFill="1" applyBorder="1" applyAlignment="1">
      <alignment horizontal="center"/>
    </xf>
    <xf numFmtId="169" fontId="24" fillId="8" borderId="0" xfId="0" applyNumberFormat="1" applyFont="1" applyFill="1" applyAlignment="1">
      <alignment horizontal="center"/>
    </xf>
    <xf numFmtId="2" fontId="24" fillId="6" borderId="8" xfId="0" applyNumberFormat="1" applyFont="1" applyFill="1" applyBorder="1" applyAlignment="1">
      <alignment horizontal="center"/>
    </xf>
    <xf numFmtId="1" fontId="28" fillId="2" borderId="2" xfId="0" applyNumberFormat="1" applyFont="1" applyFill="1" applyBorder="1" applyAlignment="1">
      <alignment horizontal="center"/>
    </xf>
    <xf numFmtId="9" fontId="25" fillId="2" borderId="0" xfId="0" applyNumberFormat="1" applyFont="1" applyFill="1" applyBorder="1" applyAlignment="1">
      <alignment horizontal="center"/>
    </xf>
    <xf numFmtId="0" fontId="27" fillId="2" borderId="0" xfId="1" applyFont="1" applyFill="1" applyBorder="1" applyAlignment="1">
      <alignment horizontal="left" vertical="center"/>
    </xf>
    <xf numFmtId="0" fontId="42" fillId="2" borderId="0" xfId="0" applyFont="1" applyFill="1" applyBorder="1" applyAlignment="1">
      <alignment horizontal="center"/>
    </xf>
    <xf numFmtId="0" fontId="23" fillId="2" borderId="0" xfId="1" applyFont="1" applyFill="1" applyBorder="1" applyAlignment="1">
      <alignment horizontal="left" vertical="center"/>
    </xf>
    <xf numFmtId="9" fontId="18" fillId="8" borderId="0" xfId="4" applyFont="1" applyFill="1" applyBorder="1" applyAlignment="1">
      <alignment horizontal="center"/>
    </xf>
    <xf numFmtId="9" fontId="18" fillId="2" borderId="0" xfId="0" applyNumberFormat="1" applyFont="1" applyFill="1" applyBorder="1" applyAlignment="1">
      <alignment horizontal="center"/>
    </xf>
    <xf numFmtId="9" fontId="24" fillId="6" borderId="8" xfId="4" applyFont="1" applyFill="1" applyBorder="1" applyAlignment="1">
      <alignment horizontal="center"/>
    </xf>
    <xf numFmtId="0" fontId="19" fillId="2" borderId="0" xfId="0" applyFont="1" applyFill="1" applyBorder="1" applyAlignment="1">
      <alignment horizontal="center"/>
    </xf>
    <xf numFmtId="2" fontId="25" fillId="2" borderId="0" xfId="0" applyNumberFormat="1" applyFont="1" applyFill="1" applyBorder="1" applyAlignment="1">
      <alignment horizontal="center"/>
    </xf>
    <xf numFmtId="2" fontId="25" fillId="8" borderId="0" xfId="0" applyNumberFormat="1" applyFont="1" applyFill="1" applyBorder="1" applyAlignment="1">
      <alignment horizontal="center"/>
    </xf>
    <xf numFmtId="14" fontId="83" fillId="8" borderId="0" xfId="1" applyNumberFormat="1" applyFont="1" applyFill="1" applyBorder="1" applyAlignment="1">
      <alignment horizontal="center" vertical="center"/>
    </xf>
    <xf numFmtId="0" fontId="24" fillId="8" borderId="0" xfId="0" applyFont="1" applyFill="1" applyBorder="1"/>
    <xf numFmtId="0" fontId="28" fillId="8" borderId="0" xfId="0" applyFont="1" applyFill="1" applyBorder="1"/>
    <xf numFmtId="0" fontId="22" fillId="8" borderId="0" xfId="0" applyFont="1" applyFill="1" applyBorder="1"/>
    <xf numFmtId="0" fontId="25" fillId="2" borderId="0" xfId="0" applyFont="1" applyFill="1" applyBorder="1"/>
    <xf numFmtId="3" fontId="25" fillId="8" borderId="0" xfId="0" applyNumberFormat="1" applyFont="1" applyFill="1" applyAlignment="1">
      <alignment horizontal="center"/>
    </xf>
    <xf numFmtId="0" fontId="25" fillId="8" borderId="0" xfId="0" applyFont="1" applyFill="1"/>
    <xf numFmtId="167" fontId="24" fillId="6" borderId="26" xfId="0" applyNumberFormat="1" applyFont="1" applyFill="1" applyBorder="1" applyAlignment="1">
      <alignment horizontal="center"/>
    </xf>
    <xf numFmtId="164" fontId="28" fillId="2" borderId="8" xfId="0" applyNumberFormat="1" applyFont="1" applyFill="1" applyBorder="1" applyAlignment="1">
      <alignment horizontal="center"/>
    </xf>
    <xf numFmtId="10" fontId="25" fillId="8" borderId="0" xfId="4" applyNumberFormat="1" applyFont="1" applyFill="1" applyAlignment="1">
      <alignment horizontal="center" vertical="center"/>
    </xf>
    <xf numFmtId="10" fontId="25" fillId="2" borderId="0" xfId="4" applyNumberFormat="1" applyFont="1" applyFill="1" applyAlignment="1">
      <alignment horizontal="center" vertical="center"/>
    </xf>
    <xf numFmtId="164" fontId="68" fillId="2" borderId="0" xfId="0" applyNumberFormat="1" applyFont="1" applyFill="1" applyBorder="1" applyAlignment="1">
      <alignment horizontal="center"/>
    </xf>
    <xf numFmtId="2" fontId="22" fillId="2" borderId="0" xfId="0" applyNumberFormat="1" applyFont="1" applyFill="1" applyBorder="1" applyAlignment="1">
      <alignment horizontal="center"/>
    </xf>
    <xf numFmtId="0" fontId="28" fillId="8" borderId="4" xfId="0" applyFont="1" applyFill="1" applyBorder="1" applyAlignment="1">
      <alignment horizontal="center"/>
    </xf>
    <xf numFmtId="0" fontId="24" fillId="6" borderId="8" xfId="0" applyFont="1" applyFill="1" applyBorder="1" applyAlignment="1">
      <alignment horizontal="center"/>
    </xf>
    <xf numFmtId="9" fontId="22" fillId="2" borderId="0" xfId="0" applyNumberFormat="1" applyFont="1" applyFill="1" applyBorder="1" applyAlignment="1">
      <alignment horizontal="center"/>
    </xf>
    <xf numFmtId="9" fontId="25" fillId="6" borderId="3" xfId="4" applyFont="1" applyFill="1" applyBorder="1" applyAlignment="1">
      <alignment horizontal="center"/>
    </xf>
    <xf numFmtId="1" fontId="24" fillId="2" borderId="0" xfId="0" applyNumberFormat="1" applyFont="1" applyFill="1" applyAlignment="1">
      <alignment horizontal="center"/>
    </xf>
    <xf numFmtId="44" fontId="18" fillId="2" borderId="0" xfId="0" applyNumberFormat="1" applyFont="1" applyFill="1"/>
    <xf numFmtId="44" fontId="23" fillId="8" borderId="0" xfId="4" applyNumberFormat="1" applyFont="1" applyFill="1" applyAlignment="1">
      <alignment horizontal="center" vertical="center"/>
    </xf>
    <xf numFmtId="44" fontId="22" fillId="2" borderId="0" xfId="0" applyNumberFormat="1" applyFont="1" applyFill="1"/>
    <xf numFmtId="44" fontId="24" fillId="2" borderId="0" xfId="4" applyNumberFormat="1" applyFont="1" applyFill="1" applyBorder="1" applyAlignment="1">
      <alignment horizontal="center"/>
    </xf>
    <xf numFmtId="177" fontId="23" fillId="2" borderId="0" xfId="1" applyNumberFormat="1" applyFont="1" applyFill="1" applyAlignment="1">
      <alignment horizontal="center" vertical="center"/>
    </xf>
    <xf numFmtId="177" fontId="23" fillId="8" borderId="0" xfId="1" applyNumberFormat="1" applyFont="1" applyFill="1" applyAlignment="1">
      <alignment horizontal="center" vertical="center"/>
    </xf>
    <xf numFmtId="177" fontId="24" fillId="6" borderId="7" xfId="4" applyNumberFormat="1" applyFont="1" applyFill="1" applyBorder="1" applyAlignment="1">
      <alignment horizontal="center"/>
    </xf>
    <xf numFmtId="177" fontId="22" fillId="2" borderId="0" xfId="0" applyNumberFormat="1" applyFont="1" applyFill="1" applyAlignment="1">
      <alignment horizontal="center"/>
    </xf>
    <xf numFmtId="0" fontId="28" fillId="8" borderId="2" xfId="0" applyFont="1" applyFill="1" applyBorder="1"/>
    <xf numFmtId="165" fontId="25" fillId="8" borderId="0" xfId="0" applyNumberFormat="1" applyFont="1" applyFill="1" applyAlignment="1">
      <alignment horizontal="center"/>
    </xf>
    <xf numFmtId="165" fontId="25" fillId="2" borderId="0" xfId="0" applyNumberFormat="1" applyFont="1" applyFill="1" applyBorder="1" applyAlignment="1">
      <alignment horizontal="center"/>
    </xf>
    <xf numFmtId="168" fontId="25" fillId="2" borderId="0" xfId="0" applyNumberFormat="1" applyFont="1" applyFill="1" applyBorder="1" applyAlignment="1">
      <alignment horizontal="center"/>
    </xf>
    <xf numFmtId="169" fontId="25" fillId="2" borderId="0" xfId="0" applyNumberFormat="1" applyFont="1" applyFill="1" applyBorder="1" applyAlignment="1">
      <alignment horizontal="center"/>
    </xf>
    <xf numFmtId="164" fontId="26" fillId="8" borderId="0" xfId="0" applyNumberFormat="1" applyFont="1" applyFill="1" applyBorder="1" applyAlignment="1">
      <alignment horizontal="center"/>
    </xf>
    <xf numFmtId="164" fontId="30" fillId="8" borderId="4" xfId="1" applyNumberFormat="1" applyFont="1" applyFill="1" applyBorder="1" applyAlignment="1">
      <alignment horizontal="center" vertical="center"/>
    </xf>
    <xf numFmtId="169" fontId="68" fillId="8" borderId="0" xfId="7" applyNumberFormat="1" applyFont="1" applyFill="1" applyAlignment="1">
      <alignment horizontal="center"/>
    </xf>
    <xf numFmtId="169" fontId="24" fillId="8" borderId="3" xfId="0" applyNumberFormat="1" applyFont="1" applyFill="1" applyBorder="1" applyAlignment="1">
      <alignment horizontal="center"/>
    </xf>
    <xf numFmtId="164" fontId="42" fillId="8" borderId="2" xfId="1" applyNumberFormat="1" applyFont="1" applyFill="1" applyBorder="1" applyAlignment="1">
      <alignment horizontal="center" vertical="center"/>
    </xf>
    <xf numFmtId="9" fontId="23" fillId="8" borderId="0" xfId="4" applyFont="1" applyFill="1" applyBorder="1" applyAlignment="1">
      <alignment horizontal="center" vertical="center"/>
    </xf>
    <xf numFmtId="9" fontId="23" fillId="2" borderId="0" xfId="4" applyFont="1" applyFill="1" applyBorder="1" applyAlignment="1">
      <alignment horizontal="center" vertical="center"/>
    </xf>
    <xf numFmtId="0" fontId="25" fillId="8" borderId="4" xfId="0" applyFont="1" applyFill="1" applyBorder="1" applyAlignment="1">
      <alignment horizontal="center"/>
    </xf>
    <xf numFmtId="164" fontId="25" fillId="2" borderId="8" xfId="1" applyNumberFormat="1" applyFont="1" applyFill="1" applyBorder="1" applyAlignment="1">
      <alignment horizontal="center" vertical="center"/>
    </xf>
    <xf numFmtId="166" fontId="24" fillId="8" borderId="2" xfId="1" applyNumberFormat="1" applyFont="1" applyFill="1" applyBorder="1" applyAlignment="1">
      <alignment horizontal="center" vertical="center"/>
    </xf>
    <xf numFmtId="0" fontId="41" fillId="2" borderId="0" xfId="0" applyFont="1" applyFill="1" applyBorder="1" applyAlignment="1">
      <alignment horizontal="center"/>
    </xf>
    <xf numFmtId="165" fontId="25" fillId="8" borderId="0" xfId="0" applyNumberFormat="1" applyFont="1" applyFill="1" applyBorder="1" applyAlignment="1">
      <alignment horizontal="center"/>
    </xf>
    <xf numFmtId="1" fontId="41" fillId="2" borderId="0" xfId="0" applyNumberFormat="1" applyFont="1" applyFill="1" applyBorder="1" applyAlignment="1">
      <alignment horizontal="center"/>
    </xf>
    <xf numFmtId="164" fontId="40" fillId="2" borderId="0" xfId="0" applyNumberFormat="1" applyFont="1" applyFill="1" applyBorder="1" applyAlignment="1">
      <alignment horizontal="center"/>
    </xf>
    <xf numFmtId="164" fontId="38" fillId="2" borderId="0" xfId="0" applyNumberFormat="1" applyFont="1" applyFill="1" applyBorder="1" applyAlignment="1">
      <alignment horizontal="center"/>
    </xf>
    <xf numFmtId="0" fontId="36" fillId="8" borderId="0" xfId="0" applyFont="1" applyFill="1" applyBorder="1" applyAlignment="1">
      <alignment horizontal="center"/>
    </xf>
    <xf numFmtId="0" fontId="41" fillId="8" borderId="2" xfId="0" applyFont="1" applyFill="1" applyBorder="1" applyAlignment="1">
      <alignment horizontal="center"/>
    </xf>
    <xf numFmtId="168" fontId="29" fillId="6" borderId="3" xfId="0" applyNumberFormat="1" applyFont="1" applyFill="1" applyBorder="1" applyAlignment="1">
      <alignment horizontal="center"/>
    </xf>
    <xf numFmtId="168" fontId="68" fillId="2" borderId="0" xfId="0" applyNumberFormat="1" applyFont="1" applyFill="1"/>
    <xf numFmtId="168" fontId="22" fillId="2" borderId="0" xfId="0" applyNumberFormat="1" applyFont="1" applyFill="1"/>
    <xf numFmtId="168" fontId="28" fillId="2" borderId="2" xfId="0" applyNumberFormat="1" applyFont="1" applyFill="1" applyBorder="1"/>
    <xf numFmtId="184" fontId="22" fillId="2" borderId="0" xfId="0" applyNumberFormat="1" applyFont="1" applyFill="1" applyAlignment="1">
      <alignment horizontal="center"/>
    </xf>
    <xf numFmtId="1" fontId="30" fillId="2" borderId="8" xfId="0" applyNumberFormat="1" applyFont="1" applyFill="1" applyBorder="1" applyAlignment="1">
      <alignment horizontal="center"/>
    </xf>
    <xf numFmtId="168" fontId="68" fillId="2" borderId="0" xfId="0" applyNumberFormat="1" applyFont="1" applyFill="1" applyAlignment="1">
      <alignment horizontal="right"/>
    </xf>
    <xf numFmtId="181" fontId="24" fillId="8" borderId="0" xfId="0" applyNumberFormat="1" applyFont="1" applyFill="1" applyAlignment="1">
      <alignment horizontal="center"/>
    </xf>
    <xf numFmtId="1" fontId="25" fillId="8" borderId="0" xfId="0" applyNumberFormat="1" applyFont="1" applyFill="1" applyBorder="1" applyAlignment="1">
      <alignment horizontal="center"/>
    </xf>
    <xf numFmtId="1" fontId="25" fillId="2" borderId="0" xfId="0" applyNumberFormat="1" applyFont="1" applyFill="1" applyBorder="1" applyAlignment="1">
      <alignment horizontal="center"/>
    </xf>
    <xf numFmtId="165" fontId="22" fillId="2" borderId="0" xfId="0" applyNumberFormat="1" applyFont="1" applyFill="1" applyBorder="1" applyAlignment="1">
      <alignment horizontal="center"/>
    </xf>
    <xf numFmtId="0" fontId="25" fillId="20" borderId="0" xfId="1" applyFont="1" applyFill="1" applyAlignment="1">
      <alignment horizontal="center" vertical="center"/>
    </xf>
    <xf numFmtId="9" fontId="25" fillId="20" borderId="0" xfId="4" applyFont="1" applyFill="1" applyAlignment="1">
      <alignment horizontal="center" vertical="center"/>
    </xf>
    <xf numFmtId="9" fontId="24" fillId="20" borderId="0" xfId="4" applyFont="1" applyFill="1" applyBorder="1" applyAlignment="1">
      <alignment horizontal="center"/>
    </xf>
    <xf numFmtId="172" fontId="25" fillId="20" borderId="0" xfId="1" applyNumberFormat="1" applyFont="1" applyFill="1" applyAlignment="1">
      <alignment horizontal="center" vertical="center"/>
    </xf>
    <xf numFmtId="172" fontId="25" fillId="20" borderId="0" xfId="1" applyNumberFormat="1" applyFont="1" applyFill="1" applyBorder="1" applyAlignment="1">
      <alignment horizontal="center" vertical="center"/>
    </xf>
    <xf numFmtId="3" fontId="25" fillId="20" borderId="0" xfId="1" applyNumberFormat="1" applyFont="1" applyFill="1" applyAlignment="1">
      <alignment horizontal="center" vertical="center"/>
    </xf>
    <xf numFmtId="170" fontId="25" fillId="20" borderId="0" xfId="1" applyNumberFormat="1" applyFont="1" applyFill="1" applyAlignment="1">
      <alignment horizontal="center" vertical="center"/>
    </xf>
    <xf numFmtId="0" fontId="30" fillId="20" borderId="0" xfId="1" applyFont="1" applyFill="1" applyAlignment="1">
      <alignment horizontal="center" vertical="center"/>
    </xf>
    <xf numFmtId="9" fontId="25" fillId="2" borderId="0" xfId="4" applyFont="1" applyFill="1" applyBorder="1" applyAlignment="1">
      <alignment horizontal="center"/>
    </xf>
    <xf numFmtId="164" fontId="24" fillId="6" borderId="9" xfId="1" applyNumberFormat="1" applyFont="1" applyFill="1" applyBorder="1" applyAlignment="1">
      <alignment horizontal="center" vertical="center"/>
    </xf>
    <xf numFmtId="164" fontId="24" fillId="6" borderId="7" xfId="1" applyNumberFormat="1" applyFont="1" applyFill="1" applyBorder="1" applyAlignment="1">
      <alignment horizontal="center" vertical="center"/>
    </xf>
    <xf numFmtId="164" fontId="24" fillId="6" borderId="8" xfId="1" applyNumberFormat="1" applyFont="1" applyFill="1" applyBorder="1" applyAlignment="1">
      <alignment horizontal="center" vertical="center"/>
    </xf>
    <xf numFmtId="9" fontId="24" fillId="6" borderId="8" xfId="4" applyFont="1" applyFill="1" applyBorder="1" applyAlignment="1">
      <alignment horizontal="center" vertical="center"/>
    </xf>
    <xf numFmtId="171" fontId="24" fillId="6" borderId="8" xfId="4" applyNumberFormat="1" applyFont="1" applyFill="1" applyBorder="1" applyAlignment="1">
      <alignment horizontal="center" vertical="center"/>
    </xf>
    <xf numFmtId="171" fontId="25" fillId="2" borderId="0" xfId="4" applyNumberFormat="1" applyFont="1" applyFill="1" applyBorder="1" applyAlignment="1">
      <alignment horizontal="center" vertical="center"/>
    </xf>
    <xf numFmtId="0" fontId="24" fillId="2" borderId="0" xfId="2" applyNumberFormat="1" applyFont="1" applyFill="1" applyAlignment="1">
      <alignment horizontal="center" vertical="center"/>
    </xf>
    <xf numFmtId="0" fontId="24" fillId="8" borderId="0" xfId="1" applyFont="1" applyFill="1" applyAlignment="1">
      <alignment horizontal="center" vertical="center"/>
    </xf>
    <xf numFmtId="10" fontId="22" fillId="2" borderId="0" xfId="4" applyNumberFormat="1" applyFont="1" applyFill="1" applyAlignment="1">
      <alignment horizontal="center"/>
    </xf>
    <xf numFmtId="10" fontId="24" fillId="6" borderId="9" xfId="1" applyNumberFormat="1" applyFont="1" applyFill="1" applyBorder="1" applyAlignment="1">
      <alignment horizontal="center" vertical="center"/>
    </xf>
    <xf numFmtId="10" fontId="22" fillId="2" borderId="0" xfId="0" applyNumberFormat="1" applyFont="1" applyFill="1" applyAlignment="1">
      <alignment horizontal="center"/>
    </xf>
    <xf numFmtId="3" fontId="30" fillId="2" borderId="0" xfId="1" applyNumberFormat="1" applyFont="1" applyFill="1" applyBorder="1" applyAlignment="1">
      <alignment horizontal="center" vertical="center"/>
    </xf>
    <xf numFmtId="164" fontId="24" fillId="6" borderId="4" xfId="1" applyNumberFormat="1" applyFont="1" applyFill="1" applyBorder="1" applyAlignment="1">
      <alignment horizontal="center" vertical="center"/>
    </xf>
    <xf numFmtId="164" fontId="25" fillId="2" borderId="23" xfId="1" applyNumberFormat="1" applyFont="1" applyFill="1" applyBorder="1" applyAlignment="1">
      <alignment horizontal="center" vertical="center"/>
    </xf>
    <xf numFmtId="164" fontId="25" fillId="2" borderId="6" xfId="1" applyNumberFormat="1" applyFont="1" applyFill="1" applyBorder="1" applyAlignment="1">
      <alignment horizontal="center" vertical="center"/>
    </xf>
    <xf numFmtId="0" fontId="90" fillId="2" borderId="0" xfId="1" applyFont="1" applyFill="1" applyAlignment="1">
      <alignment horizontal="left" vertical="center"/>
    </xf>
    <xf numFmtId="164" fontId="85" fillId="2" borderId="0" xfId="1" applyNumberFormat="1" applyFont="1" applyFill="1" applyAlignment="1">
      <alignment horizontal="center" vertical="center"/>
    </xf>
    <xf numFmtId="164" fontId="85" fillId="8" borderId="0" xfId="1" applyNumberFormat="1" applyFont="1" applyFill="1" applyAlignment="1">
      <alignment horizontal="center" vertical="center"/>
    </xf>
    <xf numFmtId="0" fontId="85" fillId="2" borderId="0" xfId="0" applyFont="1" applyFill="1" applyAlignment="1">
      <alignment horizontal="center"/>
    </xf>
    <xf numFmtId="0" fontId="85" fillId="2" borderId="0" xfId="1" applyFont="1" applyFill="1" applyAlignment="1">
      <alignment horizontal="left" vertical="center" indent="2"/>
    </xf>
    <xf numFmtId="164" fontId="82" fillId="8" borderId="0" xfId="0" applyNumberFormat="1" applyFont="1" applyFill="1" applyAlignment="1">
      <alignment horizontal="center"/>
    </xf>
    <xf numFmtId="0" fontId="90" fillId="2" borderId="2" xfId="1" applyFont="1" applyFill="1" applyBorder="1" applyAlignment="1">
      <alignment horizontal="left" vertical="center"/>
    </xf>
    <xf numFmtId="0" fontId="84" fillId="2" borderId="2" xfId="0" applyFont="1" applyFill="1" applyBorder="1"/>
    <xf numFmtId="164" fontId="84" fillId="2" borderId="2" xfId="0" applyNumberFormat="1" applyFont="1" applyFill="1" applyBorder="1" applyAlignment="1">
      <alignment horizontal="center"/>
    </xf>
    <xf numFmtId="164" fontId="84" fillId="8" borderId="2" xfId="0" applyNumberFormat="1" applyFont="1" applyFill="1" applyBorder="1" applyAlignment="1">
      <alignment horizontal="center"/>
    </xf>
    <xf numFmtId="164" fontId="82" fillId="2" borderId="0" xfId="0" applyNumberFormat="1" applyFont="1" applyFill="1" applyBorder="1" applyAlignment="1">
      <alignment horizontal="center"/>
    </xf>
    <xf numFmtId="164" fontId="82" fillId="8" borderId="0" xfId="0" applyNumberFormat="1" applyFont="1" applyFill="1" applyBorder="1" applyAlignment="1">
      <alignment horizontal="center"/>
    </xf>
    <xf numFmtId="0" fontId="90" fillId="2" borderId="0" xfId="0" applyFont="1" applyFill="1" applyBorder="1" applyAlignment="1">
      <alignment horizontal="center"/>
    </xf>
    <xf numFmtId="0" fontId="90" fillId="2" borderId="0" xfId="1" applyFont="1" applyFill="1" applyBorder="1" applyAlignment="1">
      <alignment horizontal="left" vertical="center"/>
    </xf>
    <xf numFmtId="0" fontId="84" fillId="2" borderId="0" xfId="0" applyFont="1" applyFill="1" applyBorder="1"/>
    <xf numFmtId="164" fontId="84" fillId="2" borderId="0" xfId="0" applyNumberFormat="1" applyFont="1" applyFill="1" applyBorder="1" applyAlignment="1">
      <alignment horizontal="center"/>
    </xf>
    <xf numFmtId="164" fontId="84" fillId="8" borderId="0" xfId="0" applyNumberFormat="1" applyFont="1" applyFill="1" applyBorder="1" applyAlignment="1">
      <alignment horizontal="center"/>
    </xf>
    <xf numFmtId="0" fontId="30" fillId="2" borderId="4" xfId="1" applyFont="1" applyFill="1" applyBorder="1" applyAlignment="1">
      <alignment horizontal="left" vertical="center"/>
    </xf>
    <xf numFmtId="0" fontId="24" fillId="2" borderId="0" xfId="1" applyFont="1" applyFill="1" applyAlignment="1">
      <alignment horizontal="center" vertical="center"/>
    </xf>
    <xf numFmtId="0" fontId="25" fillId="2" borderId="0" xfId="1" applyFont="1" applyFill="1" applyBorder="1" applyAlignment="1">
      <alignment horizontal="left" vertical="center" indent="2"/>
    </xf>
    <xf numFmtId="164" fontId="24" fillId="6" borderId="0" xfId="1" applyNumberFormat="1" applyFont="1" applyFill="1" applyBorder="1" applyAlignment="1">
      <alignment horizontal="center" vertical="center"/>
    </xf>
    <xf numFmtId="2" fontId="25" fillId="2" borderId="0" xfId="0" applyNumberFormat="1" applyFont="1" applyFill="1" applyAlignment="1">
      <alignment horizontal="center"/>
    </xf>
    <xf numFmtId="164" fontId="87" fillId="8" borderId="0" xfId="0" applyNumberFormat="1" applyFont="1" applyFill="1" applyBorder="1" applyAlignment="1">
      <alignment horizontal="center"/>
    </xf>
    <xf numFmtId="2" fontId="84" fillId="2" borderId="0" xfId="0" applyNumberFormat="1" applyFont="1" applyFill="1" applyBorder="1" applyAlignment="1">
      <alignment horizontal="center"/>
    </xf>
    <xf numFmtId="2" fontId="84" fillId="8" borderId="0" xfId="0" applyNumberFormat="1" applyFont="1" applyFill="1" applyBorder="1" applyAlignment="1">
      <alignment horizontal="center"/>
    </xf>
    <xf numFmtId="2" fontId="85" fillId="2" borderId="0" xfId="0" applyNumberFormat="1" applyFont="1" applyFill="1"/>
    <xf numFmtId="1" fontId="87" fillId="2" borderId="0" xfId="4" applyNumberFormat="1" applyFont="1" applyFill="1" applyBorder="1" applyAlignment="1">
      <alignment horizontal="center"/>
    </xf>
    <xf numFmtId="1" fontId="87" fillId="8" borderId="0" xfId="0" applyNumberFormat="1" applyFont="1" applyFill="1" applyBorder="1" applyAlignment="1">
      <alignment horizontal="center"/>
    </xf>
    <xf numFmtId="0" fontId="85" fillId="2" borderId="24" xfId="9" applyFont="1" applyFill="1" applyBorder="1" applyAlignment="1" applyProtection="1">
      <alignment vertical="center"/>
    </xf>
    <xf numFmtId="1" fontId="85" fillId="2" borderId="0" xfId="9" applyNumberFormat="1" applyFont="1" applyFill="1" applyBorder="1" applyAlignment="1" applyProtection="1">
      <alignment horizontal="center" vertical="center"/>
    </xf>
    <xf numFmtId="9" fontId="85" fillId="2" borderId="0" xfId="9" applyNumberFormat="1" applyFont="1" applyFill="1" applyBorder="1" applyAlignment="1" applyProtection="1">
      <alignment horizontal="center"/>
    </xf>
    <xf numFmtId="9" fontId="0" fillId="2" borderId="0" xfId="4" applyFont="1" applyFill="1" applyBorder="1" applyAlignment="1">
      <alignment horizontal="center"/>
    </xf>
    <xf numFmtId="9" fontId="85" fillId="2" borderId="0" xfId="4" applyFont="1" applyFill="1" applyBorder="1" applyAlignment="1">
      <alignment horizontal="center"/>
    </xf>
    <xf numFmtId="3" fontId="85" fillId="2" borderId="0" xfId="9" applyNumberFormat="1" applyFont="1" applyFill="1" applyBorder="1" applyAlignment="1" applyProtection="1">
      <alignment horizontal="center"/>
    </xf>
    <xf numFmtId="0" fontId="0" fillId="2" borderId="24" xfId="0" applyFill="1" applyBorder="1"/>
    <xf numFmtId="3" fontId="85" fillId="2" borderId="0" xfId="2" applyNumberFormat="1" applyFont="1" applyFill="1" applyBorder="1" applyAlignment="1" applyProtection="1">
      <alignment horizontal="center"/>
    </xf>
    <xf numFmtId="2" fontId="22" fillId="2" borderId="0" xfId="1" applyNumberFormat="1" applyFont="1" applyFill="1" applyBorder="1" applyAlignment="1">
      <alignment horizontal="center" vertical="center"/>
    </xf>
    <xf numFmtId="2" fontId="25" fillId="2" borderId="0" xfId="1" applyNumberFormat="1" applyFont="1" applyFill="1" applyBorder="1" applyAlignment="1">
      <alignment horizontal="center" vertical="center"/>
    </xf>
    <xf numFmtId="168" fontId="85" fillId="2" borderId="23" xfId="3" applyNumberFormat="1" applyFont="1" applyFill="1" applyBorder="1" applyAlignment="1">
      <alignment horizontal="center" vertical="center"/>
    </xf>
    <xf numFmtId="164" fontId="98" fillId="8" borderId="0" xfId="1" applyNumberFormat="1" applyFont="1" applyFill="1" applyAlignment="1">
      <alignment horizontal="center" vertical="center"/>
    </xf>
    <xf numFmtId="164" fontId="98" fillId="2" borderId="0" xfId="1" applyNumberFormat="1" applyFont="1" applyFill="1" applyAlignment="1">
      <alignment horizontal="center" vertical="center"/>
    </xf>
    <xf numFmtId="166" fontId="24" fillId="8" borderId="0" xfId="0" applyNumberFormat="1" applyFont="1" applyFill="1" applyAlignment="1">
      <alignment horizontal="center"/>
    </xf>
    <xf numFmtId="1" fontId="24" fillId="8" borderId="0" xfId="0" applyNumberFormat="1" applyFont="1" applyFill="1" applyAlignment="1">
      <alignment horizontal="center"/>
    </xf>
    <xf numFmtId="167" fontId="24" fillId="8" borderId="0" xfId="0" applyNumberFormat="1" applyFont="1" applyFill="1" applyAlignment="1">
      <alignment horizontal="center"/>
    </xf>
    <xf numFmtId="0" fontId="24" fillId="8" borderId="4" xfId="0" applyFont="1" applyFill="1" applyBorder="1" applyAlignment="1">
      <alignment horizontal="center"/>
    </xf>
    <xf numFmtId="0" fontId="36" fillId="8" borderId="4" xfId="0" applyFont="1" applyFill="1" applyBorder="1" applyAlignment="1">
      <alignment horizontal="center"/>
    </xf>
    <xf numFmtId="1" fontId="39" fillId="2" borderId="0" xfId="0" applyNumberFormat="1" applyFont="1" applyFill="1" applyAlignment="1">
      <alignment horizontal="center"/>
    </xf>
    <xf numFmtId="167" fontId="39" fillId="8" borderId="0" xfId="0" applyNumberFormat="1" applyFont="1" applyFill="1" applyAlignment="1">
      <alignment horizontal="center"/>
    </xf>
    <xf numFmtId="169" fontId="10" fillId="2" borderId="0" xfId="0" applyNumberFormat="1" applyFont="1" applyFill="1" applyAlignment="1">
      <alignment horizontal="center"/>
    </xf>
    <xf numFmtId="40" fontId="10" fillId="2" borderId="0" xfId="0" applyNumberFormat="1" applyFont="1" applyFill="1" applyAlignment="1">
      <alignment horizontal="center"/>
    </xf>
    <xf numFmtId="0" fontId="15" fillId="11" borderId="0" xfId="0" applyFont="1" applyFill="1" applyAlignment="1">
      <alignment horizontal="center"/>
    </xf>
    <xf numFmtId="164" fontId="25" fillId="2" borderId="4" xfId="0" applyNumberFormat="1" applyFont="1" applyFill="1" applyBorder="1" applyAlignment="1">
      <alignment horizontal="center"/>
    </xf>
    <xf numFmtId="164" fontId="40" fillId="8" borderId="0" xfId="3" applyNumberFormat="1" applyFont="1" applyFill="1" applyBorder="1" applyAlignment="1">
      <alignment horizontal="center" vertical="center"/>
    </xf>
    <xf numFmtId="164" fontId="25" fillId="8" borderId="4" xfId="3" applyNumberFormat="1" applyFont="1" applyFill="1" applyBorder="1" applyAlignment="1">
      <alignment horizontal="center" vertical="center"/>
    </xf>
    <xf numFmtId="0" fontId="41" fillId="8" borderId="0" xfId="0" applyFont="1" applyFill="1" applyBorder="1" applyAlignment="1">
      <alignment horizontal="center"/>
    </xf>
    <xf numFmtId="168" fontId="68" fillId="8" borderId="0" xfId="0" applyNumberFormat="1" applyFont="1" applyFill="1" applyAlignment="1">
      <alignment horizontal="right"/>
    </xf>
    <xf numFmtId="168" fontId="28" fillId="8" borderId="2" xfId="0" applyNumberFormat="1" applyFont="1" applyFill="1" applyBorder="1"/>
    <xf numFmtId="166" fontId="25" fillId="8" borderId="0" xfId="0" applyNumberFormat="1" applyFont="1" applyFill="1" applyBorder="1" applyAlignment="1">
      <alignment horizontal="center"/>
    </xf>
    <xf numFmtId="165" fontId="22" fillId="8" borderId="0" xfId="0" applyNumberFormat="1" applyFont="1" applyFill="1" applyBorder="1" applyAlignment="1">
      <alignment horizontal="center"/>
    </xf>
    <xf numFmtId="3" fontId="25" fillId="8" borderId="0" xfId="0" applyNumberFormat="1" applyFont="1" applyFill="1" applyBorder="1" applyAlignment="1">
      <alignment horizontal="center"/>
    </xf>
    <xf numFmtId="0" fontId="25" fillId="8" borderId="0" xfId="0" applyFont="1" applyFill="1" applyBorder="1" applyAlignment="1">
      <alignment horizontal="center"/>
    </xf>
    <xf numFmtId="3" fontId="30" fillId="8" borderId="0" xfId="1" applyNumberFormat="1" applyFont="1" applyFill="1" applyBorder="1" applyAlignment="1">
      <alignment horizontal="center" vertical="center"/>
    </xf>
    <xf numFmtId="3" fontId="25" fillId="8" borderId="4" xfId="0" applyNumberFormat="1" applyFont="1" applyFill="1" applyBorder="1" applyAlignment="1">
      <alignment horizontal="center"/>
    </xf>
    <xf numFmtId="0" fontId="100" fillId="11" borderId="0" xfId="0" applyFont="1" applyFill="1" applyAlignment="1">
      <alignment horizontal="center"/>
    </xf>
    <xf numFmtId="0" fontId="99" fillId="11" borderId="0" xfId="0" applyFont="1" applyFill="1" applyAlignment="1">
      <alignment horizontal="center"/>
    </xf>
    <xf numFmtId="0" fontId="100" fillId="11" borderId="29" xfId="0" applyFont="1" applyFill="1" applyBorder="1" applyAlignment="1">
      <alignment horizontal="center"/>
    </xf>
    <xf numFmtId="0" fontId="101" fillId="11" borderId="30" xfId="0" applyFont="1" applyFill="1" applyBorder="1" applyAlignment="1">
      <alignment horizontal="center"/>
    </xf>
    <xf numFmtId="0" fontId="102" fillId="2" borderId="0" xfId="0" applyFont="1" applyFill="1"/>
    <xf numFmtId="164" fontId="18" fillId="2" borderId="0" xfId="0" applyNumberFormat="1" applyFont="1" applyFill="1"/>
    <xf numFmtId="0" fontId="100" fillId="11" borderId="0" xfId="0" applyFont="1" applyFill="1"/>
    <xf numFmtId="0" fontId="103" fillId="11" borderId="0" xfId="0" applyFont="1" applyFill="1"/>
    <xf numFmtId="0" fontId="31" fillId="11" borderId="0" xfId="0" applyFont="1" applyFill="1"/>
    <xf numFmtId="188" fontId="54" fillId="0" borderId="0" xfId="0" applyNumberFormat="1" applyFont="1" applyAlignment="1">
      <alignment horizontal="center"/>
    </xf>
    <xf numFmtId="171" fontId="10" fillId="2" borderId="0" xfId="4" applyNumberFormat="1" applyFont="1" applyFill="1" applyBorder="1" applyAlignment="1">
      <alignment horizontal="center"/>
    </xf>
    <xf numFmtId="9" fontId="10" fillId="2" borderId="0" xfId="4" applyFont="1" applyFill="1" applyBorder="1" applyAlignment="1">
      <alignment horizontal="center"/>
    </xf>
    <xf numFmtId="169" fontId="10" fillId="2" borderId="0" xfId="0" applyNumberFormat="1" applyFont="1" applyFill="1" applyBorder="1" applyAlignment="1">
      <alignment horizontal="center"/>
    </xf>
    <xf numFmtId="171" fontId="10" fillId="2" borderId="0" xfId="0" applyNumberFormat="1" applyFont="1" applyFill="1" applyBorder="1"/>
    <xf numFmtId="180" fontId="15" fillId="11" borderId="0" xfId="4" applyNumberFormat="1" applyFont="1" applyFill="1" applyAlignment="1">
      <alignment horizontal="center"/>
    </xf>
    <xf numFmtId="1" fontId="18" fillId="8" borderId="0" xfId="0" applyNumberFormat="1" applyFont="1" applyFill="1"/>
    <xf numFmtId="164" fontId="36" fillId="2" borderId="2" xfId="0" applyNumberFormat="1" applyFont="1" applyFill="1" applyBorder="1" applyAlignment="1">
      <alignment horizontal="center"/>
    </xf>
    <xf numFmtId="1" fontId="36" fillId="8" borderId="2" xfId="0" applyNumberFormat="1" applyFont="1" applyFill="1" applyBorder="1" applyAlignment="1">
      <alignment horizontal="center"/>
    </xf>
    <xf numFmtId="189" fontId="25" fillId="2" borderId="0" xfId="0" applyNumberFormat="1" applyFont="1" applyFill="1"/>
    <xf numFmtId="168" fontId="58" fillId="11" borderId="0" xfId="0" applyNumberFormat="1" applyFont="1" applyFill="1" applyBorder="1" applyAlignment="1">
      <alignment horizontal="center"/>
    </xf>
    <xf numFmtId="169" fontId="58" fillId="11" borderId="0" xfId="0" applyNumberFormat="1" applyFont="1" applyFill="1" applyBorder="1" applyAlignment="1">
      <alignment horizontal="center"/>
    </xf>
    <xf numFmtId="190" fontId="58" fillId="11" borderId="0" xfId="0" applyNumberFormat="1" applyFont="1" applyFill="1" applyBorder="1" applyAlignment="1">
      <alignment horizontal="center"/>
    </xf>
    <xf numFmtId="168" fontId="50" fillId="11" borderId="0" xfId="0" applyNumberFormat="1" applyFont="1" applyFill="1" applyBorder="1" applyAlignment="1">
      <alignment horizontal="center"/>
    </xf>
    <xf numFmtId="191" fontId="58" fillId="11" borderId="0" xfId="0" applyNumberFormat="1" applyFont="1" applyFill="1" applyBorder="1" applyAlignment="1">
      <alignment horizontal="center"/>
    </xf>
    <xf numFmtId="164" fontId="104" fillId="11" borderId="0" xfId="0" applyNumberFormat="1" applyFont="1" applyFill="1" applyBorder="1"/>
    <xf numFmtId="192" fontId="65" fillId="2" borderId="0" xfId="0" applyNumberFormat="1" applyFont="1" applyFill="1" applyBorder="1" applyAlignment="1">
      <alignment horizontal="center"/>
    </xf>
    <xf numFmtId="192" fontId="59" fillId="2" borderId="0" xfId="0" applyNumberFormat="1" applyFont="1" applyFill="1" applyBorder="1" applyAlignment="1">
      <alignment horizontal="center"/>
    </xf>
    <xf numFmtId="171" fontId="105" fillId="11" borderId="0" xfId="4" applyNumberFormat="1" applyFont="1" applyFill="1" applyBorder="1"/>
    <xf numFmtId="192" fontId="106" fillId="2" borderId="0" xfId="0" applyNumberFormat="1" applyFont="1" applyFill="1" applyBorder="1" applyAlignment="1">
      <alignment horizontal="center"/>
    </xf>
    <xf numFmtId="190" fontId="31" fillId="11" borderId="0" xfId="0" applyNumberFormat="1" applyFont="1" applyFill="1" applyBorder="1" applyAlignment="1">
      <alignment horizontal="center"/>
    </xf>
    <xf numFmtId="191" fontId="31" fillId="11" borderId="0" xfId="0" applyNumberFormat="1" applyFont="1" applyFill="1" applyBorder="1" applyAlignment="1">
      <alignment horizontal="center"/>
    </xf>
    <xf numFmtId="193" fontId="59" fillId="2" borderId="0" xfId="0" applyNumberFormat="1" applyFont="1" applyFill="1" applyBorder="1" applyAlignment="1">
      <alignment horizontal="center"/>
    </xf>
    <xf numFmtId="9" fontId="28" fillId="8" borderId="4" xfId="4" applyFont="1" applyFill="1" applyBorder="1" applyAlignment="1">
      <alignment horizontal="center"/>
    </xf>
    <xf numFmtId="3" fontId="26" fillId="8" borderId="0" xfId="0" applyNumberFormat="1" applyFont="1" applyFill="1" applyAlignment="1">
      <alignment horizontal="center"/>
    </xf>
    <xf numFmtId="0" fontId="26" fillId="8" borderId="0" xfId="0" applyFont="1" applyFill="1" applyAlignment="1">
      <alignment horizontal="center"/>
    </xf>
    <xf numFmtId="164" fontId="26" fillId="8" borderId="0" xfId="3" applyNumberFormat="1" applyFont="1" applyFill="1" applyAlignment="1">
      <alignment horizontal="center" vertical="center"/>
    </xf>
    <xf numFmtId="164" fontId="26" fillId="8" borderId="0" xfId="0" applyNumberFormat="1" applyFont="1" applyFill="1" applyAlignment="1">
      <alignment horizontal="center"/>
    </xf>
    <xf numFmtId="164" fontId="107" fillId="8" borderId="0" xfId="3" applyNumberFormat="1" applyFont="1" applyFill="1" applyAlignment="1">
      <alignment horizontal="center" vertical="center"/>
    </xf>
    <xf numFmtId="0" fontId="107" fillId="8" borderId="0" xfId="0" applyFont="1" applyFill="1" applyBorder="1" applyAlignment="1">
      <alignment horizontal="center"/>
    </xf>
    <xf numFmtId="2" fontId="24" fillId="8" borderId="0" xfId="0" applyNumberFormat="1" applyFont="1" applyFill="1" applyAlignment="1">
      <alignment horizontal="center"/>
    </xf>
    <xf numFmtId="2" fontId="24" fillId="2" borderId="0" xfId="0" applyNumberFormat="1" applyFont="1" applyFill="1" applyAlignment="1">
      <alignment horizontal="center"/>
    </xf>
    <xf numFmtId="0" fontId="108" fillId="2" borderId="0" xfId="0" applyFont="1" applyFill="1" applyBorder="1"/>
    <xf numFmtId="0" fontId="22" fillId="8" borderId="0" xfId="0" applyNumberFormat="1" applyFont="1" applyFill="1" applyAlignment="1">
      <alignment horizontal="center"/>
    </xf>
    <xf numFmtId="0" fontId="24" fillId="6" borderId="3" xfId="0" applyFont="1" applyFill="1" applyBorder="1" applyAlignment="1">
      <alignment horizontal="center"/>
    </xf>
    <xf numFmtId="166" fontId="22" fillId="8" borderId="0" xfId="0" applyNumberFormat="1" applyFont="1" applyFill="1" applyAlignment="1">
      <alignment horizontal="center"/>
    </xf>
    <xf numFmtId="164" fontId="25" fillId="2" borderId="27" xfId="0" applyNumberFormat="1" applyFont="1" applyFill="1" applyBorder="1" applyAlignment="1">
      <alignment horizontal="center"/>
    </xf>
    <xf numFmtId="2" fontId="24" fillId="6" borderId="3" xfId="4" applyNumberFormat="1" applyFont="1" applyFill="1" applyBorder="1" applyAlignment="1">
      <alignment horizontal="center"/>
    </xf>
    <xf numFmtId="44" fontId="24" fillId="6" borderId="3" xfId="4" applyNumberFormat="1" applyFont="1" applyFill="1" applyBorder="1" applyAlignment="1">
      <alignment horizontal="center"/>
    </xf>
    <xf numFmtId="164" fontId="42" fillId="8" borderId="2" xfId="0" applyNumberFormat="1" applyFont="1" applyFill="1" applyBorder="1" applyAlignment="1">
      <alignment horizontal="center"/>
    </xf>
    <xf numFmtId="166" fontId="24" fillId="2" borderId="2" xfId="1" applyNumberFormat="1" applyFont="1" applyFill="1" applyBorder="1" applyAlignment="1">
      <alignment horizontal="center" vertical="center"/>
    </xf>
    <xf numFmtId="166" fontId="25" fillId="8" borderId="2" xfId="1" applyNumberFormat="1" applyFont="1" applyFill="1" applyBorder="1" applyAlignment="1">
      <alignment horizontal="center" vertical="center"/>
    </xf>
    <xf numFmtId="164" fontId="25" fillId="2" borderId="2" xfId="0" applyNumberFormat="1" applyFont="1" applyFill="1" applyBorder="1" applyAlignment="1">
      <alignment horizontal="center"/>
    </xf>
    <xf numFmtId="1" fontId="23" fillId="8" borderId="0" xfId="1" applyNumberFormat="1" applyFont="1" applyFill="1" applyAlignment="1">
      <alignment horizontal="center" vertical="center"/>
    </xf>
    <xf numFmtId="164" fontId="27" fillId="8" borderId="0" xfId="1" applyNumberFormat="1" applyFont="1" applyFill="1" applyBorder="1" applyAlignment="1">
      <alignment horizontal="center" vertical="center"/>
    </xf>
    <xf numFmtId="164" fontId="109" fillId="8" borderId="2" xfId="0" applyNumberFormat="1" applyFont="1" applyFill="1" applyBorder="1" applyAlignment="1">
      <alignment horizontal="center"/>
    </xf>
    <xf numFmtId="169" fontId="38" fillId="8" borderId="0" xfId="3" applyNumberFormat="1" applyFont="1" applyFill="1" applyAlignment="1">
      <alignment horizontal="center" vertical="center"/>
    </xf>
    <xf numFmtId="169" fontId="36" fillId="8" borderId="0" xfId="0" applyNumberFormat="1" applyFont="1" applyFill="1" applyAlignment="1">
      <alignment horizontal="center"/>
    </xf>
    <xf numFmtId="181" fontId="25" fillId="2" borderId="0" xfId="0" applyNumberFormat="1" applyFont="1" applyFill="1" applyAlignment="1">
      <alignment horizontal="center"/>
    </xf>
    <xf numFmtId="181" fontId="22" fillId="8" borderId="0" xfId="0" applyNumberFormat="1" applyFont="1" applyFill="1" applyBorder="1" applyAlignment="1">
      <alignment horizontal="center"/>
    </xf>
    <xf numFmtId="164" fontId="26" fillId="6" borderId="3" xfId="0" applyNumberFormat="1" applyFont="1" applyFill="1" applyBorder="1" applyAlignment="1">
      <alignment horizontal="center"/>
    </xf>
    <xf numFmtId="1" fontId="83" fillId="8" borderId="0" xfId="1" applyNumberFormat="1" applyFont="1" applyFill="1" applyAlignment="1">
      <alignment horizontal="center" vertical="center"/>
    </xf>
    <xf numFmtId="164" fontId="110" fillId="8" borderId="0" xfId="1" applyNumberFormat="1" applyFont="1" applyFill="1" applyAlignment="1">
      <alignment horizontal="center" vertical="center"/>
    </xf>
    <xf numFmtId="164" fontId="24" fillId="6" borderId="7" xfId="0" applyNumberFormat="1" applyFont="1" applyFill="1" applyBorder="1" applyAlignment="1">
      <alignment horizontal="center"/>
    </xf>
    <xf numFmtId="169" fontId="24" fillId="6" borderId="3" xfId="4" applyNumberFormat="1" applyFont="1" applyFill="1" applyBorder="1" applyAlignment="1">
      <alignment horizontal="center"/>
    </xf>
    <xf numFmtId="44" fontId="24" fillId="6" borderId="3" xfId="1" applyNumberFormat="1" applyFont="1" applyFill="1" applyBorder="1" applyAlignment="1">
      <alignment horizontal="center" vertical="center"/>
    </xf>
    <xf numFmtId="164" fontId="24" fillId="2" borderId="2" xfId="1" applyNumberFormat="1" applyFont="1" applyFill="1" applyBorder="1" applyAlignment="1">
      <alignment horizontal="center" vertical="center"/>
    </xf>
    <xf numFmtId="164" fontId="24" fillId="8" borderId="2" xfId="1" applyNumberFormat="1" applyFont="1" applyFill="1" applyBorder="1" applyAlignment="1">
      <alignment horizontal="center" vertical="center"/>
    </xf>
    <xf numFmtId="164" fontId="25" fillId="8" borderId="2" xfId="1" applyNumberFormat="1" applyFont="1" applyFill="1" applyBorder="1" applyAlignment="1">
      <alignment horizontal="center" vertical="center"/>
    </xf>
    <xf numFmtId="166" fontId="25" fillId="8" borderId="28" xfId="1" applyNumberFormat="1" applyFont="1" applyFill="1" applyBorder="1" applyAlignment="1">
      <alignment horizontal="center" vertical="center"/>
    </xf>
    <xf numFmtId="177" fontId="24" fillId="6" borderId="23" xfId="4" applyNumberFormat="1" applyFont="1" applyFill="1" applyBorder="1" applyAlignment="1">
      <alignment horizontal="center"/>
    </xf>
    <xf numFmtId="0" fontId="35" fillId="8" borderId="0" xfId="0" applyFont="1" applyFill="1" applyAlignment="1">
      <alignment horizontal="center"/>
    </xf>
    <xf numFmtId="9" fontId="22" fillId="2" borderId="2" xfId="4" applyNumberFormat="1" applyFont="1" applyFill="1" applyBorder="1" applyAlignment="1">
      <alignment horizontal="center"/>
    </xf>
    <xf numFmtId="164" fontId="24" fillId="8" borderId="2" xfId="3" applyNumberFormat="1" applyFont="1" applyFill="1" applyBorder="1" applyAlignment="1">
      <alignment horizontal="center" vertical="center"/>
    </xf>
    <xf numFmtId="164" fontId="25" fillId="8" borderId="2" xfId="3" applyNumberFormat="1" applyFont="1" applyFill="1" applyBorder="1" applyAlignment="1">
      <alignment horizontal="center" vertical="center"/>
    </xf>
    <xf numFmtId="164" fontId="22" fillId="2" borderId="2" xfId="0" applyNumberFormat="1" applyFont="1" applyFill="1" applyBorder="1" applyAlignment="1">
      <alignment horizontal="center"/>
    </xf>
    <xf numFmtId="164" fontId="25" fillId="8" borderId="28" xfId="1" applyNumberFormat="1" applyFont="1" applyFill="1" applyBorder="1" applyAlignment="1">
      <alignment horizontal="center" vertical="center"/>
    </xf>
    <xf numFmtId="164" fontId="23" fillId="2" borderId="2" xfId="1" applyNumberFormat="1" applyFont="1" applyFill="1" applyBorder="1" applyAlignment="1">
      <alignment horizontal="center" vertical="center"/>
    </xf>
    <xf numFmtId="164" fontId="19" fillId="8" borderId="4" xfId="0" applyNumberFormat="1" applyFont="1" applyFill="1" applyBorder="1"/>
    <xf numFmtId="164" fontId="24" fillId="6" borderId="31" xfId="0" applyNumberFormat="1" applyFont="1" applyFill="1" applyBorder="1" applyAlignment="1">
      <alignment horizontal="center"/>
    </xf>
    <xf numFmtId="22" fontId="111" fillId="13" borderId="0" xfId="0" applyNumberFormat="1" applyFont="1" applyFill="1"/>
    <xf numFmtId="0" fontId="111" fillId="13" borderId="14" xfId="0" applyFont="1" applyFill="1" applyBorder="1"/>
    <xf numFmtId="0" fontId="111" fillId="13" borderId="0" xfId="0" applyFont="1" applyFill="1"/>
    <xf numFmtId="0" fontId="111" fillId="13" borderId="0" xfId="0" applyFont="1" applyFill="1" applyAlignment="1">
      <alignment horizontal="center"/>
    </xf>
    <xf numFmtId="22" fontId="100" fillId="11" borderId="0" xfId="0" applyNumberFormat="1" applyFont="1" applyFill="1"/>
    <xf numFmtId="22" fontId="111" fillId="11" borderId="0" xfId="0" applyNumberFormat="1" applyFont="1" applyFill="1"/>
    <xf numFmtId="169" fontId="99" fillId="11" borderId="0" xfId="0" applyNumberFormat="1" applyFont="1" applyFill="1" applyAlignment="1">
      <alignment horizontal="center"/>
    </xf>
    <xf numFmtId="22" fontId="112" fillId="11" borderId="0" xfId="0" applyNumberFormat="1" applyFont="1" applyFill="1"/>
    <xf numFmtId="3" fontId="113" fillId="11" borderId="0" xfId="0" applyNumberFormat="1" applyFont="1" applyFill="1" applyAlignment="1">
      <alignment horizontal="center"/>
    </xf>
    <xf numFmtId="38" fontId="113" fillId="11" borderId="0" xfId="0" applyNumberFormat="1" applyFont="1" applyFill="1" applyAlignment="1">
      <alignment horizontal="center"/>
    </xf>
    <xf numFmtId="38" fontId="113" fillId="11" borderId="0" xfId="0" applyNumberFormat="1" applyFont="1" applyFill="1"/>
    <xf numFmtId="22" fontId="99" fillId="11" borderId="0" xfId="0" applyNumberFormat="1" applyFont="1" applyFill="1"/>
    <xf numFmtId="168" fontId="99" fillId="11" borderId="0" xfId="0" applyNumberFormat="1" applyFont="1" applyFill="1" applyAlignment="1">
      <alignment horizontal="center"/>
    </xf>
    <xf numFmtId="171" fontId="99" fillId="11" borderId="0" xfId="4" applyNumberFormat="1" applyFont="1" applyFill="1" applyAlignment="1">
      <alignment horizontal="center"/>
    </xf>
    <xf numFmtId="9" fontId="99" fillId="11" borderId="0" xfId="4" applyFont="1" applyFill="1" applyAlignment="1">
      <alignment horizontal="center"/>
    </xf>
    <xf numFmtId="6" fontId="99" fillId="11" borderId="0" xfId="0" applyNumberFormat="1" applyFont="1" applyFill="1" applyAlignment="1">
      <alignment horizontal="center"/>
    </xf>
    <xf numFmtId="6" fontId="99" fillId="11" borderId="0" xfId="0" applyNumberFormat="1" applyFont="1" applyFill="1"/>
    <xf numFmtId="6" fontId="99" fillId="11" borderId="0" xfId="4" applyNumberFormat="1" applyFont="1" applyFill="1" applyAlignment="1">
      <alignment horizontal="center"/>
    </xf>
    <xf numFmtId="0" fontId="99" fillId="11" borderId="0" xfId="0" applyFont="1" applyFill="1"/>
    <xf numFmtId="194" fontId="99" fillId="11" borderId="0" xfId="0" applyNumberFormat="1" applyFont="1" applyFill="1" applyAlignment="1">
      <alignment horizontal="center"/>
    </xf>
    <xf numFmtId="3" fontId="99" fillId="11" borderId="0" xfId="0" applyNumberFormat="1" applyFont="1" applyFill="1" applyAlignment="1">
      <alignment horizontal="center"/>
    </xf>
    <xf numFmtId="178" fontId="99" fillId="11" borderId="0" xfId="0" applyNumberFormat="1" applyFont="1" applyFill="1" applyAlignment="1">
      <alignment horizontal="center"/>
    </xf>
    <xf numFmtId="171" fontId="99" fillId="11" borderId="0" xfId="0" applyNumberFormat="1" applyFont="1" applyFill="1"/>
    <xf numFmtId="22" fontId="114" fillId="11" borderId="0" xfId="0" applyNumberFormat="1" applyFont="1" applyFill="1"/>
    <xf numFmtId="22" fontId="99" fillId="13" borderId="0" xfId="0" applyNumberFormat="1" applyFont="1" applyFill="1"/>
    <xf numFmtId="0" fontId="111" fillId="13" borderId="32" xfId="0" applyFont="1" applyFill="1" applyBorder="1"/>
    <xf numFmtId="0" fontId="99" fillId="13" borderId="0" xfId="0" applyFont="1" applyFill="1"/>
    <xf numFmtId="0" fontId="114" fillId="11" borderId="0" xfId="0" applyFont="1" applyFill="1"/>
    <xf numFmtId="44" fontId="0" fillId="2" borderId="0" xfId="7" applyFont="1" applyFill="1" applyAlignment="1">
      <alignment horizontal="center"/>
    </xf>
    <xf numFmtId="16" fontId="0" fillId="2" borderId="0" xfId="0" applyNumberFormat="1" applyFill="1"/>
    <xf numFmtId="175" fontId="0" fillId="2" borderId="0" xfId="2" applyNumberFormat="1" applyFont="1" applyFill="1"/>
    <xf numFmtId="22" fontId="0" fillId="2" borderId="0" xfId="0" applyNumberFormat="1" applyFill="1"/>
    <xf numFmtId="3" fontId="0" fillId="2" borderId="0" xfId="0" applyNumberFormat="1" applyFill="1" applyAlignment="1">
      <alignment horizontal="center"/>
    </xf>
    <xf numFmtId="2" fontId="0" fillId="2" borderId="0" xfId="4" applyNumberFormat="1" applyFont="1" applyFill="1" applyAlignment="1">
      <alignment horizontal="center"/>
    </xf>
    <xf numFmtId="171" fontId="0" fillId="2" borderId="0" xfId="4" applyNumberFormat="1" applyFont="1" applyFill="1" applyAlignment="1">
      <alignment horizontal="center"/>
    </xf>
    <xf numFmtId="177" fontId="0" fillId="2" borderId="0" xfId="0" applyNumberFormat="1" applyFill="1"/>
    <xf numFmtId="0" fontId="70" fillId="2" borderId="0" xfId="0" applyFont="1" applyFill="1" applyAlignment="1">
      <alignment horizontal="center"/>
    </xf>
    <xf numFmtId="0" fontId="0" fillId="2" borderId="11" xfId="0" applyFill="1" applyBorder="1" applyAlignment="1">
      <alignment horizontal="center"/>
    </xf>
    <xf numFmtId="169" fontId="0" fillId="2" borderId="0" xfId="0" applyNumberFormat="1" applyFill="1" applyAlignment="1">
      <alignment horizontal="center"/>
    </xf>
    <xf numFmtId="38" fontId="0" fillId="2" borderId="0" xfId="0" applyNumberFormat="1" applyFill="1" applyAlignment="1">
      <alignment horizontal="center"/>
    </xf>
    <xf numFmtId="169" fontId="70" fillId="2" borderId="4" xfId="0" applyNumberFormat="1" applyFont="1" applyFill="1" applyBorder="1"/>
    <xf numFmtId="0" fontId="70" fillId="2" borderId="4" xfId="0" applyFont="1" applyFill="1" applyBorder="1" applyAlignment="1">
      <alignment horizontal="center"/>
    </xf>
    <xf numFmtId="6" fontId="0" fillId="2" borderId="0" xfId="0" applyNumberFormat="1" applyFill="1" applyAlignment="1">
      <alignment horizontal="center"/>
    </xf>
    <xf numFmtId="22" fontId="115" fillId="2" borderId="0" xfId="0" applyNumberFormat="1" applyFont="1" applyFill="1"/>
    <xf numFmtId="9" fontId="115" fillId="2" borderId="0" xfId="4" applyFont="1" applyFill="1" applyAlignment="1">
      <alignment horizontal="center"/>
    </xf>
    <xf numFmtId="169" fontId="0" fillId="2" borderId="12" xfId="0" applyNumberFormat="1" applyFill="1" applyBorder="1"/>
    <xf numFmtId="0" fontId="0" fillId="2" borderId="12" xfId="0" applyFill="1" applyBorder="1"/>
    <xf numFmtId="169" fontId="0" fillId="2" borderId="12" xfId="0" applyNumberFormat="1" applyFill="1" applyBorder="1" applyAlignment="1">
      <alignment horizontal="center"/>
    </xf>
    <xf numFmtId="178" fontId="0" fillId="2" borderId="0" xfId="0" applyNumberFormat="1" applyFill="1" applyAlignment="1">
      <alignment horizontal="center"/>
    </xf>
    <xf numFmtId="171" fontId="0" fillId="2" borderId="0" xfId="0" applyNumberFormat="1" applyFill="1"/>
    <xf numFmtId="0" fontId="100" fillId="2" borderId="0" xfId="0" applyFont="1" applyFill="1"/>
    <xf numFmtId="9" fontId="0" fillId="2" borderId="0" xfId="4" applyFont="1" applyFill="1"/>
    <xf numFmtId="22" fontId="70" fillId="2" borderId="13" xfId="0" applyNumberFormat="1" applyFont="1" applyFill="1" applyBorder="1"/>
    <xf numFmtId="171" fontId="0" fillId="2" borderId="0" xfId="4" applyNumberFormat="1" applyFont="1" applyFill="1"/>
    <xf numFmtId="38" fontId="0" fillId="2" borderId="0" xfId="0" applyNumberFormat="1" applyFill="1"/>
    <xf numFmtId="171" fontId="0" fillId="2" borderId="0" xfId="4" applyNumberFormat="1" applyFont="1" applyFill="1" applyBorder="1" applyAlignment="1">
      <alignment horizontal="center"/>
    </xf>
    <xf numFmtId="9" fontId="0" fillId="2" borderId="0" xfId="4" applyFont="1" applyFill="1" applyAlignment="1">
      <alignment horizontal="center"/>
    </xf>
    <xf numFmtId="168" fontId="0" fillId="2" borderId="0" xfId="0" applyNumberFormat="1" applyFill="1"/>
    <xf numFmtId="177" fontId="0" fillId="2" borderId="0" xfId="7" applyNumberFormat="1" applyFont="1" applyFill="1"/>
    <xf numFmtId="2" fontId="116" fillId="2" borderId="0" xfId="0" applyNumberFormat="1" applyFont="1" applyFill="1" applyAlignment="1">
      <alignment horizontal="left"/>
    </xf>
    <xf numFmtId="0" fontId="111" fillId="13" borderId="15" xfId="0" applyFont="1" applyFill="1" applyBorder="1" applyAlignment="1">
      <alignment horizontal="center"/>
    </xf>
    <xf numFmtId="0" fontId="111" fillId="13" borderId="17" xfId="0" applyFont="1" applyFill="1" applyBorder="1" applyAlignment="1">
      <alignment horizontal="center"/>
    </xf>
    <xf numFmtId="0" fontId="111" fillId="13" borderId="33" xfId="0" applyFont="1" applyFill="1" applyBorder="1" applyAlignment="1">
      <alignment horizontal="center"/>
    </xf>
    <xf numFmtId="0" fontId="111" fillId="13" borderId="34" xfId="0" applyFont="1" applyFill="1" applyBorder="1" applyAlignment="1">
      <alignment horizontal="center"/>
    </xf>
    <xf numFmtId="171" fontId="111" fillId="13" borderId="18" xfId="4" applyNumberFormat="1" applyFont="1" applyFill="1" applyBorder="1" applyAlignment="1">
      <alignment horizontal="left"/>
    </xf>
    <xf numFmtId="178" fontId="117" fillId="10" borderId="15" xfId="0" applyNumberFormat="1" applyFont="1" applyFill="1" applyBorder="1" applyAlignment="1">
      <alignment horizontal="center"/>
    </xf>
    <xf numFmtId="178" fontId="117" fillId="10" borderId="17" xfId="0" applyNumberFormat="1" applyFont="1" applyFill="1" applyBorder="1" applyAlignment="1">
      <alignment horizontal="center"/>
    </xf>
    <xf numFmtId="169" fontId="0" fillId="7" borderId="15" xfId="0" applyNumberFormat="1" applyFill="1" applyBorder="1"/>
    <xf numFmtId="169" fontId="0" fillId="7" borderId="17" xfId="0" applyNumberFormat="1" applyFill="1" applyBorder="1"/>
    <xf numFmtId="169" fontId="0" fillId="7" borderId="18" xfId="0" applyNumberFormat="1" applyFill="1" applyBorder="1" applyAlignment="1">
      <alignment horizontal="center"/>
    </xf>
    <xf numFmtId="169" fontId="0" fillId="7" borderId="19" xfId="0" applyNumberFormat="1" applyFill="1" applyBorder="1" applyAlignment="1">
      <alignment horizontal="center"/>
    </xf>
    <xf numFmtId="171" fontId="0" fillId="2" borderId="0" xfId="0" applyNumberFormat="1" applyFill="1" applyAlignment="1">
      <alignment horizontal="center"/>
    </xf>
    <xf numFmtId="44" fontId="0" fillId="2" borderId="0" xfId="7" applyFont="1" applyFill="1"/>
    <xf numFmtId="0" fontId="111" fillId="13" borderId="18" xfId="0" applyFont="1" applyFill="1" applyBorder="1"/>
    <xf numFmtId="9" fontId="0" fillId="7" borderId="18" xfId="4" applyFont="1" applyFill="1" applyBorder="1" applyAlignment="1">
      <alignment horizontal="center"/>
    </xf>
    <xf numFmtId="9" fontId="0" fillId="7" borderId="19" xfId="4" applyFont="1" applyFill="1" applyBorder="1" applyAlignment="1">
      <alignment horizontal="center"/>
    </xf>
    <xf numFmtId="0" fontId="111" fillId="13" borderId="20" xfId="0" applyFont="1" applyFill="1" applyBorder="1"/>
    <xf numFmtId="7" fontId="70" fillId="7" borderId="20" xfId="7" applyNumberFormat="1" applyFont="1" applyFill="1" applyBorder="1" applyAlignment="1">
      <alignment horizontal="center"/>
    </xf>
    <xf numFmtId="7" fontId="70" fillId="7" borderId="22" xfId="7" applyNumberFormat="1" applyFont="1" applyFill="1" applyBorder="1" applyAlignment="1">
      <alignment horizontal="center"/>
    </xf>
    <xf numFmtId="7" fontId="0" fillId="2" borderId="0" xfId="7" applyNumberFormat="1" applyFont="1" applyFill="1" applyAlignment="1">
      <alignment horizontal="center"/>
    </xf>
    <xf numFmtId="40" fontId="0" fillId="2" borderId="0" xfId="0" applyNumberFormat="1" applyFill="1" applyAlignment="1">
      <alignment horizontal="center"/>
    </xf>
    <xf numFmtId="0" fontId="0" fillId="2" borderId="0" xfId="0" applyFill="1" applyAlignment="1">
      <alignment horizontal="right"/>
    </xf>
    <xf numFmtId="177" fontId="118" fillId="21" borderId="0" xfId="7" applyNumberFormat="1" applyFont="1" applyFill="1"/>
    <xf numFmtId="44" fontId="0" fillId="2" borderId="0" xfId="0" applyNumberFormat="1" applyFill="1"/>
    <xf numFmtId="0" fontId="119" fillId="22" borderId="15" xfId="0" applyFont="1" applyFill="1" applyBorder="1" applyAlignment="1">
      <alignment vertical="center"/>
    </xf>
    <xf numFmtId="0" fontId="119" fillId="22" borderId="16" xfId="0" applyFont="1" applyFill="1" applyBorder="1" applyAlignment="1">
      <alignment horizontal="center" vertical="center"/>
    </xf>
    <xf numFmtId="0" fontId="120" fillId="7" borderId="35" xfId="0" applyFont="1" applyFill="1" applyBorder="1" applyAlignment="1">
      <alignment horizontal="center"/>
    </xf>
    <xf numFmtId="0" fontId="70" fillId="8" borderId="0" xfId="0" applyFont="1" applyFill="1"/>
    <xf numFmtId="178" fontId="70" fillId="10" borderId="0" xfId="0" applyNumberFormat="1" applyFont="1" applyFill="1" applyAlignment="1">
      <alignment horizontal="center"/>
    </xf>
    <xf numFmtId="0" fontId="122" fillId="12" borderId="18" xfId="0" applyFont="1" applyFill="1" applyBorder="1"/>
    <xf numFmtId="5" fontId="120" fillId="12" borderId="0" xfId="7" applyNumberFormat="1" applyFont="1" applyFill="1" applyBorder="1" applyAlignment="1">
      <alignment horizontal="center"/>
    </xf>
    <xf numFmtId="0" fontId="120" fillId="7" borderId="38" xfId="0" applyFont="1" applyFill="1" applyBorder="1" applyAlignment="1">
      <alignment horizontal="center"/>
    </xf>
    <xf numFmtId="0" fontId="123" fillId="11" borderId="39" xfId="0" applyFont="1" applyFill="1" applyBorder="1" applyAlignment="1">
      <alignment horizontal="center" vertical="center"/>
    </xf>
    <xf numFmtId="0" fontId="121" fillId="11" borderId="39" xfId="0" applyFont="1" applyFill="1" applyBorder="1" applyAlignment="1">
      <alignment horizontal="center" vertical="center"/>
    </xf>
    <xf numFmtId="0" fontId="121" fillId="11" borderId="40" xfId="0" applyFont="1" applyFill="1" applyBorder="1" applyAlignment="1">
      <alignment horizontal="center" vertical="center"/>
    </xf>
    <xf numFmtId="171" fontId="121" fillId="11" borderId="39" xfId="4" applyNumberFormat="1" applyFont="1" applyFill="1" applyBorder="1" applyAlignment="1">
      <alignment horizontal="left" vertical="center"/>
    </xf>
    <xf numFmtId="178" fontId="124" fillId="10" borderId="39" xfId="4" applyNumberFormat="1" applyFont="1" applyFill="1" applyBorder="1" applyAlignment="1">
      <alignment horizontal="center" vertical="center"/>
    </xf>
    <xf numFmtId="178" fontId="124" fillId="10" borderId="40" xfId="4" applyNumberFormat="1" applyFont="1" applyFill="1" applyBorder="1" applyAlignment="1">
      <alignment horizontal="center" vertical="center"/>
    </xf>
    <xf numFmtId="0" fontId="99" fillId="22" borderId="4" xfId="0" applyFont="1" applyFill="1" applyBorder="1" applyAlignment="1">
      <alignment horizontal="center"/>
    </xf>
    <xf numFmtId="0" fontId="99" fillId="22" borderId="4" xfId="0" applyFont="1" applyFill="1" applyBorder="1"/>
    <xf numFmtId="9" fontId="120" fillId="12" borderId="0" xfId="4" applyFont="1" applyFill="1" applyBorder="1" applyAlignment="1">
      <alignment horizontal="center"/>
    </xf>
    <xf numFmtId="171" fontId="121" fillId="11" borderId="0" xfId="4" applyNumberFormat="1" applyFont="1" applyFill="1" applyBorder="1" applyAlignment="1">
      <alignment horizontal="left" vertical="center"/>
    </xf>
    <xf numFmtId="169" fontId="122" fillId="7" borderId="0" xfId="0" applyNumberFormat="1" applyFont="1" applyFill="1" applyAlignment="1">
      <alignment horizontal="center" vertical="center"/>
    </xf>
    <xf numFmtId="169" fontId="122" fillId="7" borderId="19" xfId="0" applyNumberFormat="1" applyFont="1" applyFill="1" applyBorder="1" applyAlignment="1">
      <alignment horizontal="center" vertical="center"/>
    </xf>
    <xf numFmtId="0" fontId="125" fillId="2" borderId="0" xfId="0" applyFont="1" applyFill="1"/>
    <xf numFmtId="9" fontId="70" fillId="2" borderId="0" xfId="4" applyFont="1" applyFill="1" applyAlignment="1">
      <alignment horizontal="center"/>
    </xf>
    <xf numFmtId="169" fontId="122" fillId="7" borderId="0" xfId="7" applyNumberFormat="1" applyFont="1" applyFill="1" applyBorder="1" applyAlignment="1">
      <alignment horizontal="center" vertical="center"/>
    </xf>
    <xf numFmtId="169" fontId="122" fillId="7" borderId="19" xfId="7" applyNumberFormat="1" applyFont="1" applyFill="1" applyBorder="1" applyAlignment="1">
      <alignment horizontal="center" vertical="center"/>
    </xf>
    <xf numFmtId="0" fontId="125" fillId="2" borderId="4" xfId="0" applyFont="1" applyFill="1" applyBorder="1"/>
    <xf numFmtId="9" fontId="70" fillId="2" borderId="4" xfId="4" applyFont="1" applyFill="1" applyBorder="1" applyAlignment="1">
      <alignment horizontal="center"/>
    </xf>
    <xf numFmtId="0" fontId="70" fillId="23" borderId="0" xfId="0" applyFont="1" applyFill="1"/>
    <xf numFmtId="9" fontId="70" fillId="23" borderId="0" xfId="4" applyFont="1" applyFill="1" applyAlignment="1">
      <alignment horizontal="center"/>
    </xf>
    <xf numFmtId="178" fontId="120" fillId="12" borderId="0" xfId="0" applyNumberFormat="1" applyFont="1" applyFill="1" applyAlignment="1">
      <alignment horizontal="center"/>
    </xf>
    <xf numFmtId="9" fontId="0" fillId="2" borderId="0" xfId="0" applyNumberFormat="1" applyFill="1" applyAlignment="1">
      <alignment horizontal="center"/>
    </xf>
    <xf numFmtId="0" fontId="121" fillId="11" borderId="0" xfId="0" applyFont="1" applyFill="1" applyAlignment="1">
      <alignment vertical="center"/>
    </xf>
    <xf numFmtId="9" fontId="122" fillId="7" borderId="0" xfId="4" applyFont="1" applyFill="1" applyBorder="1" applyAlignment="1">
      <alignment horizontal="center" vertical="center"/>
    </xf>
    <xf numFmtId="9" fontId="122" fillId="7" borderId="19" xfId="4" applyFont="1" applyFill="1" applyBorder="1" applyAlignment="1">
      <alignment horizontal="center" vertical="center"/>
    </xf>
    <xf numFmtId="6" fontId="120" fillId="12" borderId="0" xfId="7" applyNumberFormat="1" applyFont="1" applyFill="1" applyBorder="1" applyAlignment="1">
      <alignment horizontal="center"/>
    </xf>
    <xf numFmtId="0" fontId="121" fillId="11" borderId="39" xfId="0" applyFont="1" applyFill="1" applyBorder="1" applyAlignment="1">
      <alignment vertical="center"/>
    </xf>
    <xf numFmtId="169" fontId="122" fillId="7" borderId="39" xfId="0" applyNumberFormat="1" applyFont="1" applyFill="1" applyBorder="1" applyAlignment="1">
      <alignment horizontal="center" vertical="center"/>
    </xf>
    <xf numFmtId="169" fontId="122" fillId="7" borderId="40" xfId="0" applyNumberFormat="1" applyFont="1" applyFill="1" applyBorder="1" applyAlignment="1">
      <alignment horizontal="center" vertical="center"/>
    </xf>
    <xf numFmtId="0" fontId="122" fillId="12" borderId="20" xfId="0" applyFont="1" applyFill="1" applyBorder="1"/>
    <xf numFmtId="171" fontId="120" fillId="12" borderId="21" xfId="7" applyNumberFormat="1" applyFont="1" applyFill="1" applyBorder="1" applyAlignment="1">
      <alignment horizontal="center"/>
    </xf>
    <xf numFmtId="0" fontId="126" fillId="11" borderId="41" xfId="0" applyFont="1" applyFill="1" applyBorder="1" applyAlignment="1">
      <alignment vertical="center"/>
    </xf>
    <xf numFmtId="169" fontId="122" fillId="24" borderId="41" xfId="0" applyNumberFormat="1" applyFont="1" applyFill="1" applyBorder="1" applyAlignment="1">
      <alignment horizontal="center" vertical="center"/>
    </xf>
    <xf numFmtId="169" fontId="122" fillId="24" borderId="42" xfId="0" applyNumberFormat="1" applyFont="1" applyFill="1" applyBorder="1" applyAlignment="1">
      <alignment horizontal="center" vertical="center"/>
    </xf>
    <xf numFmtId="0" fontId="127" fillId="12" borderId="18" xfId="0" applyFont="1" applyFill="1" applyBorder="1"/>
    <xf numFmtId="171" fontId="120" fillId="12" borderId="0" xfId="7" applyNumberFormat="1" applyFont="1" applyFill="1" applyBorder="1" applyAlignment="1">
      <alignment horizontal="center"/>
    </xf>
    <xf numFmtId="9" fontId="128" fillId="12" borderId="0" xfId="7" applyNumberFormat="1" applyFont="1" applyFill="1" applyBorder="1" applyAlignment="1">
      <alignment horizontal="center"/>
    </xf>
    <xf numFmtId="0" fontId="129" fillId="25" borderId="0" xfId="0" applyFont="1" applyFill="1" applyAlignment="1">
      <alignment horizontal="right" vertical="center"/>
    </xf>
    <xf numFmtId="9" fontId="129" fillId="25" borderId="0" xfId="4" applyFont="1" applyFill="1" applyBorder="1" applyAlignment="1">
      <alignment horizontal="center" vertical="center"/>
    </xf>
    <xf numFmtId="9" fontId="129" fillId="25" borderId="19" xfId="4" applyFont="1" applyFill="1" applyBorder="1" applyAlignment="1">
      <alignment horizontal="center" vertical="center"/>
    </xf>
    <xf numFmtId="0" fontId="130" fillId="12" borderId="18" xfId="0" applyFont="1" applyFill="1" applyBorder="1" applyAlignment="1">
      <alignment horizontal="left" indent="1"/>
    </xf>
    <xf numFmtId="169" fontId="120" fillId="12" borderId="0" xfId="7" applyNumberFormat="1" applyFont="1" applyFill="1" applyBorder="1" applyAlignment="1">
      <alignment horizontal="center"/>
    </xf>
    <xf numFmtId="0" fontId="129" fillId="25" borderId="0" xfId="0" applyFont="1" applyFill="1" applyAlignment="1">
      <alignment vertical="center"/>
    </xf>
    <xf numFmtId="168" fontId="129" fillId="25" borderId="19" xfId="0" applyNumberFormat="1" applyFont="1" applyFill="1" applyBorder="1" applyAlignment="1">
      <alignment horizontal="center" vertical="center"/>
    </xf>
    <xf numFmtId="0" fontId="130" fillId="12" borderId="20" xfId="0" applyFont="1" applyFill="1" applyBorder="1" applyAlignment="1">
      <alignment horizontal="left" indent="1"/>
    </xf>
    <xf numFmtId="169" fontId="120" fillId="12" borderId="21" xfId="7" applyNumberFormat="1" applyFont="1" applyFill="1" applyBorder="1" applyAlignment="1">
      <alignment horizontal="center"/>
    </xf>
    <xf numFmtId="0" fontId="120" fillId="7" borderId="43" xfId="0" applyFont="1" applyFill="1" applyBorder="1" applyAlignment="1">
      <alignment horizontal="center"/>
    </xf>
    <xf numFmtId="0" fontId="129" fillId="25" borderId="21" xfId="0" applyFont="1" applyFill="1" applyBorder="1" applyAlignment="1">
      <alignment vertical="center"/>
    </xf>
    <xf numFmtId="168" fontId="129" fillId="25" borderId="21" xfId="0" applyNumberFormat="1" applyFont="1" applyFill="1" applyBorder="1" applyAlignment="1">
      <alignment horizontal="center" vertical="center"/>
    </xf>
    <xf numFmtId="168" fontId="129" fillId="25" borderId="22" xfId="0" applyNumberFormat="1" applyFont="1" applyFill="1" applyBorder="1" applyAlignment="1">
      <alignment horizontal="center" vertical="center"/>
    </xf>
    <xf numFmtId="0" fontId="120" fillId="9" borderId="18" xfId="0" applyFont="1" applyFill="1" applyBorder="1"/>
    <xf numFmtId="0" fontId="120" fillId="9" borderId="0" xfId="0" applyFont="1" applyFill="1"/>
    <xf numFmtId="0" fontId="120" fillId="9" borderId="0" xfId="0" applyFont="1" applyFill="1" applyAlignment="1">
      <alignment horizontal="center"/>
    </xf>
    <xf numFmtId="0" fontId="120" fillId="9" borderId="19" xfId="0" applyFont="1" applyFill="1" applyBorder="1" applyAlignment="1">
      <alignment horizontal="center"/>
    </xf>
    <xf numFmtId="0" fontId="131" fillId="2" borderId="0" xfId="0" applyFont="1" applyFill="1"/>
    <xf numFmtId="168" fontId="129" fillId="25" borderId="0" xfId="0" applyNumberFormat="1" applyFont="1" applyFill="1" applyAlignment="1">
      <alignment horizontal="center" vertical="center"/>
    </xf>
    <xf numFmtId="0" fontId="132" fillId="25" borderId="0" xfId="0" applyFont="1" applyFill="1" applyAlignment="1">
      <alignment vertical="center"/>
    </xf>
    <xf numFmtId="168" fontId="132" fillId="25" borderId="0" xfId="0" applyNumberFormat="1" applyFont="1" applyFill="1" applyAlignment="1">
      <alignment horizontal="center" vertical="center"/>
    </xf>
    <xf numFmtId="168" fontId="132" fillId="25" borderId="19" xfId="0" applyNumberFormat="1" applyFont="1" applyFill="1" applyBorder="1" applyAlignment="1">
      <alignment horizontal="center" vertical="center"/>
    </xf>
    <xf numFmtId="0" fontId="132" fillId="25" borderId="21" xfId="0" applyFont="1" applyFill="1" applyBorder="1" applyAlignment="1">
      <alignment vertical="center"/>
    </xf>
    <xf numFmtId="168" fontId="132" fillId="25" borderId="21" xfId="0" applyNumberFormat="1" applyFont="1" applyFill="1" applyBorder="1" applyAlignment="1">
      <alignment horizontal="center" vertical="center"/>
    </xf>
    <xf numFmtId="168" fontId="132" fillId="25" borderId="22" xfId="0" applyNumberFormat="1" applyFont="1" applyFill="1" applyBorder="1" applyAlignment="1">
      <alignment horizontal="center" vertical="center"/>
    </xf>
    <xf numFmtId="0" fontId="133" fillId="12" borderId="18" xfId="0" applyFont="1" applyFill="1" applyBorder="1"/>
    <xf numFmtId="0" fontId="134" fillId="12" borderId="0" xfId="0" applyFont="1" applyFill="1"/>
    <xf numFmtId="0" fontId="134" fillId="12" borderId="0" xfId="0" applyFont="1" applyFill="1" applyAlignment="1">
      <alignment horizontal="center"/>
    </xf>
    <xf numFmtId="0" fontId="134" fillId="12" borderId="19" xfId="0" applyFont="1" applyFill="1" applyBorder="1"/>
    <xf numFmtId="0" fontId="133" fillId="12" borderId="20" xfId="0" applyFont="1" applyFill="1" applyBorder="1"/>
    <xf numFmtId="0" fontId="134" fillId="12" borderId="21" xfId="0" applyFont="1" applyFill="1" applyBorder="1"/>
    <xf numFmtId="0" fontId="134" fillId="12" borderId="21" xfId="0" applyFont="1" applyFill="1" applyBorder="1" applyAlignment="1">
      <alignment horizontal="center"/>
    </xf>
    <xf numFmtId="0" fontId="134" fillId="12" borderId="22" xfId="0" applyFont="1" applyFill="1" applyBorder="1"/>
    <xf numFmtId="1" fontId="0" fillId="2" borderId="0" xfId="0" applyNumberFormat="1" applyFill="1" applyAlignment="1">
      <alignment horizontal="center"/>
    </xf>
    <xf numFmtId="6" fontId="0" fillId="2" borderId="0" xfId="0" applyNumberFormat="1" applyFill="1"/>
    <xf numFmtId="0" fontId="0" fillId="2" borderId="4" xfId="0" applyFill="1" applyBorder="1"/>
    <xf numFmtId="9" fontId="0" fillId="2" borderId="0" xfId="4" applyFont="1" applyFill="1" applyBorder="1"/>
    <xf numFmtId="1" fontId="0" fillId="26" borderId="0" xfId="0" applyNumberFormat="1" applyFill="1" applyBorder="1"/>
    <xf numFmtId="0" fontId="0" fillId="26" borderId="0" xfId="0" applyFill="1" applyBorder="1"/>
    <xf numFmtId="9" fontId="0" fillId="2" borderId="0" xfId="0" applyNumberFormat="1" applyFill="1" applyBorder="1"/>
    <xf numFmtId="0" fontId="0" fillId="26" borderId="0" xfId="0" applyFill="1"/>
    <xf numFmtId="0" fontId="0" fillId="27" borderId="0" xfId="0" applyFill="1"/>
    <xf numFmtId="3" fontId="25" fillId="8" borderId="2" xfId="0" applyNumberFormat="1" applyFont="1" applyFill="1" applyBorder="1" applyAlignment="1">
      <alignment horizontal="center"/>
    </xf>
    <xf numFmtId="0" fontId="60" fillId="11" borderId="0" xfId="0" applyFont="1" applyFill="1" applyBorder="1" applyAlignment="1">
      <alignment horizontal="left"/>
    </xf>
    <xf numFmtId="0" fontId="61" fillId="11" borderId="16" xfId="0" applyFont="1" applyFill="1" applyBorder="1" applyAlignment="1">
      <alignment horizontal="left"/>
    </xf>
    <xf numFmtId="0" fontId="57" fillId="11" borderId="0" xfId="0" applyFont="1" applyFill="1" applyAlignment="1">
      <alignment horizontal="center" vertical="center"/>
    </xf>
    <xf numFmtId="0" fontId="57" fillId="11" borderId="0" xfId="0" applyFont="1" applyFill="1" applyAlignment="1">
      <alignment horizontal="center" vertical="center" textRotation="90" wrapText="1"/>
    </xf>
    <xf numFmtId="0" fontId="52" fillId="11" borderId="0" xfId="0" applyFont="1" applyFill="1" applyAlignment="1">
      <alignment horizontal="center" vertical="center" textRotation="90" wrapText="1"/>
    </xf>
    <xf numFmtId="0" fontId="52" fillId="11" borderId="0" xfId="0" applyFont="1" applyFill="1" applyAlignment="1">
      <alignment horizontal="center" vertical="center"/>
    </xf>
    <xf numFmtId="0" fontId="11" fillId="2" borderId="10" xfId="0" applyFont="1" applyFill="1" applyBorder="1" applyAlignment="1">
      <alignment horizontal="center"/>
    </xf>
    <xf numFmtId="0" fontId="14" fillId="13" borderId="14" xfId="0" applyFont="1" applyFill="1" applyBorder="1" applyAlignment="1">
      <alignment horizontal="center"/>
    </xf>
    <xf numFmtId="0" fontId="15" fillId="13" borderId="0" xfId="0" applyFont="1" applyFill="1" applyBorder="1" applyAlignment="1">
      <alignment horizontal="center"/>
    </xf>
    <xf numFmtId="169" fontId="10" fillId="2" borderId="0" xfId="0" applyNumberFormat="1" applyFont="1" applyFill="1" applyAlignment="1">
      <alignment horizontal="center"/>
    </xf>
    <xf numFmtId="40" fontId="10" fillId="2" borderId="0" xfId="0" applyNumberFormat="1" applyFont="1" applyFill="1" applyAlignment="1">
      <alignment horizontal="center"/>
    </xf>
    <xf numFmtId="0" fontId="15" fillId="11" borderId="0" xfId="0" applyFont="1" applyFill="1" applyAlignment="1">
      <alignment horizontal="center"/>
    </xf>
    <xf numFmtId="0" fontId="11" fillId="2" borderId="0" xfId="0" applyFont="1" applyFill="1" applyBorder="1" applyAlignment="1">
      <alignment horizontal="center"/>
    </xf>
    <xf numFmtId="0" fontId="99" fillId="13" borderId="0" xfId="0" applyFont="1" applyFill="1" applyAlignment="1">
      <alignment horizontal="center"/>
    </xf>
    <xf numFmtId="0" fontId="111" fillId="13" borderId="32" xfId="0" applyFont="1" applyFill="1" applyBorder="1" applyAlignment="1">
      <alignment horizontal="center"/>
    </xf>
    <xf numFmtId="0" fontId="111" fillId="13" borderId="14" xfId="0" applyFont="1" applyFill="1" applyBorder="1" applyAlignment="1">
      <alignment horizontal="center"/>
    </xf>
    <xf numFmtId="0" fontId="70" fillId="2" borderId="10" xfId="0" applyFont="1" applyFill="1" applyBorder="1" applyAlignment="1">
      <alignment horizontal="center"/>
    </xf>
    <xf numFmtId="0" fontId="70" fillId="2" borderId="4" xfId="0" applyFont="1" applyFill="1" applyBorder="1" applyAlignment="1">
      <alignment horizontal="center"/>
    </xf>
    <xf numFmtId="0" fontId="121" fillId="11" borderId="36" xfId="0" applyFont="1" applyFill="1" applyBorder="1" applyAlignment="1">
      <alignment horizontal="center" vertical="center"/>
    </xf>
    <xf numFmtId="0" fontId="121" fillId="11" borderId="37" xfId="0" applyFont="1" applyFill="1" applyBorder="1" applyAlignment="1">
      <alignment horizontal="center" vertical="center"/>
    </xf>
    <xf numFmtId="0" fontId="131" fillId="2" borderId="0" xfId="0" applyFont="1" applyFill="1" applyAlignment="1">
      <alignment horizontal="center"/>
    </xf>
    <xf numFmtId="0" fontId="135" fillId="2" borderId="0" xfId="0" applyFont="1" applyFill="1"/>
  </cellXfs>
  <cellStyles count="10">
    <cellStyle name="Comma" xfId="2" builtinId="3"/>
    <cellStyle name="Currency" xfId="7" builtinId="4"/>
    <cellStyle name="fa_data_standard_2_grouped" xfId="5" xr:uid="{00000000-0005-0000-0000-000002000000}"/>
    <cellStyle name="Normal" xfId="0" builtinId="0"/>
    <cellStyle name="Normal 2" xfId="6" xr:uid="{00000000-0005-0000-0000-000004000000}"/>
    <cellStyle name="Normal 3" xfId="9" xr:uid="{00000000-0005-0000-0000-000005000000}"/>
    <cellStyle name="Normal_Sheet1" xfId="1" xr:uid="{00000000-0005-0000-0000-000006000000}"/>
    <cellStyle name="Normal_Sheet1_1" xfId="3" xr:uid="{00000000-0005-0000-0000-000007000000}"/>
    <cellStyle name="Normal_TrainingDCF1" xfId="8" xr:uid="{00000000-0005-0000-0000-000008000000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bg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Model!$G$11:$AF$11</c15:sqref>
                  </c15:fullRef>
                </c:ext>
              </c:extLst>
              <c:f>(Model!$G$11:$H$11,Model!$L$11:$AF$11)</c:f>
              <c:strCache>
                <c:ptCount val="9"/>
                <c:pt idx="0">
                  <c:v>FY 18</c:v>
                </c:pt>
                <c:pt idx="1">
                  <c:v>FY 19 </c:v>
                </c:pt>
                <c:pt idx="2">
                  <c:v>FY 20</c:v>
                </c:pt>
                <c:pt idx="3">
                  <c:v>1Q21</c:v>
                </c:pt>
                <c:pt idx="4">
                  <c:v>2Q21</c:v>
                </c:pt>
                <c:pt idx="5">
                  <c:v>3Q21 </c:v>
                </c:pt>
                <c:pt idx="6">
                  <c:v>4Q21</c:v>
                </c:pt>
                <c:pt idx="7">
                  <c:v>FY 21</c:v>
                </c:pt>
                <c:pt idx="8">
                  <c:v>FY 22 (F)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Model!$G$1570:$AF$1570</c15:sqref>
                  </c15:fullRef>
                </c:ext>
              </c:extLst>
              <c:f>(Model!$G$1570:$H$1570,Model!$L$1570:$AF$1570)</c:f>
              <c:numCache>
                <c:formatCode>#,##0_);\(#,##0\);_("-"??_)</c:formatCode>
                <c:ptCount val="9"/>
                <c:pt idx="0">
                  <c:v>2188.210496958035</c:v>
                </c:pt>
                <c:pt idx="1">
                  <c:v>233.31105624486611</c:v>
                </c:pt>
                <c:pt idx="2">
                  <c:v>0</c:v>
                </c:pt>
                <c:pt idx="3">
                  <c:v>-200.17467745498669</c:v>
                </c:pt>
                <c:pt idx="4">
                  <c:v>-234.48393050164333</c:v>
                </c:pt>
                <c:pt idx="5">
                  <c:v>-91.509900202504156</c:v>
                </c:pt>
                <c:pt idx="6">
                  <c:v>-7.978825018676531</c:v>
                </c:pt>
                <c:pt idx="7">
                  <c:v>-534.14733317781065</c:v>
                </c:pt>
                <c:pt idx="8">
                  <c:v>1233.5094235333972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51-4235-BA4E-7C304AF26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36144048"/>
        <c:axId val="1636144464"/>
      </c:barChart>
      <c:catAx>
        <c:axId val="163614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144464"/>
        <c:crosses val="autoZero"/>
        <c:auto val="1"/>
        <c:lblAlgn val="ctr"/>
        <c:lblOffset val="100"/>
        <c:noMultiLvlLbl val="0"/>
      </c:catAx>
      <c:valAx>
        <c:axId val="16361444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($M)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\(#,##0\);_(&quot;-&quot;??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144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Model!$D$64:$F$64</c:f>
              <c:strCache>
                <c:ptCount val="3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Model!$G$11:$AL$11</c:f>
              <c:strCache>
                <c:ptCount val="18"/>
                <c:pt idx="0">
                  <c:v>FY 15</c:v>
                </c:pt>
                <c:pt idx="1">
                  <c:v>FY 16</c:v>
                </c:pt>
                <c:pt idx="2">
                  <c:v>FY 17</c:v>
                </c:pt>
                <c:pt idx="3">
                  <c:v>FY 18</c:v>
                </c:pt>
                <c:pt idx="4">
                  <c:v>FY 19 </c:v>
                </c:pt>
                <c:pt idx="5">
                  <c:v>FY 20</c:v>
                </c:pt>
                <c:pt idx="6">
                  <c:v>1Q21</c:v>
                </c:pt>
                <c:pt idx="7">
                  <c:v>2Q21</c:v>
                </c:pt>
                <c:pt idx="8">
                  <c:v>3Q21 </c:v>
                </c:pt>
                <c:pt idx="9">
                  <c:v>4Q21</c:v>
                </c:pt>
                <c:pt idx="10">
                  <c:v>FY 21</c:v>
                </c:pt>
                <c:pt idx="11">
                  <c:v>FY 22 (F)</c:v>
                </c:pt>
                <c:pt idx="12">
                  <c:v>FY 23 (F)</c:v>
                </c:pt>
                <c:pt idx="13">
                  <c:v>FY 24 (F)</c:v>
                </c:pt>
                <c:pt idx="14">
                  <c:v>FY 25 (F)</c:v>
                </c:pt>
                <c:pt idx="15">
                  <c:v>FY 26 (F)</c:v>
                </c:pt>
                <c:pt idx="16">
                  <c:v>FY 27 (F)</c:v>
                </c:pt>
                <c:pt idx="17">
                  <c:v>FY 28 (F)</c:v>
                </c:pt>
              </c:strCache>
            </c:strRef>
          </c:cat>
          <c:val>
            <c:numRef>
              <c:f>Model!$G$64:$AL$64</c:f>
              <c:numCache>
                <c:formatCode>#,##0_);\(#,##0\);_("-"??_)</c:formatCode>
                <c:ptCount val="18"/>
                <c:pt idx="0">
                  <c:v>3049</c:v>
                </c:pt>
                <c:pt idx="1">
                  <c:v>4144</c:v>
                </c:pt>
                <c:pt idx="2">
                  <c:v>6014</c:v>
                </c:pt>
                <c:pt idx="3">
                  <c:v>6349</c:v>
                </c:pt>
                <c:pt idx="4">
                  <c:v>5522</c:v>
                </c:pt>
                <c:pt idx="5" formatCode="#,##0">
                  <c:v>3375</c:v>
                </c:pt>
                <c:pt idx="6">
                  <c:v>1047</c:v>
                </c:pt>
                <c:pt idx="7">
                  <c:v>1112</c:v>
                </c:pt>
                <c:pt idx="8" formatCode="#,##0">
                  <c:v>1027.5978270000001</c:v>
                </c:pt>
                <c:pt idx="9" formatCode="#,##0">
                  <c:v>1132.3725073999997</c:v>
                </c:pt>
                <c:pt idx="10" formatCode="#,##0">
                  <c:v>4318.9703344</c:v>
                </c:pt>
                <c:pt idx="11" formatCode="#,##0">
                  <c:v>4172.1864999999998</c:v>
                </c:pt>
                <c:pt idx="12" formatCode="#,##0">
                  <c:v>4028.3180000000002</c:v>
                </c:pt>
                <c:pt idx="13" formatCode="#,##0">
                  <c:v>4061.3370000000004</c:v>
                </c:pt>
                <c:pt idx="14" formatCode="#,##0">
                  <c:v>4061.3370000000004</c:v>
                </c:pt>
                <c:pt idx="15" formatCode="#,##0">
                  <c:v>4061.3370000000004</c:v>
                </c:pt>
                <c:pt idx="16" formatCode="#,##0">
                  <c:v>4061.3370000000004</c:v>
                </c:pt>
                <c:pt idx="17" formatCode="#,##0">
                  <c:v>4061.3370000000004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937-49E0-9EC4-ACB84913BAA3}"/>
            </c:ext>
          </c:extLst>
        </c:ser>
        <c:ser>
          <c:idx val="1"/>
          <c:order val="1"/>
          <c:tx>
            <c:strRef>
              <c:f>Model!$D$82:$F$82</c:f>
              <c:strCache>
                <c:ptCount val="3"/>
                <c:pt idx="0">
                  <c:v>Ebitda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Model!$G$11:$AL$11</c:f>
              <c:strCache>
                <c:ptCount val="18"/>
                <c:pt idx="0">
                  <c:v>FY 15</c:v>
                </c:pt>
                <c:pt idx="1">
                  <c:v>FY 16</c:v>
                </c:pt>
                <c:pt idx="2">
                  <c:v>FY 17</c:v>
                </c:pt>
                <c:pt idx="3">
                  <c:v>FY 18</c:v>
                </c:pt>
                <c:pt idx="4">
                  <c:v>FY 19 </c:v>
                </c:pt>
                <c:pt idx="5">
                  <c:v>FY 20</c:v>
                </c:pt>
                <c:pt idx="6">
                  <c:v>1Q21</c:v>
                </c:pt>
                <c:pt idx="7">
                  <c:v>2Q21</c:v>
                </c:pt>
                <c:pt idx="8">
                  <c:v>3Q21 </c:v>
                </c:pt>
                <c:pt idx="9">
                  <c:v>4Q21</c:v>
                </c:pt>
                <c:pt idx="10">
                  <c:v>FY 21</c:v>
                </c:pt>
                <c:pt idx="11">
                  <c:v>FY 22 (F)</c:v>
                </c:pt>
                <c:pt idx="12">
                  <c:v>FY 23 (F)</c:v>
                </c:pt>
                <c:pt idx="13">
                  <c:v>FY 24 (F)</c:v>
                </c:pt>
                <c:pt idx="14">
                  <c:v>FY 25 (F)</c:v>
                </c:pt>
                <c:pt idx="15">
                  <c:v>FY 26 (F)</c:v>
                </c:pt>
                <c:pt idx="16">
                  <c:v>FY 27 (F)</c:v>
                </c:pt>
                <c:pt idx="17">
                  <c:v>FY 28 (F)</c:v>
                </c:pt>
              </c:strCache>
            </c:strRef>
          </c:cat>
          <c:val>
            <c:numRef>
              <c:f>Model!$G$82:$AL$82</c:f>
              <c:numCache>
                <c:formatCode>#,##0_);\(#,##0\);_("-"??_)</c:formatCode>
                <c:ptCount val="18"/>
                <c:pt idx="0">
                  <c:v>-1182</c:v>
                </c:pt>
                <c:pt idx="1">
                  <c:v>1933</c:v>
                </c:pt>
                <c:pt idx="2">
                  <c:v>3840</c:v>
                </c:pt>
                <c:pt idx="3">
                  <c:v>3691</c:v>
                </c:pt>
                <c:pt idx="4">
                  <c:v>2479</c:v>
                </c:pt>
                <c:pt idx="5">
                  <c:v>816</c:v>
                </c:pt>
                <c:pt idx="6">
                  <c:v>363.75</c:v>
                </c:pt>
                <c:pt idx="7">
                  <c:v>408.75</c:v>
                </c:pt>
                <c:pt idx="8">
                  <c:v>319.53532700000005</c:v>
                </c:pt>
                <c:pt idx="9">
                  <c:v>357.03500739999993</c:v>
                </c:pt>
                <c:pt idx="10">
                  <c:v>1449.0703343999999</c:v>
                </c:pt>
                <c:pt idx="11">
                  <c:v>1236.4364999999998</c:v>
                </c:pt>
                <c:pt idx="12">
                  <c:v>1092.5680000000002</c:v>
                </c:pt>
                <c:pt idx="13">
                  <c:v>1125.5870000000004</c:v>
                </c:pt>
                <c:pt idx="14">
                  <c:v>1125.5870000000004</c:v>
                </c:pt>
                <c:pt idx="15">
                  <c:v>1125.5870000000004</c:v>
                </c:pt>
                <c:pt idx="16">
                  <c:v>1125.5870000000004</c:v>
                </c:pt>
                <c:pt idx="17">
                  <c:v>1125.5870000000004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5937-49E0-9EC4-ACB84913B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1079088"/>
        <c:axId val="1291076592"/>
      </c:lineChart>
      <c:catAx>
        <c:axId val="129107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076592"/>
        <c:crosses val="autoZero"/>
        <c:auto val="1"/>
        <c:lblAlgn val="ctr"/>
        <c:lblOffset val="100"/>
        <c:noMultiLvlLbl val="0"/>
      </c:catAx>
      <c:valAx>
        <c:axId val="12910765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chemeClr val="bg1"/>
                    </a:solidFill>
                  </a:rPr>
                  <a:t>C$ Millions</a:t>
                </a:r>
              </a:p>
            </c:rich>
          </c:tx>
          <c:layout>
            <c:manualLayout>
              <c:xMode val="edge"/>
              <c:yMode val="edge"/>
              <c:x val="1.4824520574129169E-2"/>
              <c:y val="0.319243894408614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\(#,##0\);_(&quot;-&quot;??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07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486590083037733"/>
          <c:y val="0.88138825944647792"/>
          <c:w val="0.29011885306746155"/>
          <c:h val="6.18328847038241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Model!$D$54:$F$54</c:f>
              <c:strCache>
                <c:ptCount val="3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Model!$G$11:$AL$11</c:f>
              <c:strCache>
                <c:ptCount val="18"/>
                <c:pt idx="0">
                  <c:v>FY 15</c:v>
                </c:pt>
                <c:pt idx="1">
                  <c:v>FY 16</c:v>
                </c:pt>
                <c:pt idx="2">
                  <c:v>FY 17</c:v>
                </c:pt>
                <c:pt idx="3">
                  <c:v>FY 18</c:v>
                </c:pt>
                <c:pt idx="4">
                  <c:v>FY 19 </c:v>
                </c:pt>
                <c:pt idx="5">
                  <c:v>FY 20</c:v>
                </c:pt>
                <c:pt idx="6">
                  <c:v>1Q21</c:v>
                </c:pt>
                <c:pt idx="7">
                  <c:v>2Q21</c:v>
                </c:pt>
                <c:pt idx="8">
                  <c:v>3Q21 </c:v>
                </c:pt>
                <c:pt idx="9">
                  <c:v>4Q21</c:v>
                </c:pt>
                <c:pt idx="10">
                  <c:v>FY 21</c:v>
                </c:pt>
                <c:pt idx="11">
                  <c:v>FY 22 (F)</c:v>
                </c:pt>
                <c:pt idx="12">
                  <c:v>FY 23 (F)</c:v>
                </c:pt>
                <c:pt idx="13">
                  <c:v>FY 24 (F)</c:v>
                </c:pt>
                <c:pt idx="14">
                  <c:v>FY 25 (F)</c:v>
                </c:pt>
                <c:pt idx="15">
                  <c:v>FY 26 (F)</c:v>
                </c:pt>
                <c:pt idx="16">
                  <c:v>FY 27 (F)</c:v>
                </c:pt>
                <c:pt idx="17">
                  <c:v>FY 28 (F)</c:v>
                </c:pt>
              </c:strCache>
            </c:strRef>
          </c:cat>
          <c:val>
            <c:numRef>
              <c:f>Model!$G$54:$AL$54</c:f>
              <c:numCache>
                <c:formatCode>#,##0.0_);\(#,##0.0\);_("-"??_)</c:formatCode>
                <c:ptCount val="18"/>
                <c:pt idx="0">
                  <c:v>25.3</c:v>
                </c:pt>
                <c:pt idx="1">
                  <c:v>27.6</c:v>
                </c:pt>
                <c:pt idx="2">
                  <c:v>26.6</c:v>
                </c:pt>
                <c:pt idx="3">
                  <c:v>26.2</c:v>
                </c:pt>
                <c:pt idx="4">
                  <c:v>25.7</c:v>
                </c:pt>
                <c:pt idx="5">
                  <c:v>21.1</c:v>
                </c:pt>
                <c:pt idx="6">
                  <c:v>5.9</c:v>
                </c:pt>
                <c:pt idx="7">
                  <c:v>6.2</c:v>
                </c:pt>
                <c:pt idx="8">
                  <c:v>6.375</c:v>
                </c:pt>
                <c:pt idx="9">
                  <c:v>7.0249999999999977</c:v>
                </c:pt>
                <c:pt idx="10" formatCode="General">
                  <c:v>25.5</c:v>
                </c:pt>
                <c:pt idx="11" formatCode="General">
                  <c:v>26.5</c:v>
                </c:pt>
                <c:pt idx="12" formatCode="General">
                  <c:v>26.5</c:v>
                </c:pt>
                <c:pt idx="13" formatCode="General">
                  <c:v>26.5</c:v>
                </c:pt>
                <c:pt idx="14" formatCode="General">
                  <c:v>26.5</c:v>
                </c:pt>
                <c:pt idx="15" formatCode="General">
                  <c:v>26.5</c:v>
                </c:pt>
                <c:pt idx="16" formatCode="General">
                  <c:v>26.5</c:v>
                </c:pt>
                <c:pt idx="17" formatCode="General">
                  <c:v>26.5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D4-4152-97EE-EB9EADCFA6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93049264"/>
        <c:axId val="1293050928"/>
      </c:barChart>
      <c:catAx>
        <c:axId val="12930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050928"/>
        <c:crosses val="autoZero"/>
        <c:auto val="1"/>
        <c:lblAlgn val="ctr"/>
        <c:lblOffset val="100"/>
        <c:noMultiLvlLbl val="0"/>
      </c:catAx>
      <c:valAx>
        <c:axId val="129305092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chemeClr val="bg1"/>
                    </a:solidFill>
                  </a:rPr>
                  <a:t>Mmt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049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Highland Valley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Model!$E$11:$AL$11</c15:sqref>
                  </c15:fullRef>
                </c:ext>
              </c:extLst>
              <c:f>(Model!$G$11:$H$11,Model!$J$11:$AL$11)</c:f>
              <c:strCache>
                <c:ptCount val="17"/>
                <c:pt idx="0">
                  <c:v>FY 16</c:v>
                </c:pt>
                <c:pt idx="1">
                  <c:v>FY 17</c:v>
                </c:pt>
                <c:pt idx="2">
                  <c:v>FY 18</c:v>
                </c:pt>
                <c:pt idx="3">
                  <c:v>FY 19 </c:v>
                </c:pt>
                <c:pt idx="4">
                  <c:v>FY 20</c:v>
                </c:pt>
                <c:pt idx="5">
                  <c:v>1Q21</c:v>
                </c:pt>
                <c:pt idx="6">
                  <c:v>2Q21</c:v>
                </c:pt>
                <c:pt idx="7">
                  <c:v>3Q21 </c:v>
                </c:pt>
                <c:pt idx="8">
                  <c:v>4Q21</c:v>
                </c:pt>
                <c:pt idx="9">
                  <c:v>FY 21</c:v>
                </c:pt>
                <c:pt idx="10">
                  <c:v>FY 22 (F)</c:v>
                </c:pt>
                <c:pt idx="11">
                  <c:v>FY 23 (F)</c:v>
                </c:pt>
                <c:pt idx="12">
                  <c:v>FY 24 (F)</c:v>
                </c:pt>
                <c:pt idx="13">
                  <c:v>FY 25 (F)</c:v>
                </c:pt>
                <c:pt idx="14">
                  <c:v>FY 26 (F)</c:v>
                </c:pt>
                <c:pt idx="15">
                  <c:v>FY 27 (F)</c:v>
                </c:pt>
                <c:pt idx="16">
                  <c:v>FY 28 (F)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Model!$E$158:$AL$158</c15:sqref>
                  </c15:fullRef>
                </c:ext>
              </c:extLst>
              <c:f>(Model!$G$158:$H$158,Model!$J$158:$AL$158)</c:f>
              <c:numCache>
                <c:formatCode>General</c:formatCode>
                <c:ptCount val="17"/>
                <c:pt idx="0" formatCode="#,##0_);\(#,##0\);_(&quot;-&quot;??_)">
                  <c:v>119</c:v>
                </c:pt>
                <c:pt idx="1" formatCode="#,##0_);\(#,##0\);_(&quot;-&quot;??_)">
                  <c:v>93</c:v>
                </c:pt>
                <c:pt idx="2" formatCode="#,##0_);\(#,##0\);_(&quot;-&quot;??_)">
                  <c:v>100.8</c:v>
                </c:pt>
                <c:pt idx="3" formatCode="#,##0_);\(#,##0\);_(&quot;-&quot;??_)">
                  <c:v>121.3</c:v>
                </c:pt>
                <c:pt idx="4" formatCode="#,##0_);\(#,##0\);_(&quot;-&quot;??_)">
                  <c:v>119.3</c:v>
                </c:pt>
                <c:pt idx="5" formatCode="#,##0_);\(#,##0\);_(&quot;-&quot;??_)">
                  <c:v>32.6</c:v>
                </c:pt>
                <c:pt idx="6" formatCode="#,##0_);\(#,##0\);_(&quot;-&quot;??_)">
                  <c:v>33.4</c:v>
                </c:pt>
                <c:pt idx="7" formatCode="#,##0_);\(#,##0\);_(&quot;-&quot;??_)">
                  <c:v>32.5</c:v>
                </c:pt>
                <c:pt idx="8" formatCode="#,##0_);\(#,##0\);_(&quot;-&quot;??_)">
                  <c:v>31.499999999999989</c:v>
                </c:pt>
                <c:pt idx="9">
                  <c:v>130</c:v>
                </c:pt>
                <c:pt idx="10">
                  <c:v>130</c:v>
                </c:pt>
                <c:pt idx="11">
                  <c:v>130</c:v>
                </c:pt>
                <c:pt idx="12">
                  <c:v>150</c:v>
                </c:pt>
                <c:pt idx="13">
                  <c:v>150</c:v>
                </c:pt>
                <c:pt idx="14">
                  <c:v>150</c:v>
                </c:pt>
                <c:pt idx="15">
                  <c:v>150</c:v>
                </c:pt>
                <c:pt idx="16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2C-4907-B327-DD62F80315A7}"/>
            </c:ext>
          </c:extLst>
        </c:ser>
        <c:ser>
          <c:idx val="1"/>
          <c:order val="1"/>
          <c:tx>
            <c:v>Antamina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Model!$E$11:$AL$11</c15:sqref>
                  </c15:fullRef>
                </c:ext>
              </c:extLst>
              <c:f>(Model!$G$11:$H$11,Model!$J$11:$AL$11)</c:f>
              <c:strCache>
                <c:ptCount val="17"/>
                <c:pt idx="0">
                  <c:v>FY 16</c:v>
                </c:pt>
                <c:pt idx="1">
                  <c:v>FY 17</c:v>
                </c:pt>
                <c:pt idx="2">
                  <c:v>FY 18</c:v>
                </c:pt>
                <c:pt idx="3">
                  <c:v>FY 19 </c:v>
                </c:pt>
                <c:pt idx="4">
                  <c:v>FY 20</c:v>
                </c:pt>
                <c:pt idx="5">
                  <c:v>1Q21</c:v>
                </c:pt>
                <c:pt idx="6">
                  <c:v>2Q21</c:v>
                </c:pt>
                <c:pt idx="7">
                  <c:v>3Q21 </c:v>
                </c:pt>
                <c:pt idx="8">
                  <c:v>4Q21</c:v>
                </c:pt>
                <c:pt idx="9">
                  <c:v>FY 21</c:v>
                </c:pt>
                <c:pt idx="10">
                  <c:v>FY 22 (F)</c:v>
                </c:pt>
                <c:pt idx="11">
                  <c:v>FY 23 (F)</c:v>
                </c:pt>
                <c:pt idx="12">
                  <c:v>FY 24 (F)</c:v>
                </c:pt>
                <c:pt idx="13">
                  <c:v>FY 25 (F)</c:v>
                </c:pt>
                <c:pt idx="14">
                  <c:v>FY 26 (F)</c:v>
                </c:pt>
                <c:pt idx="15">
                  <c:v>FY 27 (F)</c:v>
                </c:pt>
                <c:pt idx="16">
                  <c:v>FY 28 (F)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Model!$E$238:$AL$238</c15:sqref>
                  </c15:fullRef>
                </c:ext>
              </c:extLst>
              <c:f>(Model!$G$238:$H$238,Model!$J$238:$AL$238)</c:f>
              <c:numCache>
                <c:formatCode>General</c:formatCode>
                <c:ptCount val="17"/>
                <c:pt idx="0" formatCode="#,##0_);\(#,##0\);_(&quot;-&quot;??_)">
                  <c:v>97.621483499999997</c:v>
                </c:pt>
                <c:pt idx="1" formatCode="#,##0_);\(#,##0\);_(&quot;-&quot;??_)">
                  <c:v>95.386127039999991</c:v>
                </c:pt>
                <c:pt idx="2" formatCode="#,##0_);\(#,##0\);_(&quot;-&quot;??_)">
                  <c:v>100</c:v>
                </c:pt>
                <c:pt idx="3" formatCode="#,##0_);\(#,##0\);_(&quot;-&quot;??_)">
                  <c:v>100.91250000000001</c:v>
                </c:pt>
                <c:pt idx="4" formatCode="#,##0_);\(#,##0\);_(&quot;-&quot;??_)">
                  <c:v>85.657499999999999</c:v>
                </c:pt>
                <c:pt idx="5" formatCode="#,##0_);\(#,##0\);_(&quot;-&quot;??_)">
                  <c:v>24.0075</c:v>
                </c:pt>
                <c:pt idx="6" formatCode="#,##0_);\(#,##0\);_(&quot;-&quot;??_)">
                  <c:v>24.93</c:v>
                </c:pt>
                <c:pt idx="7" formatCode="#,##0_);\(#,##0\);_(&quot;-&quot;??_)">
                  <c:v>23.25</c:v>
                </c:pt>
                <c:pt idx="8" formatCode="#,##0_);\(#,##0\);_(&quot;-&quot;??_)">
                  <c:v>20.812499999999996</c:v>
                </c:pt>
                <c:pt idx="9">
                  <c:v>93</c:v>
                </c:pt>
                <c:pt idx="10">
                  <c:v>93</c:v>
                </c:pt>
                <c:pt idx="11">
                  <c:v>93</c:v>
                </c:pt>
                <c:pt idx="12">
                  <c:v>93</c:v>
                </c:pt>
                <c:pt idx="13">
                  <c:v>93</c:v>
                </c:pt>
                <c:pt idx="14">
                  <c:v>93</c:v>
                </c:pt>
                <c:pt idx="15">
                  <c:v>93</c:v>
                </c:pt>
                <c:pt idx="16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2C-4907-B327-DD62F80315A7}"/>
            </c:ext>
          </c:extLst>
        </c:ser>
        <c:ser>
          <c:idx val="2"/>
          <c:order val="2"/>
          <c:tx>
            <c:v>Carmen de Andacollo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Model!$E$11:$AL$11</c15:sqref>
                  </c15:fullRef>
                </c:ext>
              </c:extLst>
              <c:f>(Model!$G$11:$H$11,Model!$J$11:$AL$11)</c:f>
              <c:strCache>
                <c:ptCount val="17"/>
                <c:pt idx="0">
                  <c:v>FY 16</c:v>
                </c:pt>
                <c:pt idx="1">
                  <c:v>FY 17</c:v>
                </c:pt>
                <c:pt idx="2">
                  <c:v>FY 18</c:v>
                </c:pt>
                <c:pt idx="3">
                  <c:v>FY 19 </c:v>
                </c:pt>
                <c:pt idx="4">
                  <c:v>FY 20</c:v>
                </c:pt>
                <c:pt idx="5">
                  <c:v>1Q21</c:v>
                </c:pt>
                <c:pt idx="6">
                  <c:v>2Q21</c:v>
                </c:pt>
                <c:pt idx="7">
                  <c:v>3Q21 </c:v>
                </c:pt>
                <c:pt idx="8">
                  <c:v>4Q21</c:v>
                </c:pt>
                <c:pt idx="9">
                  <c:v>FY 21</c:v>
                </c:pt>
                <c:pt idx="10">
                  <c:v>FY 22 (F)</c:v>
                </c:pt>
                <c:pt idx="11">
                  <c:v>FY 23 (F)</c:v>
                </c:pt>
                <c:pt idx="12">
                  <c:v>FY 24 (F)</c:v>
                </c:pt>
                <c:pt idx="13">
                  <c:v>FY 25 (F)</c:v>
                </c:pt>
                <c:pt idx="14">
                  <c:v>FY 26 (F)</c:v>
                </c:pt>
                <c:pt idx="15">
                  <c:v>FY 27 (F)</c:v>
                </c:pt>
                <c:pt idx="16">
                  <c:v>FY 28 (F)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Model!$E$338:$AL$338</c15:sqref>
                  </c15:fullRef>
                </c:ext>
              </c:extLst>
              <c:f>(Model!$G$338:$H$338,Model!$J$338:$AL$338)</c:f>
              <c:numCache>
                <c:formatCode>General</c:formatCode>
                <c:ptCount val="17"/>
                <c:pt idx="0" formatCode="#,##0_);\(#,##0\);_(&quot;-&quot;??_)">
                  <c:v>69.5</c:v>
                </c:pt>
                <c:pt idx="1" formatCode="#,##0_);\(#,##0\);_(&quot;-&quot;??_)">
                  <c:v>72.5</c:v>
                </c:pt>
                <c:pt idx="2" formatCode="#,##0_);\(#,##0\);_(&quot;-&quot;??_)">
                  <c:v>63.5</c:v>
                </c:pt>
                <c:pt idx="3" formatCode="#,##0_);\(#,##0\);_(&quot;-&quot;??_)">
                  <c:v>51.6</c:v>
                </c:pt>
                <c:pt idx="4" formatCode="#,##0_);\(#,##0\);_(&quot;-&quot;??_)">
                  <c:v>55.4</c:v>
                </c:pt>
                <c:pt idx="5" formatCode="#,##0_);\(#,##0\);_(&quot;-&quot;??_)">
                  <c:v>11.9</c:v>
                </c:pt>
                <c:pt idx="6" formatCode="#,##0_);\(#,##0\);_(&quot;-&quot;??_)">
                  <c:v>10.4</c:v>
                </c:pt>
                <c:pt idx="7" formatCode="#,##0_);\(#,##0\);_(&quot;-&quot;??_)">
                  <c:v>12.48</c:v>
                </c:pt>
                <c:pt idx="8" formatCode="#,##0_);\(#,##0\);_(&quot;-&quot;??_)">
                  <c:v>13.219999999999999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  <c:pt idx="12">
                  <c:v>48</c:v>
                </c:pt>
                <c:pt idx="13">
                  <c:v>48</c:v>
                </c:pt>
                <c:pt idx="14">
                  <c:v>48</c:v>
                </c:pt>
                <c:pt idx="15">
                  <c:v>48</c:v>
                </c:pt>
                <c:pt idx="16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2C-4907-B327-DD62F80315A7}"/>
            </c:ext>
          </c:extLst>
        </c:ser>
        <c:ser>
          <c:idx val="3"/>
          <c:order val="3"/>
          <c:tx>
            <c:v>Quebrada Blanca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Model!$E$11:$AL$11</c15:sqref>
                  </c15:fullRef>
                </c:ext>
              </c:extLst>
              <c:f>(Model!$G$11:$H$11,Model!$J$11:$AL$11)</c:f>
              <c:strCache>
                <c:ptCount val="17"/>
                <c:pt idx="0">
                  <c:v>FY 16</c:v>
                </c:pt>
                <c:pt idx="1">
                  <c:v>FY 17</c:v>
                </c:pt>
                <c:pt idx="2">
                  <c:v>FY 18</c:v>
                </c:pt>
                <c:pt idx="3">
                  <c:v>FY 19 </c:v>
                </c:pt>
                <c:pt idx="4">
                  <c:v>FY 20</c:v>
                </c:pt>
                <c:pt idx="5">
                  <c:v>1Q21</c:v>
                </c:pt>
                <c:pt idx="6">
                  <c:v>2Q21</c:v>
                </c:pt>
                <c:pt idx="7">
                  <c:v>3Q21 </c:v>
                </c:pt>
                <c:pt idx="8">
                  <c:v>4Q21</c:v>
                </c:pt>
                <c:pt idx="9">
                  <c:v>FY 21</c:v>
                </c:pt>
                <c:pt idx="10">
                  <c:v>FY 22 (F)</c:v>
                </c:pt>
                <c:pt idx="11">
                  <c:v>FY 23 (F)</c:v>
                </c:pt>
                <c:pt idx="12">
                  <c:v>FY 24 (F)</c:v>
                </c:pt>
                <c:pt idx="13">
                  <c:v>FY 25 (F)</c:v>
                </c:pt>
                <c:pt idx="14">
                  <c:v>FY 26 (F)</c:v>
                </c:pt>
                <c:pt idx="15">
                  <c:v>FY 27 (F)</c:v>
                </c:pt>
                <c:pt idx="16">
                  <c:v>FY 28 (F)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Model!$E$410:$AL$410</c15:sqref>
                  </c15:fullRef>
                </c:ext>
              </c:extLst>
              <c:f>(Model!$G$410:$H$410,Model!$J$410:$AL$410)</c:f>
              <c:numCache>
                <c:formatCode>General</c:formatCode>
                <c:ptCount val="17"/>
                <c:pt idx="0" formatCode="#,##0_);\(#,##0\);_(&quot;-&quot;??_)">
                  <c:v>35</c:v>
                </c:pt>
                <c:pt idx="1" formatCode="#,##0_);\(#,##0\);_(&quot;-&quot;??_)">
                  <c:v>23</c:v>
                </c:pt>
                <c:pt idx="2" formatCode="#,##0_);\(#,##0\);_(&quot;-&quot;??_)">
                  <c:v>25.5</c:v>
                </c:pt>
                <c:pt idx="3" formatCode="#,##0_);\(#,##0\);_(&quot;-&quot;??_)">
                  <c:v>21.1</c:v>
                </c:pt>
                <c:pt idx="4" formatCode="#,##0_);\(#,##0\);_(&quot;-&quot;??_)">
                  <c:v>13.4</c:v>
                </c:pt>
                <c:pt idx="5" formatCode="#,##0.0_);\(#,##0.0\);_(&quot;-&quot;??_)">
                  <c:v>2.9</c:v>
                </c:pt>
                <c:pt idx="6" formatCode="#,##0.0_);\(#,##0.0\);_(&quot;-&quot;??_)">
                  <c:v>3</c:v>
                </c:pt>
                <c:pt idx="7" formatCode="#,##0.0_);\(#,##0.0\);_(&quot;-&quot;??_)">
                  <c:v>2.2000000000000002</c:v>
                </c:pt>
                <c:pt idx="8" formatCode="#,##0.0_);\(#,##0.0\);_(&quot;-&quot;??_)">
                  <c:v>1.8999999999999997</c:v>
                </c:pt>
                <c:pt idx="9" formatCode="#,##0_);\(#,##0\);_(&quot;-&quot;??_)">
                  <c:v>10</c:v>
                </c:pt>
                <c:pt idx="10">
                  <c:v>34</c:v>
                </c:pt>
                <c:pt idx="11">
                  <c:v>84</c:v>
                </c:pt>
                <c:pt idx="12">
                  <c:v>142</c:v>
                </c:pt>
                <c:pt idx="13">
                  <c:v>200</c:v>
                </c:pt>
                <c:pt idx="14">
                  <c:v>220</c:v>
                </c:pt>
                <c:pt idx="15">
                  <c:v>220</c:v>
                </c:pt>
                <c:pt idx="16">
                  <c:v>220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2C-4907-B327-DD62F8031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3102720"/>
        <c:axId val="993099392"/>
      </c:barChart>
      <c:catAx>
        <c:axId val="99310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099392"/>
        <c:crosses val="autoZero"/>
        <c:auto val="1"/>
        <c:lblAlgn val="ctr"/>
        <c:lblOffset val="100"/>
        <c:noMultiLvlLbl val="0"/>
      </c:catAx>
      <c:valAx>
        <c:axId val="9930993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>
                    <a:solidFill>
                      <a:schemeClr val="bg1"/>
                    </a:solidFill>
                  </a:rPr>
                  <a:t>000's mt</a:t>
                </a:r>
              </a:p>
            </c:rich>
          </c:tx>
          <c:layout>
            <c:manualLayout>
              <c:xMode val="edge"/>
              <c:yMode val="edge"/>
              <c:x val="1.1881989523533556E-2"/>
              <c:y val="0.36597649564920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10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Revenue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Model!$G$11:$AL$11</c15:sqref>
                  </c15:fullRef>
                </c:ext>
              </c:extLst>
              <c:f>(Model!$G$11:$H$11,Model!$K$11:$AL$11)</c:f>
              <c:strCache>
                <c:ptCount val="16"/>
                <c:pt idx="0">
                  <c:v>FY 17</c:v>
                </c:pt>
                <c:pt idx="1">
                  <c:v>FY 18</c:v>
                </c:pt>
                <c:pt idx="2">
                  <c:v>FY 19 </c:v>
                </c:pt>
                <c:pt idx="3">
                  <c:v>FY 20</c:v>
                </c:pt>
                <c:pt idx="4">
                  <c:v>1Q21</c:v>
                </c:pt>
                <c:pt idx="5">
                  <c:v>2Q21</c:v>
                </c:pt>
                <c:pt idx="6">
                  <c:v>3Q21 </c:v>
                </c:pt>
                <c:pt idx="7">
                  <c:v>4Q21</c:v>
                </c:pt>
                <c:pt idx="8">
                  <c:v>FY 21</c:v>
                </c:pt>
                <c:pt idx="9">
                  <c:v>FY 22 (F)</c:v>
                </c:pt>
                <c:pt idx="10">
                  <c:v>FY 23 (F)</c:v>
                </c:pt>
                <c:pt idx="11">
                  <c:v>FY 24 (F)</c:v>
                </c:pt>
                <c:pt idx="12">
                  <c:v>FY 25 (F)</c:v>
                </c:pt>
                <c:pt idx="13">
                  <c:v>FY 26 (F)</c:v>
                </c:pt>
                <c:pt idx="14">
                  <c:v>FY 27 (F)</c:v>
                </c:pt>
                <c:pt idx="15">
                  <c:v>FY 28 (F)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Model!$G$507:$AL$507</c15:sqref>
                  </c15:fullRef>
                </c:ext>
              </c:extLst>
              <c:f>(Model!$G$507:$H$507,Model!$K$507:$AL$507)</c:f>
              <c:numCache>
                <c:formatCode>#,##0_);\(#,##0\);_("-"??_)</c:formatCode>
                <c:ptCount val="16"/>
                <c:pt idx="0">
                  <c:v>2400</c:v>
                </c:pt>
                <c:pt idx="1">
                  <c:v>2714</c:v>
                </c:pt>
                <c:pt idx="2">
                  <c:v>2469</c:v>
                </c:pt>
                <c:pt idx="3">
                  <c:v>2419</c:v>
                </c:pt>
                <c:pt idx="4">
                  <c:v>767</c:v>
                </c:pt>
                <c:pt idx="5">
                  <c:v>821</c:v>
                </c:pt>
                <c:pt idx="6">
                  <c:v>838.33688614029484</c:v>
                </c:pt>
                <c:pt idx="7">
                  <c:v>798.30892088988094</c:v>
                </c:pt>
                <c:pt idx="8">
                  <c:v>3224.645807030176</c:v>
                </c:pt>
                <c:pt idx="9">
                  <c:v>3704.3560255252837</c:v>
                </c:pt>
                <c:pt idx="10">
                  <c:v>4304.3323142470699</c:v>
                </c:pt>
                <c:pt idx="11">
                  <c:v>5225.3882407566471</c:v>
                </c:pt>
                <c:pt idx="12">
                  <c:v>5300.4661640634749</c:v>
                </c:pt>
                <c:pt idx="13">
                  <c:v>5465.527332284164</c:v>
                </c:pt>
                <c:pt idx="14">
                  <c:v>5465.527332284164</c:v>
                </c:pt>
                <c:pt idx="15">
                  <c:v>5465.527332284164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AAC-4D59-944D-4B5202FF2AA3}"/>
            </c:ext>
          </c:extLst>
        </c:ser>
        <c:ser>
          <c:idx val="1"/>
          <c:order val="1"/>
          <c:tx>
            <c:strRef>
              <c:f>Model!$D$527:$F$527</c:f>
              <c:strCache>
                <c:ptCount val="3"/>
                <c:pt idx="0">
                  <c:v>Adjusted Ebitda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Model!$G$11:$AL$11</c15:sqref>
                  </c15:fullRef>
                </c:ext>
              </c:extLst>
              <c:f>(Model!$G$11:$H$11,Model!$K$11:$AL$11)</c:f>
              <c:strCache>
                <c:ptCount val="16"/>
                <c:pt idx="0">
                  <c:v>FY 17</c:v>
                </c:pt>
                <c:pt idx="1">
                  <c:v>FY 18</c:v>
                </c:pt>
                <c:pt idx="2">
                  <c:v>FY 19 </c:v>
                </c:pt>
                <c:pt idx="3">
                  <c:v>FY 20</c:v>
                </c:pt>
                <c:pt idx="4">
                  <c:v>1Q21</c:v>
                </c:pt>
                <c:pt idx="5">
                  <c:v>2Q21</c:v>
                </c:pt>
                <c:pt idx="6">
                  <c:v>3Q21 </c:v>
                </c:pt>
                <c:pt idx="7">
                  <c:v>4Q21</c:v>
                </c:pt>
                <c:pt idx="8">
                  <c:v>FY 21</c:v>
                </c:pt>
                <c:pt idx="9">
                  <c:v>FY 22 (F)</c:v>
                </c:pt>
                <c:pt idx="10">
                  <c:v>FY 23 (F)</c:v>
                </c:pt>
                <c:pt idx="11">
                  <c:v>FY 24 (F)</c:v>
                </c:pt>
                <c:pt idx="12">
                  <c:v>FY 25 (F)</c:v>
                </c:pt>
                <c:pt idx="13">
                  <c:v>FY 26 (F)</c:v>
                </c:pt>
                <c:pt idx="14">
                  <c:v>FY 27 (F)</c:v>
                </c:pt>
                <c:pt idx="15">
                  <c:v>FY 28 (F)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Model!$G$527:$AL$527</c15:sqref>
                  </c15:fullRef>
                </c:ext>
              </c:extLst>
              <c:f>(Model!$G$527:$H$527,Model!$K$527:$AL$527)</c:f>
              <c:numCache>
                <c:formatCode>#,##0_);\(#,##0\);_("-"??_)</c:formatCode>
                <c:ptCount val="16"/>
                <c:pt idx="0">
                  <c:v>1217</c:v>
                </c:pt>
                <c:pt idx="1">
                  <c:v>1108</c:v>
                </c:pt>
                <c:pt idx="2">
                  <c:v>897</c:v>
                </c:pt>
                <c:pt idx="3">
                  <c:v>919</c:v>
                </c:pt>
                <c:pt idx="4">
                  <c:v>478</c:v>
                </c:pt>
                <c:pt idx="5">
                  <c:v>559</c:v>
                </c:pt>
                <c:pt idx="6">
                  <c:v>348.99681488442332</c:v>
                </c:pt>
                <c:pt idx="7">
                  <c:v>320.07321887679348</c:v>
                </c:pt>
                <c:pt idx="8">
                  <c:v>1706.0700337612168</c:v>
                </c:pt>
                <c:pt idx="9">
                  <c:v>2064.7996795530653</c:v>
                </c:pt>
                <c:pt idx="10">
                  <c:v>2750.1788459726931</c:v>
                </c:pt>
                <c:pt idx="11">
                  <c:v>3307.0433314646939</c:v>
                </c:pt>
                <c:pt idx="12">
                  <c:v>2856.9485929010179</c:v>
                </c:pt>
                <c:pt idx="13">
                  <c:v>2920.5709122008438</c:v>
                </c:pt>
                <c:pt idx="14">
                  <c:v>2787.5709122008438</c:v>
                </c:pt>
                <c:pt idx="15">
                  <c:v>2787.5709122008438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4AAC-4D59-944D-4B5202FF2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1079088"/>
        <c:axId val="1291076592"/>
      </c:lineChart>
      <c:catAx>
        <c:axId val="129107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076592"/>
        <c:crosses val="autoZero"/>
        <c:auto val="1"/>
        <c:lblAlgn val="ctr"/>
        <c:lblOffset val="100"/>
        <c:noMultiLvlLbl val="0"/>
      </c:catAx>
      <c:valAx>
        <c:axId val="12910765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chemeClr val="bg1"/>
                    </a:solidFill>
                  </a:rPr>
                  <a:t>C$ Millions</a:t>
                </a:r>
              </a:p>
            </c:rich>
          </c:tx>
          <c:layout>
            <c:manualLayout>
              <c:xMode val="edge"/>
              <c:yMode val="edge"/>
              <c:x val="1.4824520574129169E-2"/>
              <c:y val="0.319243894408614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\(#,##0\);_(&quot;-&quot;??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07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4721289358881946"/>
          <c:y val="0.91793652167844608"/>
          <c:w val="0.29026819833924516"/>
          <c:h val="5.957972614413262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Model!$D$742</c:f>
              <c:strCache>
                <c:ptCount val="1"/>
                <c:pt idx="0">
                  <c:v>Ore Milled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Model!$E$11:$AL$11</c15:sqref>
                  </c15:fullRef>
                </c:ext>
              </c:extLst>
              <c:f>(Model!$G$11:$H$11,Model!$L$11:$AL$11)</c:f>
              <c:strCache>
                <c:ptCount val="15"/>
                <c:pt idx="0">
                  <c:v>FY 18</c:v>
                </c:pt>
                <c:pt idx="1">
                  <c:v>FY 19 </c:v>
                </c:pt>
                <c:pt idx="2">
                  <c:v>FY 20</c:v>
                </c:pt>
                <c:pt idx="3">
                  <c:v>1Q21</c:v>
                </c:pt>
                <c:pt idx="4">
                  <c:v>2Q21</c:v>
                </c:pt>
                <c:pt idx="5">
                  <c:v>3Q21 </c:v>
                </c:pt>
                <c:pt idx="6">
                  <c:v>4Q21</c:v>
                </c:pt>
                <c:pt idx="7">
                  <c:v>FY 21</c:v>
                </c:pt>
                <c:pt idx="8">
                  <c:v>FY 22 (F)</c:v>
                </c:pt>
                <c:pt idx="9">
                  <c:v>FY 23 (F)</c:v>
                </c:pt>
                <c:pt idx="10">
                  <c:v>FY 24 (F)</c:v>
                </c:pt>
                <c:pt idx="11">
                  <c:v>FY 25 (F)</c:v>
                </c:pt>
                <c:pt idx="12">
                  <c:v>FY 26 (F)</c:v>
                </c:pt>
                <c:pt idx="13">
                  <c:v>FY 27 (F)</c:v>
                </c:pt>
                <c:pt idx="14">
                  <c:v>FY 28 (F)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Model!$E$742:$AL$742</c15:sqref>
                  </c15:fullRef>
                </c:ext>
              </c:extLst>
              <c:f>(Model!$G$742:$H$742,Model!$L$742:$AL$742)</c:f>
              <c:numCache>
                <c:formatCode>General</c:formatCode>
                <c:ptCount val="15"/>
                <c:pt idx="0" formatCode="#,##0_);\(#,##0\);_(&quot;-&quot;??_)">
                  <c:v>4429</c:v>
                </c:pt>
                <c:pt idx="1" formatCode="#,##0">
                  <c:v>4256</c:v>
                </c:pt>
                <c:pt idx="2" formatCode="#,##0">
                  <c:v>4196</c:v>
                </c:pt>
                <c:pt idx="3" formatCode="#,##0_);\(#,##0\);_(&quot;-&quot;??_)">
                  <c:v>1114</c:v>
                </c:pt>
                <c:pt idx="4" formatCode="#,##0_);\(#,##0\);_(&quot;-&quot;??_)">
                  <c:v>1191</c:v>
                </c:pt>
                <c:pt idx="5" formatCode="#,##0_);\(#,##0\);_(&quot;-&quot;??_)">
                  <c:v>1187.0845204178538</c:v>
                </c:pt>
                <c:pt idx="6" formatCode="#,##0_);\(#,##0\);_(&quot;-&quot;??_)">
                  <c:v>1092.117758784425</c:v>
                </c:pt>
                <c:pt idx="7" formatCode="#,##0_);\(#,##0\);_(&quot;-&quot;??_)">
                  <c:v>4748.3380816714152</c:v>
                </c:pt>
                <c:pt idx="8" formatCode="#,##0_);\(#,##0\);_(&quot;-&quot;??_)">
                  <c:v>4748.3380816714152</c:v>
                </c:pt>
                <c:pt idx="9" formatCode="#,##0_);\(#,##0\);_(&quot;-&quot;??_)">
                  <c:v>4748.3380816714152</c:v>
                </c:pt>
                <c:pt idx="10" formatCode="#,##0_);\(#,##0\);_(&quot;-&quot;??_)">
                  <c:v>4409.1710758377421</c:v>
                </c:pt>
                <c:pt idx="11" formatCode="#,##0_);\(#,##0\);_(&quot;-&quot;??_)">
                  <c:v>4409.1710758377421</c:v>
                </c:pt>
                <c:pt idx="12" formatCode="#,##0_);\(#,##0\);_(&quot;-&quot;??_)">
                  <c:v>4409.1710758377421</c:v>
                </c:pt>
                <c:pt idx="13" formatCode="#,##0_);\(#,##0\);_(&quot;-&quot;??_)">
                  <c:v>4409.1710758377421</c:v>
                </c:pt>
                <c:pt idx="14" formatCode="#,##0_);\(#,##0\);_(&quot;-&quot;??_)">
                  <c:v>4409.1710758377421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9A-4B98-9F5F-96447D051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2326784"/>
        <c:axId val="832333440"/>
      </c:barChart>
      <c:catAx>
        <c:axId val="83232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333440"/>
        <c:crosses val="autoZero"/>
        <c:auto val="1"/>
        <c:lblAlgn val="ctr"/>
        <c:lblOffset val="100"/>
        <c:noMultiLvlLbl val="0"/>
      </c:catAx>
      <c:valAx>
        <c:axId val="8323334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chemeClr val="bg1"/>
                    </a:solidFill>
                  </a:rPr>
                  <a:t>k mt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326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Model!$D$939:$F$939</c:f>
              <c:strCache>
                <c:ptCount val="3"/>
                <c:pt idx="0">
                  <c:v>Zinc (Including Antamina by-Product)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Model!$G$11:$AL$11</c15:sqref>
                  </c15:fullRef>
                </c:ext>
              </c:extLst>
              <c:f>(Model!$G$11:$H$11,Model!$L$11:$AL$11)</c:f>
              <c:strCache>
                <c:ptCount val="15"/>
                <c:pt idx="0">
                  <c:v>FY 18</c:v>
                </c:pt>
                <c:pt idx="1">
                  <c:v>FY 19 </c:v>
                </c:pt>
                <c:pt idx="2">
                  <c:v>FY 20</c:v>
                </c:pt>
                <c:pt idx="3">
                  <c:v>1Q21</c:v>
                </c:pt>
                <c:pt idx="4">
                  <c:v>2Q21</c:v>
                </c:pt>
                <c:pt idx="5">
                  <c:v>3Q21 </c:v>
                </c:pt>
                <c:pt idx="6">
                  <c:v>4Q21</c:v>
                </c:pt>
                <c:pt idx="7">
                  <c:v>FY 21</c:v>
                </c:pt>
                <c:pt idx="8">
                  <c:v>FY 22 (F)</c:v>
                </c:pt>
                <c:pt idx="9">
                  <c:v>FY 23 (F)</c:v>
                </c:pt>
                <c:pt idx="10">
                  <c:v>FY 24 (F)</c:v>
                </c:pt>
                <c:pt idx="11">
                  <c:v>FY 25 (F)</c:v>
                </c:pt>
                <c:pt idx="12">
                  <c:v>FY 26 (F)</c:v>
                </c:pt>
                <c:pt idx="13">
                  <c:v>FY 27 (F)</c:v>
                </c:pt>
                <c:pt idx="14">
                  <c:v>FY 28 (F)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Model!$G$939:$AL$939</c15:sqref>
                  </c15:fullRef>
                </c:ext>
              </c:extLst>
              <c:f>(Model!$G$939:$H$939,Model!$L$939:$AL$939)</c:f>
              <c:numCache>
                <c:formatCode>#,##0.0_);\(#,##0.0\);_("-"??_)</c:formatCode>
                <c:ptCount val="15"/>
                <c:pt idx="0">
                  <c:v>705</c:v>
                </c:pt>
                <c:pt idx="1">
                  <c:v>640.0424999999999</c:v>
                </c:pt>
                <c:pt idx="2" formatCode="#,##0_);\(#,##0\);_(&quot;-&quot;??_)">
                  <c:v>586.95500000000004</c:v>
                </c:pt>
                <c:pt idx="3">
                  <c:v>145.98000000000002</c:v>
                </c:pt>
                <c:pt idx="4">
                  <c:v>168.33500000000001</c:v>
                </c:pt>
                <c:pt idx="5">
                  <c:v>148.75</c:v>
                </c:pt>
                <c:pt idx="6">
                  <c:v>136.26008064516125</c:v>
                </c:pt>
                <c:pt idx="7" formatCode="#,##0_);\(#,##0\);_(&quot;-&quot;??_)">
                  <c:v>599.32508064516128</c:v>
                </c:pt>
                <c:pt idx="8">
                  <c:v>595</c:v>
                </c:pt>
                <c:pt idx="9">
                  <c:v>595</c:v>
                </c:pt>
                <c:pt idx="10">
                  <c:v>595</c:v>
                </c:pt>
                <c:pt idx="11">
                  <c:v>595</c:v>
                </c:pt>
                <c:pt idx="12">
                  <c:v>595</c:v>
                </c:pt>
                <c:pt idx="13">
                  <c:v>595</c:v>
                </c:pt>
                <c:pt idx="14">
                  <c:v>595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D4-4070-8C73-88FD49477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7456624"/>
        <c:axId val="1097458704"/>
      </c:barChart>
      <c:catAx>
        <c:axId val="109745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458704"/>
        <c:crosses val="autoZero"/>
        <c:auto val="1"/>
        <c:lblAlgn val="ctr"/>
        <c:lblOffset val="100"/>
        <c:noMultiLvlLbl val="0"/>
      </c:catAx>
      <c:valAx>
        <c:axId val="1097458704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Zinc Production (Including Antimina By-Product) k mt</a:t>
                </a:r>
              </a:p>
            </c:rich>
          </c:tx>
          <c:layout>
            <c:manualLayout>
              <c:xMode val="edge"/>
              <c:yMode val="edge"/>
              <c:x val="5.7692298956344796E-3"/>
              <c:y val="0.113177615680620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456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Revenue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Model!$G$11:$AL$11</c15:sqref>
                  </c15:fullRef>
                </c:ext>
              </c:extLst>
              <c:f>(Model!$G$11:$H$11,Model!$K$11:$AL$11)</c:f>
              <c:strCache>
                <c:ptCount val="16"/>
                <c:pt idx="0">
                  <c:v>FY 17</c:v>
                </c:pt>
                <c:pt idx="1">
                  <c:v>FY 18</c:v>
                </c:pt>
                <c:pt idx="2">
                  <c:v>FY 19 </c:v>
                </c:pt>
                <c:pt idx="3">
                  <c:v>FY 20</c:v>
                </c:pt>
                <c:pt idx="4">
                  <c:v>1Q21</c:v>
                </c:pt>
                <c:pt idx="5">
                  <c:v>2Q21</c:v>
                </c:pt>
                <c:pt idx="6">
                  <c:v>3Q21 </c:v>
                </c:pt>
                <c:pt idx="7">
                  <c:v>4Q21</c:v>
                </c:pt>
                <c:pt idx="8">
                  <c:v>FY 21</c:v>
                </c:pt>
                <c:pt idx="9">
                  <c:v>FY 22 (F)</c:v>
                </c:pt>
                <c:pt idx="10">
                  <c:v>FY 23 (F)</c:v>
                </c:pt>
                <c:pt idx="11">
                  <c:v>FY 24 (F)</c:v>
                </c:pt>
                <c:pt idx="12">
                  <c:v>FY 25 (F)</c:v>
                </c:pt>
                <c:pt idx="13">
                  <c:v>FY 26 (F)</c:v>
                </c:pt>
                <c:pt idx="14">
                  <c:v>FY 27 (F)</c:v>
                </c:pt>
                <c:pt idx="15">
                  <c:v>FY 28 (F)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Model!$G$965:$AL$965</c15:sqref>
                  </c15:fullRef>
                </c:ext>
              </c:extLst>
              <c:f>(Model!$G$965:$H$965,Model!$K$965:$AL$965)</c:f>
              <c:numCache>
                <c:formatCode>#,##0_);\(#,##0\);_("-"??_)</c:formatCode>
                <c:ptCount val="16"/>
                <c:pt idx="0">
                  <c:v>3496</c:v>
                </c:pt>
                <c:pt idx="1">
                  <c:v>3094</c:v>
                </c:pt>
                <c:pt idx="2" formatCode="General">
                  <c:v>2968</c:v>
                </c:pt>
                <c:pt idx="3" formatCode="General">
                  <c:v>2700</c:v>
                </c:pt>
                <c:pt idx="4">
                  <c:v>570</c:v>
                </c:pt>
                <c:pt idx="5">
                  <c:v>461</c:v>
                </c:pt>
                <c:pt idx="6">
                  <c:v>836.49865866140601</c:v>
                </c:pt>
                <c:pt idx="7">
                  <c:v>951.88036129660759</c:v>
                </c:pt>
                <c:pt idx="8">
                  <c:v>2802.0727830794904</c:v>
                </c:pt>
                <c:pt idx="9">
                  <c:v>3041.5798560986223</c:v>
                </c:pt>
                <c:pt idx="10">
                  <c:v>3159.0721703088116</c:v>
                </c:pt>
                <c:pt idx="11">
                  <c:v>3124.3054894603702</c:v>
                </c:pt>
                <c:pt idx="12">
                  <c:v>2988.6985829267946</c:v>
                </c:pt>
                <c:pt idx="13">
                  <c:v>2683.220940923165</c:v>
                </c:pt>
                <c:pt idx="14">
                  <c:v>2683.220940923165</c:v>
                </c:pt>
                <c:pt idx="15">
                  <c:v>2683.220940923165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04C-471D-8F48-8A87784710B5}"/>
            </c:ext>
          </c:extLst>
        </c:ser>
        <c:ser>
          <c:idx val="1"/>
          <c:order val="1"/>
          <c:tx>
            <c:strRef>
              <c:f>Model!$D$526:$F$526</c:f>
              <c:strCache>
                <c:ptCount val="3"/>
                <c:pt idx="0">
                  <c:v>Ebitda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Model!$G$11:$AL$11</c15:sqref>
                  </c15:fullRef>
                </c:ext>
              </c:extLst>
              <c:f>(Model!$G$11:$H$11,Model!$K$11:$AL$11)</c:f>
              <c:strCache>
                <c:ptCount val="16"/>
                <c:pt idx="0">
                  <c:v>FY 17</c:v>
                </c:pt>
                <c:pt idx="1">
                  <c:v>FY 18</c:v>
                </c:pt>
                <c:pt idx="2">
                  <c:v>FY 19 </c:v>
                </c:pt>
                <c:pt idx="3">
                  <c:v>FY 20</c:v>
                </c:pt>
                <c:pt idx="4">
                  <c:v>1Q21</c:v>
                </c:pt>
                <c:pt idx="5">
                  <c:v>2Q21</c:v>
                </c:pt>
                <c:pt idx="6">
                  <c:v>3Q21 </c:v>
                </c:pt>
                <c:pt idx="7">
                  <c:v>4Q21</c:v>
                </c:pt>
                <c:pt idx="8">
                  <c:v>FY 21</c:v>
                </c:pt>
                <c:pt idx="9">
                  <c:v>FY 22 (F)</c:v>
                </c:pt>
                <c:pt idx="10">
                  <c:v>FY 23 (F)</c:v>
                </c:pt>
                <c:pt idx="11">
                  <c:v>FY 24 (F)</c:v>
                </c:pt>
                <c:pt idx="12">
                  <c:v>FY 25 (F)</c:v>
                </c:pt>
                <c:pt idx="13">
                  <c:v>FY 26 (F)</c:v>
                </c:pt>
                <c:pt idx="14">
                  <c:v>FY 27 (F)</c:v>
                </c:pt>
                <c:pt idx="15">
                  <c:v>FY 28 (F)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Model!$G$986:$AL$986</c15:sqref>
                  </c15:fullRef>
                </c:ext>
              </c:extLst>
              <c:f>(Model!$G$986:$H$986,Model!$K$986:$AL$986)</c:f>
              <c:numCache>
                <c:formatCode>#,##0_);\(#,##0\);_("-"??_)</c:formatCode>
                <c:ptCount val="16"/>
                <c:pt idx="0">
                  <c:v>1145</c:v>
                </c:pt>
                <c:pt idx="1">
                  <c:v>1905</c:v>
                </c:pt>
                <c:pt idx="2">
                  <c:v>768</c:v>
                </c:pt>
                <c:pt idx="3">
                  <c:v>740</c:v>
                </c:pt>
                <c:pt idx="4">
                  <c:v>80.166632957019146</c:v>
                </c:pt>
                <c:pt idx="5">
                  <c:v>70.31362774335301</c:v>
                </c:pt>
                <c:pt idx="6">
                  <c:v>187.81946918574602</c:v>
                </c:pt>
                <c:pt idx="7">
                  <c:v>171.242553975009</c:v>
                </c:pt>
                <c:pt idx="8">
                  <c:v>509.54228386112754</c:v>
                </c:pt>
                <c:pt idx="9">
                  <c:v>509.5422838611272</c:v>
                </c:pt>
                <c:pt idx="10">
                  <c:v>509.5422838611272</c:v>
                </c:pt>
                <c:pt idx="11">
                  <c:v>527.13693602838816</c:v>
                </c:pt>
                <c:pt idx="12">
                  <c:v>527.13693602838816</c:v>
                </c:pt>
                <c:pt idx="13">
                  <c:v>527.13693602838816</c:v>
                </c:pt>
                <c:pt idx="14">
                  <c:v>527.13693602838816</c:v>
                </c:pt>
                <c:pt idx="15">
                  <c:v>527.13693602838816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204C-471D-8F48-8A8778471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1079088"/>
        <c:axId val="1291076592"/>
      </c:lineChart>
      <c:catAx>
        <c:axId val="129107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076592"/>
        <c:crosses val="autoZero"/>
        <c:auto val="1"/>
        <c:lblAlgn val="ctr"/>
        <c:lblOffset val="100"/>
        <c:noMultiLvlLbl val="0"/>
      </c:catAx>
      <c:valAx>
        <c:axId val="12910765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chemeClr val="bg1"/>
                    </a:solidFill>
                  </a:rPr>
                  <a:t>C$ Millions</a:t>
                </a:r>
              </a:p>
            </c:rich>
          </c:tx>
          <c:layout>
            <c:manualLayout>
              <c:xMode val="edge"/>
              <c:yMode val="edge"/>
              <c:x val="1.211669656245676E-2"/>
              <c:y val="0.404074499819755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\(#,##0\);_(&quot;-&quot;??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07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4721289358881946"/>
          <c:y val="0.91793652167844608"/>
          <c:w val="0.29026819833924516"/>
          <c:h val="5.957972614413262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Revenue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Model!$G$11:$AL$11</c15:sqref>
                  </c15:fullRef>
                </c:ext>
              </c:extLst>
              <c:f>(Model!$G$11:$H$11,Model!$L$11:$AL$11)</c:f>
              <c:strCache>
                <c:ptCount val="15"/>
                <c:pt idx="0">
                  <c:v>FY 18</c:v>
                </c:pt>
                <c:pt idx="1">
                  <c:v>FY 19 </c:v>
                </c:pt>
                <c:pt idx="2">
                  <c:v>FY 20</c:v>
                </c:pt>
                <c:pt idx="3">
                  <c:v>1Q21</c:v>
                </c:pt>
                <c:pt idx="4">
                  <c:v>2Q21</c:v>
                </c:pt>
                <c:pt idx="5">
                  <c:v>3Q21 </c:v>
                </c:pt>
                <c:pt idx="6">
                  <c:v>4Q21</c:v>
                </c:pt>
                <c:pt idx="7">
                  <c:v>FY 21</c:v>
                </c:pt>
                <c:pt idx="8">
                  <c:v>FY 22 (F)</c:v>
                </c:pt>
                <c:pt idx="9">
                  <c:v>FY 23 (F)</c:v>
                </c:pt>
                <c:pt idx="10">
                  <c:v>FY 24 (F)</c:v>
                </c:pt>
                <c:pt idx="11">
                  <c:v>FY 25 (F)</c:v>
                </c:pt>
                <c:pt idx="12">
                  <c:v>FY 26 (F)</c:v>
                </c:pt>
                <c:pt idx="13">
                  <c:v>FY 27 (F)</c:v>
                </c:pt>
                <c:pt idx="14">
                  <c:v>FY 28 (F)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Model!$G$1101:$AL$1101</c15:sqref>
                  </c15:fullRef>
                </c:ext>
              </c:extLst>
              <c:f>(Model!$G$1101:$H$1101,Model!$L$1101:$AL$1101)</c:f>
              <c:numCache>
                <c:formatCode>#,##0_);\(#,##0\);_("-"??_)</c:formatCode>
                <c:ptCount val="15"/>
                <c:pt idx="0">
                  <c:v>407</c:v>
                </c:pt>
                <c:pt idx="1">
                  <c:v>975</c:v>
                </c:pt>
                <c:pt idx="2" formatCode="0">
                  <c:v>454</c:v>
                </c:pt>
                <c:pt idx="3">
                  <c:v>256.39048003278685</c:v>
                </c:pt>
                <c:pt idx="4">
                  <c:v>237.0259811144247</c:v>
                </c:pt>
                <c:pt idx="5">
                  <c:v>237.89283823529411</c:v>
                </c:pt>
                <c:pt idx="6">
                  <c:v>237.89283823529411</c:v>
                </c:pt>
                <c:pt idx="7" formatCode="0">
                  <c:v>969.20213761779974</c:v>
                </c:pt>
                <c:pt idx="8">
                  <c:v>1026.1887990122584</c:v>
                </c:pt>
                <c:pt idx="9">
                  <c:v>1243.7550687009436</c:v>
                </c:pt>
                <c:pt idx="10">
                  <c:v>1328.9595304700592</c:v>
                </c:pt>
                <c:pt idx="11">
                  <c:v>1328.9595304700592</c:v>
                </c:pt>
                <c:pt idx="12">
                  <c:v>1328.9595304700592</c:v>
                </c:pt>
                <c:pt idx="13">
                  <c:v>1328.9595304700592</c:v>
                </c:pt>
                <c:pt idx="14">
                  <c:v>1328.9595304700592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0998-4DBA-B2A5-E48DF2C45CB1}"/>
            </c:ext>
          </c:extLst>
        </c:ser>
        <c:ser>
          <c:idx val="1"/>
          <c:order val="1"/>
          <c:tx>
            <c:v>Adjusted Ebitda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Model!$G$11:$AL$11</c15:sqref>
                  </c15:fullRef>
                </c:ext>
              </c:extLst>
              <c:f>(Model!$G$11:$H$11,Model!$L$11:$AL$11)</c:f>
              <c:strCache>
                <c:ptCount val="15"/>
                <c:pt idx="0">
                  <c:v>FY 18</c:v>
                </c:pt>
                <c:pt idx="1">
                  <c:v>FY 19 </c:v>
                </c:pt>
                <c:pt idx="2">
                  <c:v>FY 20</c:v>
                </c:pt>
                <c:pt idx="3">
                  <c:v>1Q21</c:v>
                </c:pt>
                <c:pt idx="4">
                  <c:v>2Q21</c:v>
                </c:pt>
                <c:pt idx="5">
                  <c:v>3Q21 </c:v>
                </c:pt>
                <c:pt idx="6">
                  <c:v>4Q21</c:v>
                </c:pt>
                <c:pt idx="7">
                  <c:v>FY 21</c:v>
                </c:pt>
                <c:pt idx="8">
                  <c:v>FY 22 (F)</c:v>
                </c:pt>
                <c:pt idx="9">
                  <c:v>FY 23 (F)</c:v>
                </c:pt>
                <c:pt idx="10">
                  <c:v>FY 24 (F)</c:v>
                </c:pt>
                <c:pt idx="11">
                  <c:v>FY 25 (F)</c:v>
                </c:pt>
                <c:pt idx="12">
                  <c:v>FY 26 (F)</c:v>
                </c:pt>
                <c:pt idx="13">
                  <c:v>FY 27 (F)</c:v>
                </c:pt>
                <c:pt idx="14">
                  <c:v>FY 28 (F)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Model!$G$1120:$AL$1120</c15:sqref>
                  </c15:fullRef>
                </c:ext>
              </c:extLst>
              <c:f>(Model!$G$1120:$H$1120,Model!$L$1120:$AL$1120)</c:f>
              <c:numCache>
                <c:formatCode>#,##0_);\(#,##0\);_("-"??_)</c:formatCode>
                <c:ptCount val="15"/>
                <c:pt idx="0">
                  <c:v>-105</c:v>
                </c:pt>
                <c:pt idx="1">
                  <c:v>118</c:v>
                </c:pt>
                <c:pt idx="2">
                  <c:v>-251</c:v>
                </c:pt>
                <c:pt idx="3">
                  <c:v>120.32553440444994</c:v>
                </c:pt>
                <c:pt idx="4">
                  <c:v>120.32553440444994</c:v>
                </c:pt>
                <c:pt idx="5">
                  <c:v>120.32553440444994</c:v>
                </c:pt>
                <c:pt idx="6">
                  <c:v>120.32553440444994</c:v>
                </c:pt>
                <c:pt idx="7">
                  <c:v>481.30213761779976</c:v>
                </c:pt>
                <c:pt idx="8">
                  <c:v>114.21608560579909</c:v>
                </c:pt>
                <c:pt idx="9">
                  <c:v>137.91876654009894</c:v>
                </c:pt>
                <c:pt idx="10">
                  <c:v>137.91876654009894</c:v>
                </c:pt>
                <c:pt idx="11">
                  <c:v>137.91876654009894</c:v>
                </c:pt>
                <c:pt idx="12">
                  <c:v>137.91876654009894</c:v>
                </c:pt>
                <c:pt idx="13">
                  <c:v>137.91876654009894</c:v>
                </c:pt>
                <c:pt idx="14">
                  <c:v>137.91876654009894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0998-4DBA-B2A5-E48DF2C45C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5827168"/>
        <c:axId val="615828832"/>
      </c:lineChart>
      <c:catAx>
        <c:axId val="61582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828832"/>
        <c:crosses val="autoZero"/>
        <c:auto val="1"/>
        <c:lblAlgn val="ctr"/>
        <c:lblOffset val="100"/>
        <c:noMultiLvlLbl val="0"/>
      </c:catAx>
      <c:valAx>
        <c:axId val="6158288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C$ Millions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\(#,##0\);_(&quot;-&quot;??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82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Model!$D$1085</c:f>
              <c:strCache>
                <c:ptCount val="1"/>
                <c:pt idx="0">
                  <c:v>Bitumen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Model!$E$11:$AL$11</c15:sqref>
                  </c15:fullRef>
                </c:ext>
              </c:extLst>
              <c:f>(Model!$G$11:$H$11,Model!$L$11:$AL$11)</c:f>
              <c:strCache>
                <c:ptCount val="15"/>
                <c:pt idx="0">
                  <c:v>FY 18</c:v>
                </c:pt>
                <c:pt idx="1">
                  <c:v>FY 19 </c:v>
                </c:pt>
                <c:pt idx="2">
                  <c:v>FY 20</c:v>
                </c:pt>
                <c:pt idx="3">
                  <c:v>1Q21</c:v>
                </c:pt>
                <c:pt idx="4">
                  <c:v>2Q21</c:v>
                </c:pt>
                <c:pt idx="5">
                  <c:v>3Q21 </c:v>
                </c:pt>
                <c:pt idx="6">
                  <c:v>4Q21</c:v>
                </c:pt>
                <c:pt idx="7">
                  <c:v>FY 21</c:v>
                </c:pt>
                <c:pt idx="8">
                  <c:v>FY 22 (F)</c:v>
                </c:pt>
                <c:pt idx="9">
                  <c:v>FY 23 (F)</c:v>
                </c:pt>
                <c:pt idx="10">
                  <c:v>FY 24 (F)</c:v>
                </c:pt>
                <c:pt idx="11">
                  <c:v>FY 25 (F)</c:v>
                </c:pt>
                <c:pt idx="12">
                  <c:v>FY 26 (F)</c:v>
                </c:pt>
                <c:pt idx="13">
                  <c:v>FY 27 (F)</c:v>
                </c:pt>
                <c:pt idx="14">
                  <c:v>FY 28 (F)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Model!$E$1085:$AL$1085</c15:sqref>
                  </c15:fullRef>
                </c:ext>
              </c:extLst>
              <c:f>(Model!$G$1085:$H$1085,Model!$L$1085:$AL$1085)</c:f>
              <c:numCache>
                <c:formatCode>General</c:formatCode>
                <c:ptCount val="15"/>
                <c:pt idx="0" formatCode="#,##0.0_);\(#,##0.0\);_(&quot;-&quot;??_)">
                  <c:v>6.8</c:v>
                </c:pt>
                <c:pt idx="1" formatCode="#,##0.0_);\(#,##0.0\);_(&quot;-&quot;??_)">
                  <c:v>12.3</c:v>
                </c:pt>
                <c:pt idx="2" formatCode="#,##0.0_);\(#,##0.0\);_(&quot;-&quot;??_)">
                  <c:v>8.4</c:v>
                </c:pt>
                <c:pt idx="3" formatCode="#,##0.0_);\(#,##0.0\);_(&quot;-&quot;??_)">
                  <c:v>2.625</c:v>
                </c:pt>
                <c:pt idx="4" formatCode="#,##0.0_);\(#,##0.0\);_(&quot;-&quot;??_)">
                  <c:v>2.625</c:v>
                </c:pt>
                <c:pt idx="5" formatCode="#,##0.0_);\(#,##0.0\);_(&quot;-&quot;??_)">
                  <c:v>2.625</c:v>
                </c:pt>
                <c:pt idx="6" formatCode="#,##0.0_);\(#,##0.0\);_(&quot;-&quot;??_)">
                  <c:v>2.625</c:v>
                </c:pt>
                <c:pt idx="7" formatCode="#,##0_);\(#,##0\);_(&quot;-&quot;??_)">
                  <c:v>10.5</c:v>
                </c:pt>
                <c:pt idx="8" formatCode="#,##0_);\(#,##0\);_(&quot;-&quot;??_)">
                  <c:v>12</c:v>
                </c:pt>
                <c:pt idx="9" formatCode="#,##0_);\(#,##0\);_(&quot;-&quot;??_)">
                  <c:v>14</c:v>
                </c:pt>
                <c:pt idx="10" formatCode="#,##0_);\(#,##0\);_(&quot;-&quot;??_)">
                  <c:v>14</c:v>
                </c:pt>
                <c:pt idx="11" formatCode="#,##0_);\(#,##0\);_(&quot;-&quot;??_)">
                  <c:v>14</c:v>
                </c:pt>
                <c:pt idx="12" formatCode="#,##0_);\(#,##0\);_(&quot;-&quot;??_)">
                  <c:v>14</c:v>
                </c:pt>
                <c:pt idx="13" formatCode="#,##0_);\(#,##0\);_(&quot;-&quot;??_)">
                  <c:v>14</c:v>
                </c:pt>
                <c:pt idx="14" formatCode="#,##0_);\(#,##0\);_(&quot;-&quot;??_)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CC-4259-B231-2BA389B3C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8530992"/>
        <c:axId val="1278521424"/>
      </c:barChart>
      <c:catAx>
        <c:axId val="127853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521424"/>
        <c:crosses val="autoZero"/>
        <c:auto val="1"/>
        <c:lblAlgn val="ctr"/>
        <c:lblOffset val="100"/>
        <c:noMultiLvlLbl val="0"/>
      </c:catAx>
      <c:valAx>
        <c:axId val="12785214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 Barrels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530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Model!$D$1314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Model!$E$11:$AL$11</c15:sqref>
                  </c15:fullRef>
                </c:ext>
              </c:extLst>
              <c:f>(Model!$G$11:$H$11,Model!$L$11:$AL$11)</c:f>
              <c:strCache>
                <c:ptCount val="15"/>
                <c:pt idx="0">
                  <c:v>FY 18</c:v>
                </c:pt>
                <c:pt idx="1">
                  <c:v>FY 19 </c:v>
                </c:pt>
                <c:pt idx="2">
                  <c:v>FY 20</c:v>
                </c:pt>
                <c:pt idx="3">
                  <c:v>1Q21</c:v>
                </c:pt>
                <c:pt idx="4">
                  <c:v>2Q21</c:v>
                </c:pt>
                <c:pt idx="5">
                  <c:v>3Q21 </c:v>
                </c:pt>
                <c:pt idx="6">
                  <c:v>4Q21</c:v>
                </c:pt>
                <c:pt idx="7">
                  <c:v>FY 21</c:v>
                </c:pt>
                <c:pt idx="8">
                  <c:v>FY 22 (F)</c:v>
                </c:pt>
                <c:pt idx="9">
                  <c:v>FY 23 (F)</c:v>
                </c:pt>
                <c:pt idx="10">
                  <c:v>FY 24 (F)</c:v>
                </c:pt>
                <c:pt idx="11">
                  <c:v>FY 25 (F)</c:v>
                </c:pt>
                <c:pt idx="12">
                  <c:v>FY 26 (F)</c:v>
                </c:pt>
                <c:pt idx="13">
                  <c:v>FY 27 (F)</c:v>
                </c:pt>
                <c:pt idx="14">
                  <c:v>FY 28 (F)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Model!$E$1314:$AL$1314</c15:sqref>
                  </c15:fullRef>
                </c:ext>
              </c:extLst>
              <c:f>(Model!$G$1314:$H$1314,Model!$L$1314:$AL$1314)</c:f>
              <c:numCache>
                <c:formatCode>General</c:formatCode>
                <c:ptCount val="15"/>
                <c:pt idx="0" formatCode="#,##0_);\(#,##0\);_(&quot;-&quot;??_)">
                  <c:v>3691</c:v>
                </c:pt>
                <c:pt idx="1" formatCode="#,##0_);\(#,##0\);_(&quot;-&quot;??_)">
                  <c:v>2768</c:v>
                </c:pt>
                <c:pt idx="2" formatCode="#,##0_);\(#,##0\);_(&quot;-&quot;??_)">
                  <c:v>816</c:v>
                </c:pt>
                <c:pt idx="3" formatCode="#,##0_);\(#,##0\);_(&quot;-&quot;??_)">
                  <c:v>363.75</c:v>
                </c:pt>
                <c:pt idx="4" formatCode="#,##0_);\(#,##0\);_(&quot;-&quot;??_)">
                  <c:v>408.75</c:v>
                </c:pt>
                <c:pt idx="5" formatCode="#,##0_);\(#,##0\);_(&quot;-&quot;??_)">
                  <c:v>319.53532700000005</c:v>
                </c:pt>
                <c:pt idx="6" formatCode="#,##0_);\(#,##0\);_(&quot;-&quot;??_)">
                  <c:v>357.03500739999993</c:v>
                </c:pt>
                <c:pt idx="7" formatCode="#,##0_);\(#,##0\);_(&quot;-&quot;??_)">
                  <c:v>1449.0703343999999</c:v>
                </c:pt>
                <c:pt idx="8" formatCode="#,##0_);\(#,##0\);_(&quot;-&quot;??_)">
                  <c:v>1236.4364999999998</c:v>
                </c:pt>
                <c:pt idx="9" formatCode="#,##0_);\(#,##0\);_(&quot;-&quot;??_)">
                  <c:v>1092.5680000000002</c:v>
                </c:pt>
                <c:pt idx="10" formatCode="#,##0_);\(#,##0\);_(&quot;-&quot;??_)">
                  <c:v>1125.5870000000004</c:v>
                </c:pt>
                <c:pt idx="11" formatCode="#,##0_);\(#,##0\);_(&quot;-&quot;??_)">
                  <c:v>1125.5870000000004</c:v>
                </c:pt>
                <c:pt idx="12" formatCode="#,##0_);\(#,##0\);_(&quot;-&quot;??_)">
                  <c:v>1125.5870000000004</c:v>
                </c:pt>
                <c:pt idx="13" formatCode="#,##0_);\(#,##0\);_(&quot;-&quot;??_)">
                  <c:v>1125.5870000000004</c:v>
                </c:pt>
                <c:pt idx="14" formatCode="#,##0_);\(#,##0\);_(&quot;-&quot;??_)">
                  <c:v>1125.5870000000004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55-40D0-ABFD-D0CF9A769DD5}"/>
            </c:ext>
          </c:extLst>
        </c:ser>
        <c:ser>
          <c:idx val="1"/>
          <c:order val="1"/>
          <c:tx>
            <c:strRef>
              <c:f>Model!$D$1315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Model!$E$11:$AL$11</c15:sqref>
                  </c15:fullRef>
                </c:ext>
              </c:extLst>
              <c:f>(Model!$G$11:$H$11,Model!$L$11:$AL$11)</c:f>
              <c:strCache>
                <c:ptCount val="15"/>
                <c:pt idx="0">
                  <c:v>FY 18</c:v>
                </c:pt>
                <c:pt idx="1">
                  <c:v>FY 19 </c:v>
                </c:pt>
                <c:pt idx="2">
                  <c:v>FY 20</c:v>
                </c:pt>
                <c:pt idx="3">
                  <c:v>1Q21</c:v>
                </c:pt>
                <c:pt idx="4">
                  <c:v>2Q21</c:v>
                </c:pt>
                <c:pt idx="5">
                  <c:v>3Q21 </c:v>
                </c:pt>
                <c:pt idx="6">
                  <c:v>4Q21</c:v>
                </c:pt>
                <c:pt idx="7">
                  <c:v>FY 21</c:v>
                </c:pt>
                <c:pt idx="8">
                  <c:v>FY 22 (F)</c:v>
                </c:pt>
                <c:pt idx="9">
                  <c:v>FY 23 (F)</c:v>
                </c:pt>
                <c:pt idx="10">
                  <c:v>FY 24 (F)</c:v>
                </c:pt>
                <c:pt idx="11">
                  <c:v>FY 25 (F)</c:v>
                </c:pt>
                <c:pt idx="12">
                  <c:v>FY 26 (F)</c:v>
                </c:pt>
                <c:pt idx="13">
                  <c:v>FY 27 (F)</c:v>
                </c:pt>
                <c:pt idx="14">
                  <c:v>FY 28 (F)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Model!$E$1315:$AL$1315</c15:sqref>
                  </c15:fullRef>
                </c:ext>
              </c:extLst>
              <c:f>(Model!$G$1315:$H$1315,Model!$L$1315:$AL$1315)</c:f>
              <c:numCache>
                <c:formatCode>General</c:formatCode>
                <c:ptCount val="15"/>
                <c:pt idx="0" formatCode="#,##0_);\(#,##0\);_(&quot;-&quot;??_)">
                  <c:v>1108</c:v>
                </c:pt>
                <c:pt idx="1" formatCode="#,##0_);\(#,##0\);_(&quot;-&quot;??_)">
                  <c:v>897</c:v>
                </c:pt>
                <c:pt idx="2" formatCode="#,##0_);\(#,##0\);_(&quot;-&quot;??_)">
                  <c:v>919</c:v>
                </c:pt>
                <c:pt idx="3" formatCode="#,##0_);\(#,##0\);_(&quot;-&quot;??_)">
                  <c:v>478</c:v>
                </c:pt>
                <c:pt idx="4" formatCode="#,##0_);\(#,##0\);_(&quot;-&quot;??_)">
                  <c:v>559</c:v>
                </c:pt>
                <c:pt idx="5" formatCode="#,##0_);\(#,##0\);_(&quot;-&quot;??_)">
                  <c:v>348.99681488442332</c:v>
                </c:pt>
                <c:pt idx="6" formatCode="#,##0_);\(#,##0\);_(&quot;-&quot;??_)">
                  <c:v>320.07321887679348</c:v>
                </c:pt>
                <c:pt idx="7" formatCode="#,##0_);\(#,##0\);_(&quot;-&quot;??_)">
                  <c:v>1706.0700337612168</c:v>
                </c:pt>
                <c:pt idx="8" formatCode="#,##0_);\(#,##0\);_(&quot;-&quot;??_)">
                  <c:v>2064.7996795530653</c:v>
                </c:pt>
                <c:pt idx="9" formatCode="#,##0_);\(#,##0\);_(&quot;-&quot;??_)">
                  <c:v>2750.1788459726931</c:v>
                </c:pt>
                <c:pt idx="10" formatCode="#,##0_);\(#,##0\);_(&quot;-&quot;??_)">
                  <c:v>3307.0433314646939</c:v>
                </c:pt>
                <c:pt idx="11" formatCode="#,##0_);\(#,##0\);_(&quot;-&quot;??_)">
                  <c:v>2856.9485929010179</c:v>
                </c:pt>
                <c:pt idx="12" formatCode="#,##0_);\(#,##0\);_(&quot;-&quot;??_)">
                  <c:v>2920.5709122008438</c:v>
                </c:pt>
                <c:pt idx="13" formatCode="#,##0_);\(#,##0\);_(&quot;-&quot;??_)">
                  <c:v>2787.5709122008438</c:v>
                </c:pt>
                <c:pt idx="14" formatCode="#,##0_);\(#,##0\);_(&quot;-&quot;??_)">
                  <c:v>2787.5709122008438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55-40D0-ABFD-D0CF9A769DD5}"/>
            </c:ext>
          </c:extLst>
        </c:ser>
        <c:ser>
          <c:idx val="2"/>
          <c:order val="2"/>
          <c:tx>
            <c:strRef>
              <c:f>Model!$D$1316</c:f>
              <c:strCache>
                <c:ptCount val="1"/>
                <c:pt idx="0">
                  <c:v>Zinc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Model!$E$11:$AL$11</c15:sqref>
                  </c15:fullRef>
                </c:ext>
              </c:extLst>
              <c:f>(Model!$G$11:$H$11,Model!$L$11:$AL$11)</c:f>
              <c:strCache>
                <c:ptCount val="15"/>
                <c:pt idx="0">
                  <c:v>FY 18</c:v>
                </c:pt>
                <c:pt idx="1">
                  <c:v>FY 19 </c:v>
                </c:pt>
                <c:pt idx="2">
                  <c:v>FY 20</c:v>
                </c:pt>
                <c:pt idx="3">
                  <c:v>1Q21</c:v>
                </c:pt>
                <c:pt idx="4">
                  <c:v>2Q21</c:v>
                </c:pt>
                <c:pt idx="5">
                  <c:v>3Q21 </c:v>
                </c:pt>
                <c:pt idx="6">
                  <c:v>4Q21</c:v>
                </c:pt>
                <c:pt idx="7">
                  <c:v>FY 21</c:v>
                </c:pt>
                <c:pt idx="8">
                  <c:v>FY 22 (F)</c:v>
                </c:pt>
                <c:pt idx="9">
                  <c:v>FY 23 (F)</c:v>
                </c:pt>
                <c:pt idx="10">
                  <c:v>FY 24 (F)</c:v>
                </c:pt>
                <c:pt idx="11">
                  <c:v>FY 25 (F)</c:v>
                </c:pt>
                <c:pt idx="12">
                  <c:v>FY 26 (F)</c:v>
                </c:pt>
                <c:pt idx="13">
                  <c:v>FY 27 (F)</c:v>
                </c:pt>
                <c:pt idx="14">
                  <c:v>FY 28 (F)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Model!$E$1316:$AL$1316</c15:sqref>
                  </c15:fullRef>
                </c:ext>
              </c:extLst>
              <c:f>(Model!$G$1316:$H$1316,Model!$L$1316:$AL$1316)</c:f>
              <c:numCache>
                <c:formatCode>General</c:formatCode>
                <c:ptCount val="15"/>
                <c:pt idx="0" formatCode="#,##0_);\(#,##0\);_(&quot;-&quot;??_)">
                  <c:v>1905</c:v>
                </c:pt>
                <c:pt idx="1" formatCode="#,##0_);\(#,##0\);_(&quot;-&quot;??_)">
                  <c:v>768</c:v>
                </c:pt>
                <c:pt idx="2" formatCode="#,##0_);\(#,##0\);_(&quot;-&quot;??_)">
                  <c:v>740</c:v>
                </c:pt>
                <c:pt idx="3" formatCode="#,##0_);\(#,##0\);_(&quot;-&quot;??_)">
                  <c:v>80.166632957019146</c:v>
                </c:pt>
                <c:pt idx="4" formatCode="#,##0_);\(#,##0\);_(&quot;-&quot;??_)">
                  <c:v>70.31362774335301</c:v>
                </c:pt>
                <c:pt idx="5" formatCode="#,##0_);\(#,##0\);_(&quot;-&quot;??_)">
                  <c:v>187.81946918574602</c:v>
                </c:pt>
                <c:pt idx="6" formatCode="#,##0_);\(#,##0\);_(&quot;-&quot;??_)">
                  <c:v>171.242553975009</c:v>
                </c:pt>
                <c:pt idx="7" formatCode="#,##0_);\(#,##0\);_(&quot;-&quot;??_)">
                  <c:v>509.54228386112754</c:v>
                </c:pt>
                <c:pt idx="8" formatCode="#,##0_);\(#,##0\);_(&quot;-&quot;??_)">
                  <c:v>509.5422838611272</c:v>
                </c:pt>
                <c:pt idx="9" formatCode="#,##0_);\(#,##0\);_(&quot;-&quot;??_)">
                  <c:v>509.5422838611272</c:v>
                </c:pt>
                <c:pt idx="10" formatCode="#,##0_);\(#,##0\);_(&quot;-&quot;??_)">
                  <c:v>527.13693602838816</c:v>
                </c:pt>
                <c:pt idx="11" formatCode="#,##0_);\(#,##0\);_(&quot;-&quot;??_)">
                  <c:v>527.13693602838816</c:v>
                </c:pt>
                <c:pt idx="12" formatCode="#,##0_);\(#,##0\);_(&quot;-&quot;??_)">
                  <c:v>527.13693602838816</c:v>
                </c:pt>
                <c:pt idx="13" formatCode="#,##0_);\(#,##0\);_(&quot;-&quot;??_)">
                  <c:v>527.13693602838816</c:v>
                </c:pt>
                <c:pt idx="14" formatCode="#,##0_);\(#,##0\);_(&quot;-&quot;??_)">
                  <c:v>527.13693602838816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55-40D0-ABFD-D0CF9A769DD5}"/>
            </c:ext>
          </c:extLst>
        </c:ser>
        <c:ser>
          <c:idx val="3"/>
          <c:order val="3"/>
          <c:tx>
            <c:strRef>
              <c:f>Model!$D$1317</c:f>
              <c:strCache>
                <c:ptCount val="1"/>
                <c:pt idx="0">
                  <c:v>Energy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Model!$E$11:$AL$11</c15:sqref>
                  </c15:fullRef>
                </c:ext>
              </c:extLst>
              <c:f>(Model!$G$11:$H$11,Model!$L$11:$AL$11)</c:f>
              <c:strCache>
                <c:ptCount val="15"/>
                <c:pt idx="0">
                  <c:v>FY 18</c:v>
                </c:pt>
                <c:pt idx="1">
                  <c:v>FY 19 </c:v>
                </c:pt>
                <c:pt idx="2">
                  <c:v>FY 20</c:v>
                </c:pt>
                <c:pt idx="3">
                  <c:v>1Q21</c:v>
                </c:pt>
                <c:pt idx="4">
                  <c:v>2Q21</c:v>
                </c:pt>
                <c:pt idx="5">
                  <c:v>3Q21 </c:v>
                </c:pt>
                <c:pt idx="6">
                  <c:v>4Q21</c:v>
                </c:pt>
                <c:pt idx="7">
                  <c:v>FY 21</c:v>
                </c:pt>
                <c:pt idx="8">
                  <c:v>FY 22 (F)</c:v>
                </c:pt>
                <c:pt idx="9">
                  <c:v>FY 23 (F)</c:v>
                </c:pt>
                <c:pt idx="10">
                  <c:v>FY 24 (F)</c:v>
                </c:pt>
                <c:pt idx="11">
                  <c:v>FY 25 (F)</c:v>
                </c:pt>
                <c:pt idx="12">
                  <c:v>FY 26 (F)</c:v>
                </c:pt>
                <c:pt idx="13">
                  <c:v>FY 27 (F)</c:v>
                </c:pt>
                <c:pt idx="14">
                  <c:v>FY 28 (F)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Model!$E$1317:$AL$1317</c15:sqref>
                  </c15:fullRef>
                </c:ext>
              </c:extLst>
              <c:f>(Model!$G$1317:$H$1317,Model!$L$1317:$AL$1317)</c:f>
              <c:numCache>
                <c:formatCode>General</c:formatCode>
                <c:ptCount val="15"/>
                <c:pt idx="0" formatCode="#,##0_);\(#,##0\);_(&quot;-&quot;??_)">
                  <c:v>-105</c:v>
                </c:pt>
                <c:pt idx="1" formatCode="#,##0_);\(#,##0\);_(&quot;-&quot;??_)">
                  <c:v>118</c:v>
                </c:pt>
                <c:pt idx="2" formatCode="#,##0_);\(#,##0\);_(&quot;-&quot;??_)">
                  <c:v>-251</c:v>
                </c:pt>
                <c:pt idx="3" formatCode="#,##0_);\(#,##0\);_(&quot;-&quot;??_)">
                  <c:v>120.32553440444994</c:v>
                </c:pt>
                <c:pt idx="4" formatCode="#,##0_);\(#,##0\);_(&quot;-&quot;??_)">
                  <c:v>120.32553440444994</c:v>
                </c:pt>
                <c:pt idx="5" formatCode="#,##0_);\(#,##0\);_(&quot;-&quot;??_)">
                  <c:v>120.32553440444994</c:v>
                </c:pt>
                <c:pt idx="6" formatCode="#,##0_);\(#,##0\);_(&quot;-&quot;??_)">
                  <c:v>120.32553440444994</c:v>
                </c:pt>
                <c:pt idx="7" formatCode="#,##0_);\(#,##0\);_(&quot;-&quot;??_)">
                  <c:v>481.30213761779976</c:v>
                </c:pt>
                <c:pt idx="8" formatCode="#,##0_);\(#,##0\);_(&quot;-&quot;??_)">
                  <c:v>114.21608560579909</c:v>
                </c:pt>
                <c:pt idx="9" formatCode="#,##0_);\(#,##0\);_(&quot;-&quot;??_)">
                  <c:v>137.91876654009894</c:v>
                </c:pt>
                <c:pt idx="10" formatCode="#,##0_);\(#,##0\);_(&quot;-&quot;??_)">
                  <c:v>137.91876654009894</c:v>
                </c:pt>
                <c:pt idx="11" formatCode="#,##0_);\(#,##0\);_(&quot;-&quot;??_)">
                  <c:v>137.91876654009894</c:v>
                </c:pt>
                <c:pt idx="12" formatCode="#,##0_);\(#,##0\);_(&quot;-&quot;??_)">
                  <c:v>137.91876654009894</c:v>
                </c:pt>
                <c:pt idx="13" formatCode="#,##0_);\(#,##0\);_(&quot;-&quot;??_)">
                  <c:v>137.91876654009894</c:v>
                </c:pt>
                <c:pt idx="14" formatCode="#,##0_);\(#,##0\);_(&quot;-&quot;??_)">
                  <c:v>137.91876654009894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55-40D0-ABFD-D0CF9A769DD5}"/>
            </c:ext>
          </c:extLst>
        </c:ser>
        <c:ser>
          <c:idx val="4"/>
          <c:order val="4"/>
          <c:tx>
            <c:strRef>
              <c:f>Model!$D$1318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Model!$E$11:$AL$11</c15:sqref>
                  </c15:fullRef>
                </c:ext>
              </c:extLst>
              <c:f>(Model!$G$11:$H$11,Model!$L$11:$AL$11)</c:f>
              <c:strCache>
                <c:ptCount val="15"/>
                <c:pt idx="0">
                  <c:v>FY 18</c:v>
                </c:pt>
                <c:pt idx="1">
                  <c:v>FY 19 </c:v>
                </c:pt>
                <c:pt idx="2">
                  <c:v>FY 20</c:v>
                </c:pt>
                <c:pt idx="3">
                  <c:v>1Q21</c:v>
                </c:pt>
                <c:pt idx="4">
                  <c:v>2Q21</c:v>
                </c:pt>
                <c:pt idx="5">
                  <c:v>3Q21 </c:v>
                </c:pt>
                <c:pt idx="6">
                  <c:v>4Q21</c:v>
                </c:pt>
                <c:pt idx="7">
                  <c:v>FY 21</c:v>
                </c:pt>
                <c:pt idx="8">
                  <c:v>FY 22 (F)</c:v>
                </c:pt>
                <c:pt idx="9">
                  <c:v>FY 23 (F)</c:v>
                </c:pt>
                <c:pt idx="10">
                  <c:v>FY 24 (F)</c:v>
                </c:pt>
                <c:pt idx="11">
                  <c:v>FY 25 (F)</c:v>
                </c:pt>
                <c:pt idx="12">
                  <c:v>FY 26 (F)</c:v>
                </c:pt>
                <c:pt idx="13">
                  <c:v>FY 27 (F)</c:v>
                </c:pt>
                <c:pt idx="14">
                  <c:v>FY 28 (F)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Model!$E$1318:$AL$1318</c15:sqref>
                  </c15:fullRef>
                </c:ext>
              </c:extLst>
              <c:f>(Model!$G$1318:$H$1318,Model!$L$1318:$AL$1318)</c:f>
              <c:numCache>
                <c:formatCode>General</c:formatCode>
                <c:ptCount val="15"/>
                <c:pt idx="0" formatCode="#,##0_);\(#,##0\);_(&quot;-&quot;??_)">
                  <c:v>-297</c:v>
                </c:pt>
                <c:pt idx="1" formatCode="#,##0_);\(#,##0\);_(&quot;-&quot;??_)">
                  <c:v>-392</c:v>
                </c:pt>
                <c:pt idx="2" formatCode="#,##0_);\(#,##0\);_(&quot;-&quot;??_)">
                  <c:v>-357</c:v>
                </c:pt>
                <c:pt idx="3" formatCode="#,##0_);\(#,##0\);_(&quot;-&quot;??_)">
                  <c:v>-89.25</c:v>
                </c:pt>
                <c:pt idx="4" formatCode="#,##0_);\(#,##0\);_(&quot;-&quot;??_)">
                  <c:v>-89.25</c:v>
                </c:pt>
                <c:pt idx="5" formatCode="#,##0_);\(#,##0\);_(&quot;-&quot;??_)">
                  <c:v>-89.25</c:v>
                </c:pt>
                <c:pt idx="6" formatCode="#,##0_);\(#,##0\);_(&quot;-&quot;??_)">
                  <c:v>-89.25</c:v>
                </c:pt>
                <c:pt idx="7" formatCode="#,##0_);\(#,##0\);_(&quot;-&quot;??_)">
                  <c:v>-357</c:v>
                </c:pt>
                <c:pt idx="8" formatCode="#,##0_);\(#,##0\);_(&quot;-&quot;??_)">
                  <c:v>-400</c:v>
                </c:pt>
                <c:pt idx="9" formatCode="#,##0_);\(#,##0\);_(&quot;-&quot;??_)">
                  <c:v>-399</c:v>
                </c:pt>
                <c:pt idx="10" formatCode="#,##0_);\(#,##0\);_(&quot;-&quot;??_)">
                  <c:v>-398</c:v>
                </c:pt>
                <c:pt idx="11" formatCode="#,##0_);\(#,##0\);_(&quot;-&quot;??_)">
                  <c:v>-397</c:v>
                </c:pt>
                <c:pt idx="12" formatCode="#,##0_);\(#,##0\);_(&quot;-&quot;??_)">
                  <c:v>-396</c:v>
                </c:pt>
                <c:pt idx="13" formatCode="#,##0_);\(#,##0\);_(&quot;-&quot;??_)">
                  <c:v>-395</c:v>
                </c:pt>
                <c:pt idx="14" formatCode="#,##0_);\(#,##0\);_(&quot;-&quot;??_)">
                  <c:v>-394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555-40D0-ABFD-D0CF9A769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7658448"/>
        <c:axId val="897658864"/>
        <c:extLst>
          <c:ext xmlns:c15="http://schemas.microsoft.com/office/drawing/2012/chart" uri="{02D57815-91ED-43cb-92C2-25804820EDAC}">
            <c15:filteredBa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Model!$D$1319</c15:sqref>
                        </c15:formulaRef>
                      </c:ext>
                    </c:extLst>
                    <c:strCache>
                      <c:ptCount val="1"/>
                      <c:pt idx="0">
                        <c:v>Consolidated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Model!$E$11:$AL$11</c15:sqref>
                        </c15:fullRef>
                        <c15:formulaRef>
                          <c15:sqref>(Model!$G$11:$H$11,Model!$L$11:$AL$11)</c15:sqref>
                        </c15:formulaRef>
                      </c:ext>
                    </c:extLst>
                    <c:strCache>
                      <c:ptCount val="15"/>
                      <c:pt idx="0">
                        <c:v>FY 18</c:v>
                      </c:pt>
                      <c:pt idx="1">
                        <c:v>FY 19 </c:v>
                      </c:pt>
                      <c:pt idx="2">
                        <c:v>FY 20</c:v>
                      </c:pt>
                      <c:pt idx="3">
                        <c:v>1Q21</c:v>
                      </c:pt>
                      <c:pt idx="4">
                        <c:v>2Q21</c:v>
                      </c:pt>
                      <c:pt idx="5">
                        <c:v>3Q21 </c:v>
                      </c:pt>
                      <c:pt idx="6">
                        <c:v>4Q21</c:v>
                      </c:pt>
                      <c:pt idx="7">
                        <c:v>FY 21</c:v>
                      </c:pt>
                      <c:pt idx="8">
                        <c:v>FY 22 (F)</c:v>
                      </c:pt>
                      <c:pt idx="9">
                        <c:v>FY 23 (F)</c:v>
                      </c:pt>
                      <c:pt idx="10">
                        <c:v>FY 24 (F)</c:v>
                      </c:pt>
                      <c:pt idx="11">
                        <c:v>FY 25 (F)</c:v>
                      </c:pt>
                      <c:pt idx="12">
                        <c:v>FY 26 (F)</c:v>
                      </c:pt>
                      <c:pt idx="13">
                        <c:v>FY 27 (F)</c:v>
                      </c:pt>
                      <c:pt idx="14">
                        <c:v>FY 28 (F)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Model!$E$1319:$AL$1319</c15:sqref>
                        </c15:fullRef>
                        <c15:formulaRef>
                          <c15:sqref>(Model!$G$1319:$H$1319,Model!$L$1319:$AL$1319)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 formatCode="#,##0_);\(#,##0\);_(&quot;-&quot;??_)">
                        <c:v>6302</c:v>
                      </c:pt>
                      <c:pt idx="1" formatCode="#,##0_);\(#,##0\);_(&quot;-&quot;??_)">
                        <c:v>4159</c:v>
                      </c:pt>
                      <c:pt idx="2" formatCode="#,##0_);\(#,##0\);_(&quot;-&quot;??_)">
                        <c:v>2328.79942648</c:v>
                      </c:pt>
                      <c:pt idx="3" formatCode="#,##0_);\(#,##0\);_(&quot;-&quot;??_)">
                        <c:v>0</c:v>
                      </c:pt>
                      <c:pt idx="4" formatCode="#,##0_);\(#,##0\);_(&quot;-&quot;??_)">
                        <c:v>0</c:v>
                      </c:pt>
                      <c:pt idx="5" formatCode="#,##0_);\(#,##0\);_(&quot;-&quot;??_)">
                        <c:v>0</c:v>
                      </c:pt>
                      <c:pt idx="6" formatCode="#,##0_);\(#,##0\);_(&quot;-&quot;??_)">
                        <c:v>0</c:v>
                      </c:pt>
                      <c:pt idx="7" formatCode="#,##0_);\(#,##0\);_(&quot;-&quot;??_)">
                        <c:v>0</c:v>
                      </c:pt>
                      <c:pt idx="8" formatCode="#,##0_);\(#,##0\);_(&quot;-&quot;??_)">
                        <c:v>0</c:v>
                      </c:pt>
                      <c:pt idx="9" formatCode="#,##0_);\(#,##0\);_(&quot;-&quot;??_)">
                        <c:v>0</c:v>
                      </c:pt>
                      <c:pt idx="10" formatCode="#,##0_);\(#,##0\);_(&quot;-&quot;??_)">
                        <c:v>0</c:v>
                      </c:pt>
                      <c:pt idx="11" formatCode="#,##0_);\(#,##0\);_(&quot;-&quot;??_)">
                        <c:v>0</c:v>
                      </c:pt>
                      <c:pt idx="12" formatCode="#,##0_);\(#,##0\);_(&quot;-&quot;??_)">
                        <c:v>0</c:v>
                      </c:pt>
                      <c:pt idx="13" formatCode="#,##0_);\(#,##0\);_(&quot;-&quot;??_)">
                        <c:v>0</c:v>
                      </c:pt>
                      <c:pt idx="14" formatCode="#,##0_);\(#,##0\);_(&quot;-&quot;??_)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5-E555-40D0-ABFD-D0CF9A769DD5}"/>
                  </c:ext>
                </c:extLst>
              </c15:ser>
            </c15:filteredBarSeries>
          </c:ext>
        </c:extLst>
      </c:barChart>
      <c:catAx>
        <c:axId val="89765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658864"/>
        <c:crosses val="autoZero"/>
        <c:auto val="1"/>
        <c:lblAlgn val="ctr"/>
        <c:lblOffset val="100"/>
        <c:noMultiLvlLbl val="0"/>
      </c:catAx>
      <c:valAx>
        <c:axId val="8976588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Ebitda</a:t>
                </a:r>
                <a:r>
                  <a:rPr lang="en-US" baseline="0"/>
                  <a:t> (C$ M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1.4838820350958813E-2"/>
              <c:y val="0.319517710984301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\(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65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tx1"/>
    </a:solidFill>
    <a:ln w="9525" cap="flat" cmpd="sng" algn="ctr">
      <a:noFill/>
      <a:round/>
    </a:ln>
    <a:effectLst/>
  </c:spPr>
  <c:txPr>
    <a:bodyPr/>
    <a:lstStyle/>
    <a:p>
      <a:pPr>
        <a:defRPr sz="13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96201826752847"/>
          <c:y val="7.9847908745247151E-2"/>
          <c:w val="0.85778788074473444"/>
          <c:h val="0.86847525355681665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'[4]Valuation &amp; Estimates'!$AL$80:$AS$80</c:f>
              <c:strCache>
                <c:ptCount val="8"/>
                <c:pt idx="0">
                  <c:v>Special Dividend*</c:v>
                </c:pt>
                <c:pt idx="1">
                  <c:v>Interim Dividend**</c:v>
                </c:pt>
                <c:pt idx="2">
                  <c:v>Earnings Revision</c:v>
                </c:pt>
                <c:pt idx="3">
                  <c:v>Multiple Expansion</c:v>
                </c:pt>
                <c:pt idx="4">
                  <c:v>TSR (%) - May '19</c:v>
                </c:pt>
                <c:pt idx="5">
                  <c:v>Interim Dividend***</c:v>
                </c:pt>
                <c:pt idx="6">
                  <c:v>ER/Multiple Expansion</c:v>
                </c:pt>
                <c:pt idx="7">
                  <c:v>TSR (%) Dec. '19</c:v>
                </c:pt>
              </c:strCache>
            </c:strRef>
          </c:cat>
          <c:val>
            <c:numRef>
              <c:f>'[4]Valuation &amp; Estimates'!$AL$81:$AS$81</c:f>
              <c:numCache>
                <c:formatCode>General</c:formatCode>
                <c:ptCount val="8"/>
                <c:pt idx="0">
                  <c:v>0</c:v>
                </c:pt>
                <c:pt idx="1">
                  <c:v>4.2742001139786698E-2</c:v>
                </c:pt>
                <c:pt idx="2">
                  <c:v>6.3371771774245925E-2</c:v>
                </c:pt>
                <c:pt idx="3">
                  <c:v>0.14494496915225019</c:v>
                </c:pt>
                <c:pt idx="4">
                  <c:v>0</c:v>
                </c:pt>
                <c:pt idx="5">
                  <c:v>0.12805307726035831</c:v>
                </c:pt>
                <c:pt idx="6">
                  <c:v>0.1535436761752958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B3-4B27-8FAE-25E82B6A62C7}"/>
            </c:ext>
          </c:extLst>
        </c:ser>
        <c:ser>
          <c:idx val="1"/>
          <c:order val="1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ECB3-4B27-8FAE-25E82B6A62C7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ECB3-4B27-8FAE-25E82B6A62C7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ECB3-4B27-8FAE-25E82B6A62C7}"/>
              </c:ext>
            </c:extLst>
          </c:dPt>
          <c:dLbls>
            <c:dLbl>
              <c:idx val="3"/>
              <c:layout>
                <c:manualLayout>
                  <c:x val="0"/>
                  <c:y val="4.3482554962239184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CB3-4B27-8FAE-25E82B6A62C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'[4]Valuation &amp; Estimates'!$AL$80:$AS$80</c:f>
              <c:strCache>
                <c:ptCount val="8"/>
                <c:pt idx="0">
                  <c:v>Special Dividend*</c:v>
                </c:pt>
                <c:pt idx="1">
                  <c:v>Interim Dividend**</c:v>
                </c:pt>
                <c:pt idx="2">
                  <c:v>Earnings Revision</c:v>
                </c:pt>
                <c:pt idx="3">
                  <c:v>Multiple Expansion</c:v>
                </c:pt>
                <c:pt idx="4">
                  <c:v>TSR (%) - May '19</c:v>
                </c:pt>
                <c:pt idx="5">
                  <c:v>Interim Dividend***</c:v>
                </c:pt>
                <c:pt idx="6">
                  <c:v>ER/Multiple Expansion</c:v>
                </c:pt>
                <c:pt idx="7">
                  <c:v>TSR (%) Dec. '19</c:v>
                </c:pt>
              </c:strCache>
            </c:strRef>
          </c:cat>
          <c:val>
            <c:numRef>
              <c:f>'[4]Valuation &amp; Estimates'!$AL$82:$AS$82</c:f>
              <c:numCache>
                <c:formatCode>General</c:formatCode>
                <c:ptCount val="8"/>
                <c:pt idx="0">
                  <c:v>4.2742001139786698E-2</c:v>
                </c:pt>
                <c:pt idx="1">
                  <c:v>2.0629770634459223E-2</c:v>
                </c:pt>
                <c:pt idx="2">
                  <c:v>8.1573197378004281E-2</c:v>
                </c:pt>
                <c:pt idx="3">
                  <c:v>-1.6891891891891886E-2</c:v>
                </c:pt>
                <c:pt idx="4">
                  <c:v>0.12805307726035831</c:v>
                </c:pt>
                <c:pt idx="5">
                  <c:v>2.549059891493749E-2</c:v>
                </c:pt>
                <c:pt idx="6">
                  <c:v>0</c:v>
                </c:pt>
                <c:pt idx="7">
                  <c:v>0.1535436761752958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CB3-4B27-8FAE-25E82B6A6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988416"/>
        <c:axId val="98989952"/>
      </c:barChart>
      <c:catAx>
        <c:axId val="9898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89952"/>
        <c:crosses val="autoZero"/>
        <c:auto val="1"/>
        <c:lblAlgn val="ctr"/>
        <c:lblOffset val="100"/>
        <c:noMultiLvlLbl val="0"/>
      </c:catAx>
      <c:valAx>
        <c:axId val="98989952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88416"/>
        <c:crosses val="autoZero"/>
        <c:crossBetween val="between"/>
      </c:valAx>
      <c:spPr>
        <a:solidFill>
          <a:schemeClr val="tx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tx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24015675507531"/>
          <c:y val="7.9847908745247151E-2"/>
          <c:w val="0.82050981097344378"/>
          <c:h val="0.86848778410897387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'[4]Valuation &amp; Estimates'!$AL$80:$AS$80</c:f>
              <c:strCache>
                <c:ptCount val="8"/>
                <c:pt idx="0">
                  <c:v>Special Dividend*</c:v>
                </c:pt>
                <c:pt idx="1">
                  <c:v>Interim Dividend**</c:v>
                </c:pt>
                <c:pt idx="2">
                  <c:v>Earnings Revision</c:v>
                </c:pt>
                <c:pt idx="3">
                  <c:v>Multiple Expansion</c:v>
                </c:pt>
                <c:pt idx="4">
                  <c:v>TSR (%) - May '19</c:v>
                </c:pt>
                <c:pt idx="5">
                  <c:v>Interim Dividend***</c:v>
                </c:pt>
                <c:pt idx="6">
                  <c:v>ER/Multiple Expansion</c:v>
                </c:pt>
                <c:pt idx="7">
                  <c:v>TSR (%) Dec. '19</c:v>
                </c:pt>
              </c:strCache>
            </c:strRef>
          </c:cat>
          <c:val>
            <c:numRef>
              <c:f>'[4]Valuation &amp; Estimates'!$AL$85:$AS$85</c:f>
              <c:numCache>
                <c:formatCode>General</c:formatCode>
                <c:ptCount val="8"/>
                <c:pt idx="0">
                  <c:v>0</c:v>
                </c:pt>
                <c:pt idx="1">
                  <c:v>4.2742001139786698E-2</c:v>
                </c:pt>
                <c:pt idx="2">
                  <c:v>6.3371771774245925E-2</c:v>
                </c:pt>
                <c:pt idx="3">
                  <c:v>0.14494496915225019</c:v>
                </c:pt>
                <c:pt idx="4">
                  <c:v>0</c:v>
                </c:pt>
                <c:pt idx="5">
                  <c:v>0.12805307726035831</c:v>
                </c:pt>
                <c:pt idx="6">
                  <c:v>0.1535436761752958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0B-4A2E-A4A9-38198FE23F5E}"/>
            </c:ext>
          </c:extLst>
        </c:ser>
        <c:ser>
          <c:idx val="1"/>
          <c:order val="1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190B-4A2E-A4A9-38198FE23F5E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190B-4A2E-A4A9-38198FE23F5E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190B-4A2E-A4A9-38198FE23F5E}"/>
              </c:ext>
            </c:extLst>
          </c:dPt>
          <c:dLbls>
            <c:dLbl>
              <c:idx val="3"/>
              <c:layout>
                <c:manualLayout>
                  <c:x val="0"/>
                  <c:y val="4.3489667845356961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90B-4A2E-A4A9-38198FE23F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'[4]Valuation &amp; Estimates'!$AL$80:$AS$80</c:f>
              <c:strCache>
                <c:ptCount val="8"/>
                <c:pt idx="0">
                  <c:v>Special Dividend*</c:v>
                </c:pt>
                <c:pt idx="1">
                  <c:v>Interim Dividend**</c:v>
                </c:pt>
                <c:pt idx="2">
                  <c:v>Earnings Revision</c:v>
                </c:pt>
                <c:pt idx="3">
                  <c:v>Multiple Expansion</c:v>
                </c:pt>
                <c:pt idx="4">
                  <c:v>TSR (%) - May '19</c:v>
                </c:pt>
                <c:pt idx="5">
                  <c:v>Interim Dividend***</c:v>
                </c:pt>
                <c:pt idx="6">
                  <c:v>ER/Multiple Expansion</c:v>
                </c:pt>
                <c:pt idx="7">
                  <c:v>TSR (%) Dec. '19</c:v>
                </c:pt>
              </c:strCache>
            </c:strRef>
          </c:cat>
          <c:val>
            <c:numRef>
              <c:f>'[4]Valuation &amp; Estimates'!$AL$86:$AS$86</c:f>
              <c:numCache>
                <c:formatCode>General</c:formatCode>
                <c:ptCount val="8"/>
                <c:pt idx="0">
                  <c:v>4.2742001139786698E-2</c:v>
                </c:pt>
                <c:pt idx="1">
                  <c:v>2.0629770634459223E-2</c:v>
                </c:pt>
                <c:pt idx="2">
                  <c:v>8.1573197378004281E-2</c:v>
                </c:pt>
                <c:pt idx="3">
                  <c:v>-1.6891891891891886E-2</c:v>
                </c:pt>
                <c:pt idx="4">
                  <c:v>0.12805307726035831</c:v>
                </c:pt>
                <c:pt idx="5">
                  <c:v>2.549059891493749E-2</c:v>
                </c:pt>
                <c:pt idx="6">
                  <c:v>5.4568860169882827E-2</c:v>
                </c:pt>
                <c:pt idx="7">
                  <c:v>0.20811253634517862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0B-4A2E-A4A9-38198FE23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368320"/>
        <c:axId val="99374208"/>
      </c:barChart>
      <c:catAx>
        <c:axId val="9936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74208"/>
        <c:crosses val="autoZero"/>
        <c:auto val="1"/>
        <c:lblAlgn val="ctr"/>
        <c:lblOffset val="100"/>
        <c:noMultiLvlLbl val="0"/>
      </c:catAx>
      <c:valAx>
        <c:axId val="9937420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68320"/>
        <c:crosses val="autoZero"/>
        <c:crossBetween val="between"/>
      </c:valAx>
      <c:spPr>
        <a:solidFill>
          <a:schemeClr val="tx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tx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24015675507531"/>
          <c:y val="7.9847908745247151E-2"/>
          <c:w val="0.82050981097344378"/>
          <c:h val="0.75795385249604541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'[4]Valuation &amp; Estimates'!$AL$80:$AV$80</c:f>
              <c:strCache>
                <c:ptCount val="11"/>
                <c:pt idx="0">
                  <c:v>Special Dividend*</c:v>
                </c:pt>
                <c:pt idx="1">
                  <c:v>Interim Dividend**</c:v>
                </c:pt>
                <c:pt idx="2">
                  <c:v>Earnings Revision</c:v>
                </c:pt>
                <c:pt idx="3">
                  <c:v>Multiple Expansion</c:v>
                </c:pt>
                <c:pt idx="4">
                  <c:v>TSR (%) - May '19</c:v>
                </c:pt>
                <c:pt idx="5">
                  <c:v>Interim Dividend***</c:v>
                </c:pt>
                <c:pt idx="6">
                  <c:v>ER/Multiple Expansion</c:v>
                </c:pt>
                <c:pt idx="7">
                  <c:v>TSR (%) Dec. '19</c:v>
                </c:pt>
                <c:pt idx="8">
                  <c:v>Interim Dividend***</c:v>
                </c:pt>
                <c:pt idx="9">
                  <c:v>ER/Multiple Expansion</c:v>
                </c:pt>
                <c:pt idx="10">
                  <c:v>TSR (%) Dec. '20</c:v>
                </c:pt>
              </c:strCache>
            </c:strRef>
          </c:cat>
          <c:val>
            <c:numRef>
              <c:f>'[4]Valuation &amp; Estimates'!$AL$85:$AV$85</c:f>
              <c:numCache>
                <c:formatCode>General</c:formatCode>
                <c:ptCount val="11"/>
                <c:pt idx="0">
                  <c:v>0</c:v>
                </c:pt>
                <c:pt idx="1">
                  <c:v>4.2742001139786698E-2</c:v>
                </c:pt>
                <c:pt idx="2">
                  <c:v>6.3371771774245925E-2</c:v>
                </c:pt>
                <c:pt idx="3">
                  <c:v>0.14494496915225019</c:v>
                </c:pt>
                <c:pt idx="4">
                  <c:v>0</c:v>
                </c:pt>
                <c:pt idx="5">
                  <c:v>0.12805307726035831</c:v>
                </c:pt>
                <c:pt idx="6">
                  <c:v>0.1535436761752958</c:v>
                </c:pt>
                <c:pt idx="7">
                  <c:v>0</c:v>
                </c:pt>
                <c:pt idx="8">
                  <c:v>0.20811253634517862</c:v>
                </c:pt>
                <c:pt idx="9">
                  <c:v>0.27311253634517862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DD-48B1-80BC-D46D82A892F0}"/>
            </c:ext>
          </c:extLst>
        </c:ser>
        <c:ser>
          <c:idx val="1"/>
          <c:order val="1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22DD-48B1-80BC-D46D82A892F0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22DD-48B1-80BC-D46D82A892F0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22DD-48B1-80BC-D46D82A892F0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2DD-48B1-80BC-D46D82A892F0}"/>
              </c:ext>
            </c:extLst>
          </c:dPt>
          <c:dLbls>
            <c:dLbl>
              <c:idx val="3"/>
              <c:layout>
                <c:manualLayout>
                  <c:x val="-5.3139482746518232E-17"/>
                  <c:y val="4.6835014573381344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2DD-48B1-80BC-D46D82A892F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'[4]Valuation &amp; Estimates'!$AL$80:$AV$80</c:f>
              <c:strCache>
                <c:ptCount val="11"/>
                <c:pt idx="0">
                  <c:v>Special Dividend*</c:v>
                </c:pt>
                <c:pt idx="1">
                  <c:v>Interim Dividend**</c:v>
                </c:pt>
                <c:pt idx="2">
                  <c:v>Earnings Revision</c:v>
                </c:pt>
                <c:pt idx="3">
                  <c:v>Multiple Expansion</c:v>
                </c:pt>
                <c:pt idx="4">
                  <c:v>TSR (%) - May '19</c:v>
                </c:pt>
                <c:pt idx="5">
                  <c:v>Interim Dividend***</c:v>
                </c:pt>
                <c:pt idx="6">
                  <c:v>ER/Multiple Expansion</c:v>
                </c:pt>
                <c:pt idx="7">
                  <c:v>TSR (%) Dec. '19</c:v>
                </c:pt>
                <c:pt idx="8">
                  <c:v>Interim Dividend***</c:v>
                </c:pt>
                <c:pt idx="9">
                  <c:v>ER/Multiple Expansion</c:v>
                </c:pt>
                <c:pt idx="10">
                  <c:v>TSR (%) Dec. '20</c:v>
                </c:pt>
              </c:strCache>
            </c:strRef>
          </c:cat>
          <c:val>
            <c:numRef>
              <c:f>'[4]Valuation &amp; Estimates'!$AL$86:$AV$86</c:f>
              <c:numCache>
                <c:formatCode>General</c:formatCode>
                <c:ptCount val="11"/>
                <c:pt idx="0">
                  <c:v>4.2742001139786698E-2</c:v>
                </c:pt>
                <c:pt idx="1">
                  <c:v>2.0629770634459223E-2</c:v>
                </c:pt>
                <c:pt idx="2">
                  <c:v>8.1573197378004281E-2</c:v>
                </c:pt>
                <c:pt idx="3">
                  <c:v>-1.6891891891891886E-2</c:v>
                </c:pt>
                <c:pt idx="4">
                  <c:v>0.12805307726035831</c:v>
                </c:pt>
                <c:pt idx="5">
                  <c:v>2.549059891493749E-2</c:v>
                </c:pt>
                <c:pt idx="6">
                  <c:v>5.4568860169882827E-2</c:v>
                </c:pt>
                <c:pt idx="7">
                  <c:v>0.20811253634517862</c:v>
                </c:pt>
                <c:pt idx="8">
                  <c:v>6.5000000000000002E-2</c:v>
                </c:pt>
                <c:pt idx="9">
                  <c:v>7.2999999999999995E-2</c:v>
                </c:pt>
                <c:pt idx="10">
                  <c:v>0.34611253634517863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2DD-48B1-80BC-D46D82A89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411840"/>
        <c:axId val="99413376"/>
      </c:barChart>
      <c:catAx>
        <c:axId val="9941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13376"/>
        <c:crosses val="autoZero"/>
        <c:auto val="1"/>
        <c:lblAlgn val="ctr"/>
        <c:lblOffset val="100"/>
        <c:noMultiLvlLbl val="0"/>
      </c:catAx>
      <c:valAx>
        <c:axId val="9941337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11840"/>
        <c:crosses val="autoZero"/>
        <c:crossBetween val="between"/>
      </c:valAx>
      <c:spPr>
        <a:solidFill>
          <a:schemeClr val="tx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tx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834745048464982"/>
          <c:y val="9.3074650403093387E-2"/>
          <c:w val="0.78902678896877632"/>
          <c:h val="0.697584448369616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'[4]Valuation &amp; Estimates'!$I$92</c:f>
              <c:strCache>
                <c:ptCount val="1"/>
                <c:pt idx="0">
                  <c:v>BI - Base Case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'[4]Valuation &amp; Estimates'!$H$93:$H$94</c:f>
              <c:numCache>
                <c:formatCode>General</c:formatCode>
                <c:ptCount val="2"/>
                <c:pt idx="0">
                  <c:v>2019</c:v>
                </c:pt>
                <c:pt idx="1">
                  <c:v>2020</c:v>
                </c:pt>
              </c:numCache>
            </c:numRef>
          </c:cat>
          <c:val>
            <c:numRef>
              <c:f>'[4]Valuation &amp; Estimates'!$I$93:$I$94</c:f>
              <c:numCache>
                <c:formatCode>General</c:formatCode>
                <c:ptCount val="2"/>
                <c:pt idx="0">
                  <c:v>26043.290488777777</c:v>
                </c:pt>
                <c:pt idx="1">
                  <c:v>24726.501541153593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E1-4B8C-8DF0-26C26A8BABE2}"/>
            </c:ext>
          </c:extLst>
        </c:ser>
        <c:ser>
          <c:idx val="1"/>
          <c:order val="1"/>
          <c:tx>
            <c:strRef>
              <c:f>'[4]Valuation &amp; Estimates'!$J$92</c:f>
              <c:strCache>
                <c:ptCount val="1"/>
                <c:pt idx="0">
                  <c:v>BI - Spot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'[4]Valuation &amp; Estimates'!$H$93:$H$94</c:f>
              <c:numCache>
                <c:formatCode>General</c:formatCode>
                <c:ptCount val="2"/>
                <c:pt idx="0">
                  <c:v>2019</c:v>
                </c:pt>
                <c:pt idx="1">
                  <c:v>2020</c:v>
                </c:pt>
              </c:numCache>
            </c:numRef>
          </c:cat>
          <c:val>
            <c:numRef>
              <c:f>'[4]Valuation &amp; Estimates'!$J$93:$J$94</c:f>
              <c:numCache>
                <c:formatCode>General</c:formatCode>
                <c:ptCount val="2"/>
                <c:pt idx="0">
                  <c:v>26575.135276281049</c:v>
                </c:pt>
                <c:pt idx="1">
                  <c:v>27234.275164748564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E1-4B8C-8DF0-26C26A8BABE2}"/>
            </c:ext>
          </c:extLst>
        </c:ser>
        <c:ser>
          <c:idx val="2"/>
          <c:order val="2"/>
          <c:tx>
            <c:strRef>
              <c:f>'[4]Valuation &amp; Estimates'!$K$92</c:f>
              <c:strCache>
                <c:ptCount val="1"/>
                <c:pt idx="0">
                  <c:v>Consensus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'[4]Valuation &amp; Estimates'!$H$93:$H$94</c:f>
              <c:numCache>
                <c:formatCode>General</c:formatCode>
                <c:ptCount val="2"/>
                <c:pt idx="0">
                  <c:v>2019</c:v>
                </c:pt>
                <c:pt idx="1">
                  <c:v>2020</c:v>
                </c:pt>
              </c:numCache>
            </c:numRef>
          </c:cat>
          <c:val>
            <c:numRef>
              <c:f>'[4]Valuation &amp; Estimates'!$K$93:$K$94</c:f>
              <c:numCache>
                <c:formatCode>General</c:formatCode>
                <c:ptCount val="2"/>
                <c:pt idx="0">
                  <c:v>25200</c:v>
                </c:pt>
                <c:pt idx="1">
                  <c:v>25140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E1-4B8C-8DF0-26C26A8BA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469184"/>
        <c:axId val="99470720"/>
      </c:barChart>
      <c:catAx>
        <c:axId val="9946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70720"/>
        <c:crosses val="autoZero"/>
        <c:auto val="1"/>
        <c:lblAlgn val="ctr"/>
        <c:lblOffset val="100"/>
        <c:noMultiLvlLbl val="0"/>
      </c:catAx>
      <c:valAx>
        <c:axId val="99470720"/>
        <c:scaling>
          <c:orientation val="minMax"/>
          <c:min val="1500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69184"/>
        <c:crosses val="autoZero"/>
        <c:crossBetween val="between"/>
      </c:valAx>
      <c:spPr>
        <a:solidFill>
          <a:schemeClr val="tx1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834745048464982"/>
          <c:y val="9.3074650403093387E-2"/>
          <c:w val="0.78902678896877632"/>
          <c:h val="0.697584448369616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'[4]Valuation &amp; Estimates'!$I$92</c:f>
              <c:strCache>
                <c:ptCount val="1"/>
                <c:pt idx="0">
                  <c:v>BI - Base Case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&quot;$&quot;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'[4]Valuation &amp; Estimates'!$H$98:$H$99</c:f>
              <c:strCache>
                <c:ptCount val="2"/>
                <c:pt idx="0">
                  <c:v>CY '19</c:v>
                </c:pt>
                <c:pt idx="1">
                  <c:v>CY '20</c:v>
                </c:pt>
              </c:strCache>
            </c:strRef>
          </c:cat>
          <c:val>
            <c:numRef>
              <c:f>'[4]Valuation &amp; Estimates'!$I$98:$I$99</c:f>
              <c:numCache>
                <c:formatCode>General</c:formatCode>
                <c:ptCount val="2"/>
                <c:pt idx="0">
                  <c:v>26.043290488777778</c:v>
                </c:pt>
                <c:pt idx="1">
                  <c:v>24.726501541153592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50-4AFB-A254-F251AC96B2B3}"/>
            </c:ext>
          </c:extLst>
        </c:ser>
        <c:ser>
          <c:idx val="1"/>
          <c:order val="1"/>
          <c:tx>
            <c:strRef>
              <c:f>'[4]Valuation &amp; Estimates'!$J$92</c:f>
              <c:strCache>
                <c:ptCount val="1"/>
                <c:pt idx="0">
                  <c:v>BI - Spot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&quot;$&quot;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'[4]Valuation &amp; Estimates'!$H$98:$H$99</c:f>
              <c:strCache>
                <c:ptCount val="2"/>
                <c:pt idx="0">
                  <c:v>CY '19</c:v>
                </c:pt>
                <c:pt idx="1">
                  <c:v>CY '20</c:v>
                </c:pt>
              </c:strCache>
            </c:strRef>
          </c:cat>
          <c:val>
            <c:numRef>
              <c:f>'[4]Valuation &amp; Estimates'!$J$98:$J$99</c:f>
              <c:numCache>
                <c:formatCode>General</c:formatCode>
                <c:ptCount val="2"/>
                <c:pt idx="0">
                  <c:v>26.575135276281049</c:v>
                </c:pt>
                <c:pt idx="1">
                  <c:v>27.234275164748563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50-4AFB-A254-F251AC96B2B3}"/>
            </c:ext>
          </c:extLst>
        </c:ser>
        <c:ser>
          <c:idx val="2"/>
          <c:order val="2"/>
          <c:tx>
            <c:strRef>
              <c:f>'[4]Valuation &amp; Estimates'!$K$92</c:f>
              <c:strCache>
                <c:ptCount val="1"/>
                <c:pt idx="0">
                  <c:v>Consensus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&quot;$&quot;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'[4]Valuation &amp; Estimates'!$H$98:$H$99</c:f>
              <c:strCache>
                <c:ptCount val="2"/>
                <c:pt idx="0">
                  <c:v>CY '19</c:v>
                </c:pt>
                <c:pt idx="1">
                  <c:v>CY '20</c:v>
                </c:pt>
              </c:strCache>
            </c:strRef>
          </c:cat>
          <c:val>
            <c:numRef>
              <c:f>'[4]Valuation &amp; Estimates'!$K$98:$K$99</c:f>
              <c:numCache>
                <c:formatCode>General</c:formatCode>
                <c:ptCount val="2"/>
                <c:pt idx="0">
                  <c:v>25.2</c:v>
                </c:pt>
                <c:pt idx="1">
                  <c:v>25.14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50-4AFB-A254-F251AC96B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506816"/>
        <c:axId val="99529088"/>
      </c:barChart>
      <c:catAx>
        <c:axId val="9950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29088"/>
        <c:crosses val="autoZero"/>
        <c:auto val="1"/>
        <c:lblAlgn val="ctr"/>
        <c:lblOffset val="100"/>
        <c:noMultiLvlLbl val="0"/>
      </c:catAx>
      <c:valAx>
        <c:axId val="99529088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>
                    <a:solidFill>
                      <a:schemeClr val="bg1"/>
                    </a:solidFill>
                  </a:rPr>
                  <a:t>Billion USD ($)</a:t>
                </a:r>
              </a:p>
            </c:rich>
          </c:tx>
          <c:layout>
            <c:manualLayout>
              <c:xMode val="edge"/>
              <c:yMode val="edge"/>
              <c:x val="1.0121135443701312E-2"/>
              <c:y val="0.22357228475028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06816"/>
        <c:crosses val="autoZero"/>
        <c:crossBetween val="between"/>
      </c:valAx>
      <c:spPr>
        <a:solidFill>
          <a:schemeClr val="tx1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839090817470746"/>
          <c:y val="0.88290465662767381"/>
          <c:w val="0.60577193303623555"/>
          <c:h val="7.74430910704660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96201826752847"/>
          <c:y val="7.9847908745247151E-2"/>
          <c:w val="0.85778788074473444"/>
          <c:h val="0.79475297508231213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'[4]Valuation &amp; Estimates'!$AP$80:$AS$80</c:f>
              <c:strCache>
                <c:ptCount val="4"/>
                <c:pt idx="0">
                  <c:v>TSR (%) - May '19</c:v>
                </c:pt>
                <c:pt idx="1">
                  <c:v>Interim Dividend***</c:v>
                </c:pt>
                <c:pt idx="2">
                  <c:v>ER/Multiple Expansion</c:v>
                </c:pt>
                <c:pt idx="3">
                  <c:v>TSR (%) Dec. '19</c:v>
                </c:pt>
              </c:strCache>
            </c:strRef>
          </c:cat>
          <c:val>
            <c:numRef>
              <c:f>'[4]Valuation &amp; Estimates'!$AP$91:$AS$91</c:f>
              <c:numCache>
                <c:formatCode>General</c:formatCode>
                <c:ptCount val="4"/>
                <c:pt idx="0">
                  <c:v>0</c:v>
                </c:pt>
                <c:pt idx="1">
                  <c:v>0.15</c:v>
                </c:pt>
                <c:pt idx="2">
                  <c:v>0.17549059891493748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74-4131-810D-98E7588485F6}"/>
            </c:ext>
          </c:extLst>
        </c:ser>
        <c:ser>
          <c:idx val="1"/>
          <c:order val="1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C674-4131-810D-98E7588485F6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C674-4131-810D-98E7588485F6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C674-4131-810D-98E7588485F6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C674-4131-810D-98E7588485F6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C674-4131-810D-98E7588485F6}"/>
              </c:ext>
            </c:extLst>
          </c:dPt>
          <c:dLbls>
            <c:dLbl>
              <c:idx val="2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B-C674-4131-810D-98E7588485F6}"/>
                </c:ext>
              </c:extLst>
            </c:dLbl>
            <c:dLbl>
              <c:idx val="3"/>
              <c:layout>
                <c:manualLayout>
                  <c:x val="0"/>
                  <c:y val="4.3482554962239184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674-4131-810D-98E7588485F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'[4]Valuation &amp; Estimates'!$AP$80:$AS$80</c:f>
              <c:strCache>
                <c:ptCount val="4"/>
                <c:pt idx="0">
                  <c:v>TSR (%) - May '19</c:v>
                </c:pt>
                <c:pt idx="1">
                  <c:v>Interim Dividend***</c:v>
                </c:pt>
                <c:pt idx="2">
                  <c:v>ER/Multiple Expansion</c:v>
                </c:pt>
                <c:pt idx="3">
                  <c:v>TSR (%) Dec. '19</c:v>
                </c:pt>
              </c:strCache>
            </c:strRef>
          </c:cat>
          <c:val>
            <c:numRef>
              <c:f>'[4]Valuation &amp; Estimates'!$AP$92:$AS$92</c:f>
              <c:numCache>
                <c:formatCode>General</c:formatCode>
                <c:ptCount val="4"/>
                <c:pt idx="0">
                  <c:v>0.15</c:v>
                </c:pt>
                <c:pt idx="1">
                  <c:v>2.549059891493749E-2</c:v>
                </c:pt>
                <c:pt idx="2">
                  <c:v>0</c:v>
                </c:pt>
                <c:pt idx="3">
                  <c:v>0.17549059891493748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674-4131-810D-98E758848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750272"/>
        <c:axId val="101751808"/>
      </c:barChart>
      <c:catAx>
        <c:axId val="10175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51808"/>
        <c:crosses val="autoZero"/>
        <c:auto val="1"/>
        <c:lblAlgn val="ctr"/>
        <c:lblOffset val="100"/>
        <c:noMultiLvlLbl val="0"/>
      </c:catAx>
      <c:valAx>
        <c:axId val="101751808"/>
        <c:scaling>
          <c:orientation val="minMax"/>
          <c:min val="0.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50272"/>
        <c:crosses val="autoZero"/>
        <c:crossBetween val="between"/>
      </c:valAx>
      <c:spPr>
        <a:solidFill>
          <a:schemeClr val="tx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tx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96201826752847"/>
          <c:y val="7.9847908745247151E-2"/>
          <c:w val="0.85778788074473444"/>
          <c:h val="0.79475297508231213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'[4]Valuation &amp; Estimates'!$AP$80:$AS$80</c:f>
              <c:strCache>
                <c:ptCount val="4"/>
                <c:pt idx="0">
                  <c:v>TSR (%) - May '19</c:v>
                </c:pt>
                <c:pt idx="1">
                  <c:v>Interim Dividend***</c:v>
                </c:pt>
                <c:pt idx="2">
                  <c:v>ER/Multiple Expansion</c:v>
                </c:pt>
                <c:pt idx="3">
                  <c:v>TSR (%) Dec. '19</c:v>
                </c:pt>
              </c:strCache>
            </c:strRef>
          </c:cat>
          <c:val>
            <c:numRef>
              <c:f>'[4]Valuation &amp; Estimates'!$AP$95:$AS$95</c:f>
              <c:numCache>
                <c:formatCode>General</c:formatCode>
                <c:ptCount val="4"/>
                <c:pt idx="0">
                  <c:v>0</c:v>
                </c:pt>
                <c:pt idx="1">
                  <c:v>0.15</c:v>
                </c:pt>
                <c:pt idx="2">
                  <c:v>0.17549059891493748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DB-46E9-A8E0-364DDDF43584}"/>
            </c:ext>
          </c:extLst>
        </c:ser>
        <c:ser>
          <c:idx val="1"/>
          <c:order val="1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0FDB-46E9-A8E0-364DDDF43584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0FDB-46E9-A8E0-364DDDF4358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0FDB-46E9-A8E0-364DDDF4358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0FDB-46E9-A8E0-364DDDF4358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0FDB-46E9-A8E0-364DDDF43584}"/>
              </c:ext>
            </c:extLst>
          </c:dPt>
          <c:dLbls>
            <c:dLbl>
              <c:idx val="2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B-0FDB-46E9-A8E0-364DDDF43584}"/>
                </c:ext>
              </c:extLst>
            </c:dLbl>
            <c:dLbl>
              <c:idx val="3"/>
              <c:layout>
                <c:manualLayout>
                  <c:x val="0"/>
                  <c:y val="4.3482554962239184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FDB-46E9-A8E0-364DDDF4358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'[4]Valuation &amp; Estimates'!$AP$80:$AS$80</c:f>
              <c:strCache>
                <c:ptCount val="4"/>
                <c:pt idx="0">
                  <c:v>TSR (%) - May '19</c:v>
                </c:pt>
                <c:pt idx="1">
                  <c:v>Interim Dividend***</c:v>
                </c:pt>
                <c:pt idx="2">
                  <c:v>ER/Multiple Expansion</c:v>
                </c:pt>
                <c:pt idx="3">
                  <c:v>TSR (%) Dec. '19</c:v>
                </c:pt>
              </c:strCache>
            </c:strRef>
          </c:cat>
          <c:val>
            <c:numRef>
              <c:f>'[4]Valuation &amp; Estimates'!$AP$96:$AS$96</c:f>
              <c:numCache>
                <c:formatCode>General</c:formatCode>
                <c:ptCount val="4"/>
                <c:pt idx="0">
                  <c:v>0.15</c:v>
                </c:pt>
                <c:pt idx="1">
                  <c:v>2.549059891493749E-2</c:v>
                </c:pt>
                <c:pt idx="2">
                  <c:v>0.16</c:v>
                </c:pt>
                <c:pt idx="3">
                  <c:v>0.33549059891493749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FDB-46E9-A8E0-364DDDF43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7033344"/>
        <c:axId val="107034880"/>
      </c:barChart>
      <c:catAx>
        <c:axId val="107033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34880"/>
        <c:crosses val="autoZero"/>
        <c:auto val="1"/>
        <c:lblAlgn val="ctr"/>
        <c:lblOffset val="100"/>
        <c:noMultiLvlLbl val="0"/>
      </c:catAx>
      <c:valAx>
        <c:axId val="107034880"/>
        <c:scaling>
          <c:orientation val="minMax"/>
          <c:min val="5.000000000000001E-2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33344"/>
        <c:crosses val="autoZero"/>
        <c:crossBetween val="between"/>
      </c:valAx>
      <c:spPr>
        <a:solidFill>
          <a:schemeClr val="tx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tx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96201826752847"/>
          <c:y val="7.9847908745247151E-2"/>
          <c:w val="0.85778788074473444"/>
          <c:h val="0.86847525355681665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'[4]Valuation &amp; Estimates'!$AL$80:$AS$80</c:f>
              <c:strCache>
                <c:ptCount val="8"/>
                <c:pt idx="0">
                  <c:v>Special Dividend*</c:v>
                </c:pt>
                <c:pt idx="1">
                  <c:v>Interim Dividend**</c:v>
                </c:pt>
                <c:pt idx="2">
                  <c:v>Earnings Revision</c:v>
                </c:pt>
                <c:pt idx="3">
                  <c:v>Multiple Expansion</c:v>
                </c:pt>
                <c:pt idx="4">
                  <c:v>TSR (%) - May '19</c:v>
                </c:pt>
                <c:pt idx="5">
                  <c:v>Interim Dividend***</c:v>
                </c:pt>
                <c:pt idx="6">
                  <c:v>ER/Multiple Expansion</c:v>
                </c:pt>
                <c:pt idx="7">
                  <c:v>TSR (%) Dec. '19</c:v>
                </c:pt>
              </c:strCache>
            </c:strRef>
          </c:cat>
          <c:val>
            <c:numRef>
              <c:f>'[4]Valuation &amp; Estimates'!$AL$81:$AS$81</c:f>
              <c:numCache>
                <c:formatCode>General</c:formatCode>
                <c:ptCount val="8"/>
                <c:pt idx="0">
                  <c:v>0</c:v>
                </c:pt>
                <c:pt idx="1">
                  <c:v>4.2742001139786698E-2</c:v>
                </c:pt>
                <c:pt idx="2">
                  <c:v>6.3371771774245925E-2</c:v>
                </c:pt>
                <c:pt idx="3">
                  <c:v>0.14494496915225019</c:v>
                </c:pt>
                <c:pt idx="4">
                  <c:v>0</c:v>
                </c:pt>
                <c:pt idx="5">
                  <c:v>0.12805307726035831</c:v>
                </c:pt>
                <c:pt idx="6">
                  <c:v>0.1535436761752958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93-4612-89D2-D33CDAC27D3A}"/>
            </c:ext>
          </c:extLst>
        </c:ser>
        <c:ser>
          <c:idx val="1"/>
          <c:order val="1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3F93-4612-89D2-D33CDAC27D3A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3F93-4612-89D2-D33CDAC27D3A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3F93-4612-89D2-D33CDAC27D3A}"/>
              </c:ext>
            </c:extLst>
          </c:dPt>
          <c:dLbls>
            <c:dLbl>
              <c:idx val="3"/>
              <c:layout>
                <c:manualLayout>
                  <c:x val="0"/>
                  <c:y val="4.3482554962239184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F93-4612-89D2-D33CDAC27D3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'[4]Valuation &amp; Estimates'!$AL$80:$AS$80</c:f>
              <c:strCache>
                <c:ptCount val="8"/>
                <c:pt idx="0">
                  <c:v>Special Dividend*</c:v>
                </c:pt>
                <c:pt idx="1">
                  <c:v>Interim Dividend**</c:v>
                </c:pt>
                <c:pt idx="2">
                  <c:v>Earnings Revision</c:v>
                </c:pt>
                <c:pt idx="3">
                  <c:v>Multiple Expansion</c:v>
                </c:pt>
                <c:pt idx="4">
                  <c:v>TSR (%) - May '19</c:v>
                </c:pt>
                <c:pt idx="5">
                  <c:v>Interim Dividend***</c:v>
                </c:pt>
                <c:pt idx="6">
                  <c:v>ER/Multiple Expansion</c:v>
                </c:pt>
                <c:pt idx="7">
                  <c:v>TSR (%) Dec. '19</c:v>
                </c:pt>
              </c:strCache>
            </c:strRef>
          </c:cat>
          <c:val>
            <c:numRef>
              <c:f>'[4]Valuation &amp; Estimates'!$AL$82:$AS$82</c:f>
              <c:numCache>
                <c:formatCode>General</c:formatCode>
                <c:ptCount val="8"/>
                <c:pt idx="0">
                  <c:v>4.2742001139786698E-2</c:v>
                </c:pt>
                <c:pt idx="1">
                  <c:v>2.0629770634459223E-2</c:v>
                </c:pt>
                <c:pt idx="2">
                  <c:v>8.1573197378004281E-2</c:v>
                </c:pt>
                <c:pt idx="3">
                  <c:v>-1.6891891891891886E-2</c:v>
                </c:pt>
                <c:pt idx="4">
                  <c:v>0.12805307726035831</c:v>
                </c:pt>
                <c:pt idx="5">
                  <c:v>2.549059891493749E-2</c:v>
                </c:pt>
                <c:pt idx="6">
                  <c:v>0</c:v>
                </c:pt>
                <c:pt idx="7">
                  <c:v>0.1535436761752958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F93-4612-89D2-D33CDAC27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988416"/>
        <c:axId val="98989952"/>
      </c:barChart>
      <c:catAx>
        <c:axId val="9898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89952"/>
        <c:crosses val="autoZero"/>
        <c:auto val="1"/>
        <c:lblAlgn val="ctr"/>
        <c:lblOffset val="100"/>
        <c:noMultiLvlLbl val="0"/>
      </c:catAx>
      <c:valAx>
        <c:axId val="98989952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88416"/>
        <c:crosses val="autoZero"/>
        <c:crossBetween val="between"/>
      </c:valAx>
      <c:spPr>
        <a:solidFill>
          <a:schemeClr val="tx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tx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24015675507531"/>
          <c:y val="7.9847908745247151E-2"/>
          <c:w val="0.82050981097344378"/>
          <c:h val="0.86848778410897387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'[4]Valuation &amp; Estimates'!$AL$80:$AS$80</c:f>
              <c:strCache>
                <c:ptCount val="8"/>
                <c:pt idx="0">
                  <c:v>Special Dividend*</c:v>
                </c:pt>
                <c:pt idx="1">
                  <c:v>Interim Dividend**</c:v>
                </c:pt>
                <c:pt idx="2">
                  <c:v>Earnings Revision</c:v>
                </c:pt>
                <c:pt idx="3">
                  <c:v>Multiple Expansion</c:v>
                </c:pt>
                <c:pt idx="4">
                  <c:v>TSR (%) - May '19</c:v>
                </c:pt>
                <c:pt idx="5">
                  <c:v>Interim Dividend***</c:v>
                </c:pt>
                <c:pt idx="6">
                  <c:v>ER/Multiple Expansion</c:v>
                </c:pt>
                <c:pt idx="7">
                  <c:v>TSR (%) Dec. '19</c:v>
                </c:pt>
              </c:strCache>
            </c:strRef>
          </c:cat>
          <c:val>
            <c:numRef>
              <c:f>'[4]Valuation &amp; Estimates'!$AL$85:$AS$85</c:f>
              <c:numCache>
                <c:formatCode>General</c:formatCode>
                <c:ptCount val="8"/>
                <c:pt idx="0">
                  <c:v>0</c:v>
                </c:pt>
                <c:pt idx="1">
                  <c:v>4.2742001139786698E-2</c:v>
                </c:pt>
                <c:pt idx="2">
                  <c:v>6.3371771774245925E-2</c:v>
                </c:pt>
                <c:pt idx="3">
                  <c:v>0.14494496915225019</c:v>
                </c:pt>
                <c:pt idx="4">
                  <c:v>0</c:v>
                </c:pt>
                <c:pt idx="5">
                  <c:v>0.12805307726035831</c:v>
                </c:pt>
                <c:pt idx="6">
                  <c:v>0.1535436761752958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8C-4058-9E8B-E50240B238F2}"/>
            </c:ext>
          </c:extLst>
        </c:ser>
        <c:ser>
          <c:idx val="1"/>
          <c:order val="1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D18C-4058-9E8B-E50240B238F2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D18C-4058-9E8B-E50240B238F2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D18C-4058-9E8B-E50240B238F2}"/>
              </c:ext>
            </c:extLst>
          </c:dPt>
          <c:dLbls>
            <c:dLbl>
              <c:idx val="3"/>
              <c:layout>
                <c:manualLayout>
                  <c:x val="0"/>
                  <c:y val="4.3489667845356961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18C-4058-9E8B-E50240B238F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'[4]Valuation &amp; Estimates'!$AL$80:$AS$80</c:f>
              <c:strCache>
                <c:ptCount val="8"/>
                <c:pt idx="0">
                  <c:v>Special Dividend*</c:v>
                </c:pt>
                <c:pt idx="1">
                  <c:v>Interim Dividend**</c:v>
                </c:pt>
                <c:pt idx="2">
                  <c:v>Earnings Revision</c:v>
                </c:pt>
                <c:pt idx="3">
                  <c:v>Multiple Expansion</c:v>
                </c:pt>
                <c:pt idx="4">
                  <c:v>TSR (%) - May '19</c:v>
                </c:pt>
                <c:pt idx="5">
                  <c:v>Interim Dividend***</c:v>
                </c:pt>
                <c:pt idx="6">
                  <c:v>ER/Multiple Expansion</c:v>
                </c:pt>
                <c:pt idx="7">
                  <c:v>TSR (%) Dec. '19</c:v>
                </c:pt>
              </c:strCache>
            </c:strRef>
          </c:cat>
          <c:val>
            <c:numRef>
              <c:f>'[4]Valuation &amp; Estimates'!$AL$86:$AS$86</c:f>
              <c:numCache>
                <c:formatCode>General</c:formatCode>
                <c:ptCount val="8"/>
                <c:pt idx="0">
                  <c:v>4.2742001139786698E-2</c:v>
                </c:pt>
                <c:pt idx="1">
                  <c:v>2.0629770634459223E-2</c:v>
                </c:pt>
                <c:pt idx="2">
                  <c:v>8.1573197378004281E-2</c:v>
                </c:pt>
                <c:pt idx="3">
                  <c:v>-1.6891891891891886E-2</c:v>
                </c:pt>
                <c:pt idx="4">
                  <c:v>0.12805307726035831</c:v>
                </c:pt>
                <c:pt idx="5">
                  <c:v>2.549059891493749E-2</c:v>
                </c:pt>
                <c:pt idx="6">
                  <c:v>5.4568860169882827E-2</c:v>
                </c:pt>
                <c:pt idx="7">
                  <c:v>0.20811253634517862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18C-4058-9E8B-E50240B23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368320"/>
        <c:axId val="99374208"/>
      </c:barChart>
      <c:catAx>
        <c:axId val="9936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74208"/>
        <c:crosses val="autoZero"/>
        <c:auto val="1"/>
        <c:lblAlgn val="ctr"/>
        <c:lblOffset val="100"/>
        <c:noMultiLvlLbl val="0"/>
      </c:catAx>
      <c:valAx>
        <c:axId val="9937420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68320"/>
        <c:crosses val="autoZero"/>
        <c:crossBetween val="between"/>
      </c:valAx>
      <c:spPr>
        <a:solidFill>
          <a:schemeClr val="tx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tx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24015675507531"/>
          <c:y val="7.9847908745247151E-2"/>
          <c:w val="0.82050981097344378"/>
          <c:h val="0.75795385249604541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'[4]Valuation &amp; Estimates'!$AL$80:$AV$80</c:f>
              <c:strCache>
                <c:ptCount val="11"/>
                <c:pt idx="0">
                  <c:v>Special Dividend*</c:v>
                </c:pt>
                <c:pt idx="1">
                  <c:v>Interim Dividend**</c:v>
                </c:pt>
                <c:pt idx="2">
                  <c:v>Earnings Revision</c:v>
                </c:pt>
                <c:pt idx="3">
                  <c:v>Multiple Expansion</c:v>
                </c:pt>
                <c:pt idx="4">
                  <c:v>TSR (%) - May '19</c:v>
                </c:pt>
                <c:pt idx="5">
                  <c:v>Interim Dividend***</c:v>
                </c:pt>
                <c:pt idx="6">
                  <c:v>ER/Multiple Expansion</c:v>
                </c:pt>
                <c:pt idx="7">
                  <c:v>TSR (%) Dec. '19</c:v>
                </c:pt>
                <c:pt idx="8">
                  <c:v>Interim Dividend***</c:v>
                </c:pt>
                <c:pt idx="9">
                  <c:v>ER/Multiple Expansion</c:v>
                </c:pt>
                <c:pt idx="10">
                  <c:v>TSR (%) Dec. '20</c:v>
                </c:pt>
              </c:strCache>
            </c:strRef>
          </c:cat>
          <c:val>
            <c:numRef>
              <c:f>'[4]Valuation &amp; Estimates'!$AL$85:$AV$85</c:f>
              <c:numCache>
                <c:formatCode>General</c:formatCode>
                <c:ptCount val="11"/>
                <c:pt idx="0">
                  <c:v>0</c:v>
                </c:pt>
                <c:pt idx="1">
                  <c:v>4.2742001139786698E-2</c:v>
                </c:pt>
                <c:pt idx="2">
                  <c:v>6.3371771774245925E-2</c:v>
                </c:pt>
                <c:pt idx="3">
                  <c:v>0.14494496915225019</c:v>
                </c:pt>
                <c:pt idx="4">
                  <c:v>0</c:v>
                </c:pt>
                <c:pt idx="5">
                  <c:v>0.12805307726035831</c:v>
                </c:pt>
                <c:pt idx="6">
                  <c:v>0.1535436761752958</c:v>
                </c:pt>
                <c:pt idx="7">
                  <c:v>0</c:v>
                </c:pt>
                <c:pt idx="8">
                  <c:v>0.20811253634517862</c:v>
                </c:pt>
                <c:pt idx="9">
                  <c:v>0.27311253634517862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37-4598-AD0B-C1028F177188}"/>
            </c:ext>
          </c:extLst>
        </c:ser>
        <c:ser>
          <c:idx val="1"/>
          <c:order val="1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C137-4598-AD0B-C1028F177188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C137-4598-AD0B-C1028F177188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C137-4598-AD0B-C1028F177188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137-4598-AD0B-C1028F177188}"/>
              </c:ext>
            </c:extLst>
          </c:dPt>
          <c:dLbls>
            <c:dLbl>
              <c:idx val="3"/>
              <c:layout>
                <c:manualLayout>
                  <c:x val="-5.3139482746518232E-17"/>
                  <c:y val="4.6835014573381344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137-4598-AD0B-C1028F17718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'[4]Valuation &amp; Estimates'!$AL$80:$AV$80</c:f>
              <c:strCache>
                <c:ptCount val="11"/>
                <c:pt idx="0">
                  <c:v>Special Dividend*</c:v>
                </c:pt>
                <c:pt idx="1">
                  <c:v>Interim Dividend**</c:v>
                </c:pt>
                <c:pt idx="2">
                  <c:v>Earnings Revision</c:v>
                </c:pt>
                <c:pt idx="3">
                  <c:v>Multiple Expansion</c:v>
                </c:pt>
                <c:pt idx="4">
                  <c:v>TSR (%) - May '19</c:v>
                </c:pt>
                <c:pt idx="5">
                  <c:v>Interim Dividend***</c:v>
                </c:pt>
                <c:pt idx="6">
                  <c:v>ER/Multiple Expansion</c:v>
                </c:pt>
                <c:pt idx="7">
                  <c:v>TSR (%) Dec. '19</c:v>
                </c:pt>
                <c:pt idx="8">
                  <c:v>Interim Dividend***</c:v>
                </c:pt>
                <c:pt idx="9">
                  <c:v>ER/Multiple Expansion</c:v>
                </c:pt>
                <c:pt idx="10">
                  <c:v>TSR (%) Dec. '20</c:v>
                </c:pt>
              </c:strCache>
            </c:strRef>
          </c:cat>
          <c:val>
            <c:numRef>
              <c:f>'[4]Valuation &amp; Estimates'!$AL$86:$AV$86</c:f>
              <c:numCache>
                <c:formatCode>General</c:formatCode>
                <c:ptCount val="11"/>
                <c:pt idx="0">
                  <c:v>4.2742001139786698E-2</c:v>
                </c:pt>
                <c:pt idx="1">
                  <c:v>2.0629770634459223E-2</c:v>
                </c:pt>
                <c:pt idx="2">
                  <c:v>8.1573197378004281E-2</c:v>
                </c:pt>
                <c:pt idx="3">
                  <c:v>-1.6891891891891886E-2</c:v>
                </c:pt>
                <c:pt idx="4">
                  <c:v>0.12805307726035831</c:v>
                </c:pt>
                <c:pt idx="5">
                  <c:v>2.549059891493749E-2</c:v>
                </c:pt>
                <c:pt idx="6">
                  <c:v>5.4568860169882827E-2</c:v>
                </c:pt>
                <c:pt idx="7">
                  <c:v>0.20811253634517862</c:v>
                </c:pt>
                <c:pt idx="8">
                  <c:v>6.5000000000000002E-2</c:v>
                </c:pt>
                <c:pt idx="9">
                  <c:v>7.2999999999999995E-2</c:v>
                </c:pt>
                <c:pt idx="10">
                  <c:v>0.34611253634517863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137-4598-AD0B-C1028F177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411840"/>
        <c:axId val="99413376"/>
      </c:barChart>
      <c:catAx>
        <c:axId val="9941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13376"/>
        <c:crosses val="autoZero"/>
        <c:auto val="1"/>
        <c:lblAlgn val="ctr"/>
        <c:lblOffset val="100"/>
        <c:noMultiLvlLbl val="0"/>
      </c:catAx>
      <c:valAx>
        <c:axId val="9941337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11840"/>
        <c:crosses val="autoZero"/>
        <c:crossBetween val="between"/>
      </c:valAx>
      <c:spPr>
        <a:solidFill>
          <a:schemeClr val="tx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tx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834745048464982"/>
          <c:y val="9.3074650403093387E-2"/>
          <c:w val="0.78902678896877632"/>
          <c:h val="0.697584448369616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'[4]Valuation &amp; Estimates'!$I$92</c:f>
              <c:strCache>
                <c:ptCount val="1"/>
                <c:pt idx="0">
                  <c:v>BI - Base Case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'[4]Valuation &amp; Estimates'!$H$93:$H$94</c:f>
              <c:numCache>
                <c:formatCode>General</c:formatCode>
                <c:ptCount val="2"/>
                <c:pt idx="0">
                  <c:v>2019</c:v>
                </c:pt>
                <c:pt idx="1">
                  <c:v>2020</c:v>
                </c:pt>
              </c:numCache>
            </c:numRef>
          </c:cat>
          <c:val>
            <c:numRef>
              <c:f>'[4]Valuation &amp; Estimates'!$I$93:$I$94</c:f>
              <c:numCache>
                <c:formatCode>General</c:formatCode>
                <c:ptCount val="2"/>
                <c:pt idx="0">
                  <c:v>26043.290488777777</c:v>
                </c:pt>
                <c:pt idx="1">
                  <c:v>24726.501541153593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87-4D7C-86E9-1B017EED0615}"/>
            </c:ext>
          </c:extLst>
        </c:ser>
        <c:ser>
          <c:idx val="1"/>
          <c:order val="1"/>
          <c:tx>
            <c:strRef>
              <c:f>'[4]Valuation &amp; Estimates'!$J$92</c:f>
              <c:strCache>
                <c:ptCount val="1"/>
                <c:pt idx="0">
                  <c:v>BI - Spot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'[4]Valuation &amp; Estimates'!$H$93:$H$94</c:f>
              <c:numCache>
                <c:formatCode>General</c:formatCode>
                <c:ptCount val="2"/>
                <c:pt idx="0">
                  <c:v>2019</c:v>
                </c:pt>
                <c:pt idx="1">
                  <c:v>2020</c:v>
                </c:pt>
              </c:numCache>
            </c:numRef>
          </c:cat>
          <c:val>
            <c:numRef>
              <c:f>'[4]Valuation &amp; Estimates'!$J$93:$J$94</c:f>
              <c:numCache>
                <c:formatCode>General</c:formatCode>
                <c:ptCount val="2"/>
                <c:pt idx="0">
                  <c:v>26575.135276281049</c:v>
                </c:pt>
                <c:pt idx="1">
                  <c:v>27234.275164748564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87-4D7C-86E9-1B017EED0615}"/>
            </c:ext>
          </c:extLst>
        </c:ser>
        <c:ser>
          <c:idx val="2"/>
          <c:order val="2"/>
          <c:tx>
            <c:strRef>
              <c:f>'[4]Valuation &amp; Estimates'!$K$92</c:f>
              <c:strCache>
                <c:ptCount val="1"/>
                <c:pt idx="0">
                  <c:v>Consensus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'[4]Valuation &amp; Estimates'!$H$93:$H$94</c:f>
              <c:numCache>
                <c:formatCode>General</c:formatCode>
                <c:ptCount val="2"/>
                <c:pt idx="0">
                  <c:v>2019</c:v>
                </c:pt>
                <c:pt idx="1">
                  <c:v>2020</c:v>
                </c:pt>
              </c:numCache>
            </c:numRef>
          </c:cat>
          <c:val>
            <c:numRef>
              <c:f>'[4]Valuation &amp; Estimates'!$K$93:$K$94</c:f>
              <c:numCache>
                <c:formatCode>General</c:formatCode>
                <c:ptCount val="2"/>
                <c:pt idx="0">
                  <c:v>25200</c:v>
                </c:pt>
                <c:pt idx="1">
                  <c:v>25140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87-4D7C-86E9-1B017EED0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469184"/>
        <c:axId val="99470720"/>
      </c:barChart>
      <c:catAx>
        <c:axId val="9946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70720"/>
        <c:crosses val="autoZero"/>
        <c:auto val="1"/>
        <c:lblAlgn val="ctr"/>
        <c:lblOffset val="100"/>
        <c:noMultiLvlLbl val="0"/>
      </c:catAx>
      <c:valAx>
        <c:axId val="99470720"/>
        <c:scaling>
          <c:orientation val="minMax"/>
          <c:min val="1500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69184"/>
        <c:crosses val="autoZero"/>
        <c:crossBetween val="between"/>
      </c:valAx>
      <c:spPr>
        <a:solidFill>
          <a:schemeClr val="tx1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834745048464982"/>
          <c:y val="9.3074650403093387E-2"/>
          <c:w val="0.78902678896877632"/>
          <c:h val="0.697584448369616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'[4]Valuation &amp; Estimates'!$I$92</c:f>
              <c:strCache>
                <c:ptCount val="1"/>
                <c:pt idx="0">
                  <c:v>BI - Base Case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&quot;$&quot;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'[4]Valuation &amp; Estimates'!$H$98:$H$99</c:f>
              <c:strCache>
                <c:ptCount val="2"/>
                <c:pt idx="0">
                  <c:v>CY '19</c:v>
                </c:pt>
                <c:pt idx="1">
                  <c:v>CY '20</c:v>
                </c:pt>
              </c:strCache>
            </c:strRef>
          </c:cat>
          <c:val>
            <c:numRef>
              <c:f>'[4]Valuation &amp; Estimates'!$I$98:$I$99</c:f>
              <c:numCache>
                <c:formatCode>General</c:formatCode>
                <c:ptCount val="2"/>
                <c:pt idx="0">
                  <c:v>26.043290488777778</c:v>
                </c:pt>
                <c:pt idx="1">
                  <c:v>24.726501541153592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92-44EE-91AE-39F0C2A9A4F2}"/>
            </c:ext>
          </c:extLst>
        </c:ser>
        <c:ser>
          <c:idx val="1"/>
          <c:order val="1"/>
          <c:tx>
            <c:strRef>
              <c:f>'[4]Valuation &amp; Estimates'!$J$92</c:f>
              <c:strCache>
                <c:ptCount val="1"/>
                <c:pt idx="0">
                  <c:v>BI - Spot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&quot;$&quot;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'[4]Valuation &amp; Estimates'!$H$98:$H$99</c:f>
              <c:strCache>
                <c:ptCount val="2"/>
                <c:pt idx="0">
                  <c:v>CY '19</c:v>
                </c:pt>
                <c:pt idx="1">
                  <c:v>CY '20</c:v>
                </c:pt>
              </c:strCache>
            </c:strRef>
          </c:cat>
          <c:val>
            <c:numRef>
              <c:f>'[4]Valuation &amp; Estimates'!$J$98:$J$99</c:f>
              <c:numCache>
                <c:formatCode>General</c:formatCode>
                <c:ptCount val="2"/>
                <c:pt idx="0">
                  <c:v>26.575135276281049</c:v>
                </c:pt>
                <c:pt idx="1">
                  <c:v>27.234275164748563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92-44EE-91AE-39F0C2A9A4F2}"/>
            </c:ext>
          </c:extLst>
        </c:ser>
        <c:ser>
          <c:idx val="2"/>
          <c:order val="2"/>
          <c:tx>
            <c:strRef>
              <c:f>'[4]Valuation &amp; Estimates'!$K$92</c:f>
              <c:strCache>
                <c:ptCount val="1"/>
                <c:pt idx="0">
                  <c:v>Consensus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&quot;$&quot;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'[4]Valuation &amp; Estimates'!$H$98:$H$99</c:f>
              <c:strCache>
                <c:ptCount val="2"/>
                <c:pt idx="0">
                  <c:v>CY '19</c:v>
                </c:pt>
                <c:pt idx="1">
                  <c:v>CY '20</c:v>
                </c:pt>
              </c:strCache>
            </c:strRef>
          </c:cat>
          <c:val>
            <c:numRef>
              <c:f>'[4]Valuation &amp; Estimates'!$K$98:$K$99</c:f>
              <c:numCache>
                <c:formatCode>General</c:formatCode>
                <c:ptCount val="2"/>
                <c:pt idx="0">
                  <c:v>25.2</c:v>
                </c:pt>
                <c:pt idx="1">
                  <c:v>25.14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92-44EE-91AE-39F0C2A9A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506816"/>
        <c:axId val="99529088"/>
      </c:barChart>
      <c:catAx>
        <c:axId val="9950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29088"/>
        <c:crosses val="autoZero"/>
        <c:auto val="1"/>
        <c:lblAlgn val="ctr"/>
        <c:lblOffset val="100"/>
        <c:noMultiLvlLbl val="0"/>
      </c:catAx>
      <c:valAx>
        <c:axId val="99529088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>
                    <a:solidFill>
                      <a:schemeClr val="bg1"/>
                    </a:solidFill>
                  </a:rPr>
                  <a:t>Billion USD ($)</a:t>
                </a:r>
              </a:p>
            </c:rich>
          </c:tx>
          <c:layout>
            <c:manualLayout>
              <c:xMode val="edge"/>
              <c:yMode val="edge"/>
              <c:x val="1.0121135443701312E-2"/>
              <c:y val="0.22357228475028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06816"/>
        <c:crosses val="autoZero"/>
        <c:crossBetween val="between"/>
      </c:valAx>
      <c:spPr>
        <a:solidFill>
          <a:schemeClr val="tx1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839090817470746"/>
          <c:y val="0.88290465662767381"/>
          <c:w val="0.60577193303623555"/>
          <c:h val="7.74430910704660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96201826752847"/>
          <c:y val="7.9847908745247151E-2"/>
          <c:w val="0.85778788074473444"/>
          <c:h val="0.79475297508231213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'[4]Valuation &amp; Estimates'!$AP$80:$AS$80</c:f>
              <c:strCache>
                <c:ptCount val="4"/>
                <c:pt idx="0">
                  <c:v>TSR (%) - May '19</c:v>
                </c:pt>
                <c:pt idx="1">
                  <c:v>Interim Dividend***</c:v>
                </c:pt>
                <c:pt idx="2">
                  <c:v>ER/Multiple Expansion</c:v>
                </c:pt>
                <c:pt idx="3">
                  <c:v>TSR (%) Dec. '19</c:v>
                </c:pt>
              </c:strCache>
            </c:strRef>
          </c:cat>
          <c:val>
            <c:numRef>
              <c:f>'[4]Valuation &amp; Estimates'!$AP$91:$AS$91</c:f>
              <c:numCache>
                <c:formatCode>General</c:formatCode>
                <c:ptCount val="4"/>
                <c:pt idx="0">
                  <c:v>0</c:v>
                </c:pt>
                <c:pt idx="1">
                  <c:v>0.15</c:v>
                </c:pt>
                <c:pt idx="2">
                  <c:v>0.17549059891493748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0E-4B66-8898-32976E029948}"/>
            </c:ext>
          </c:extLst>
        </c:ser>
        <c:ser>
          <c:idx val="1"/>
          <c:order val="1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290E-4B66-8898-32976E029948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290E-4B66-8898-32976E029948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290E-4B66-8898-32976E029948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290E-4B66-8898-32976E029948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290E-4B66-8898-32976E029948}"/>
              </c:ext>
            </c:extLst>
          </c:dPt>
          <c:dLbls>
            <c:dLbl>
              <c:idx val="2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B-290E-4B66-8898-32976E029948}"/>
                </c:ext>
              </c:extLst>
            </c:dLbl>
            <c:dLbl>
              <c:idx val="3"/>
              <c:layout>
                <c:manualLayout>
                  <c:x val="0"/>
                  <c:y val="4.3482554962239184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90E-4B66-8898-32976E02994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'[4]Valuation &amp; Estimates'!$AP$80:$AS$80</c:f>
              <c:strCache>
                <c:ptCount val="4"/>
                <c:pt idx="0">
                  <c:v>TSR (%) - May '19</c:v>
                </c:pt>
                <c:pt idx="1">
                  <c:v>Interim Dividend***</c:v>
                </c:pt>
                <c:pt idx="2">
                  <c:v>ER/Multiple Expansion</c:v>
                </c:pt>
                <c:pt idx="3">
                  <c:v>TSR (%) Dec. '19</c:v>
                </c:pt>
              </c:strCache>
            </c:strRef>
          </c:cat>
          <c:val>
            <c:numRef>
              <c:f>'[4]Valuation &amp; Estimates'!$AP$92:$AS$92</c:f>
              <c:numCache>
                <c:formatCode>General</c:formatCode>
                <c:ptCount val="4"/>
                <c:pt idx="0">
                  <c:v>0.15</c:v>
                </c:pt>
                <c:pt idx="1">
                  <c:v>2.549059891493749E-2</c:v>
                </c:pt>
                <c:pt idx="2">
                  <c:v>0</c:v>
                </c:pt>
                <c:pt idx="3">
                  <c:v>0.17549059891493748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90E-4B66-8898-32976E0299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750272"/>
        <c:axId val="101751808"/>
      </c:barChart>
      <c:catAx>
        <c:axId val="10175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51808"/>
        <c:crosses val="autoZero"/>
        <c:auto val="1"/>
        <c:lblAlgn val="ctr"/>
        <c:lblOffset val="100"/>
        <c:noMultiLvlLbl val="0"/>
      </c:catAx>
      <c:valAx>
        <c:axId val="101751808"/>
        <c:scaling>
          <c:orientation val="minMax"/>
          <c:min val="0.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50272"/>
        <c:crosses val="autoZero"/>
        <c:crossBetween val="between"/>
      </c:valAx>
      <c:spPr>
        <a:solidFill>
          <a:schemeClr val="tx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tx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96201826752847"/>
          <c:y val="7.9847908745247151E-2"/>
          <c:w val="0.85778788074473444"/>
          <c:h val="0.79475297508231213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'[4]Valuation &amp; Estimates'!$AP$80:$AS$80</c:f>
              <c:strCache>
                <c:ptCount val="4"/>
                <c:pt idx="0">
                  <c:v>TSR (%) - May '19</c:v>
                </c:pt>
                <c:pt idx="1">
                  <c:v>Interim Dividend***</c:v>
                </c:pt>
                <c:pt idx="2">
                  <c:v>ER/Multiple Expansion</c:v>
                </c:pt>
                <c:pt idx="3">
                  <c:v>TSR (%) Dec. '19</c:v>
                </c:pt>
              </c:strCache>
            </c:strRef>
          </c:cat>
          <c:val>
            <c:numRef>
              <c:f>'[4]Valuation &amp; Estimates'!$AP$95:$AS$95</c:f>
              <c:numCache>
                <c:formatCode>General</c:formatCode>
                <c:ptCount val="4"/>
                <c:pt idx="0">
                  <c:v>0</c:v>
                </c:pt>
                <c:pt idx="1">
                  <c:v>0.15</c:v>
                </c:pt>
                <c:pt idx="2">
                  <c:v>0.17549059891493748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28-4820-8F57-70B6420B50E7}"/>
            </c:ext>
          </c:extLst>
        </c:ser>
        <c:ser>
          <c:idx val="1"/>
          <c:order val="1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0728-4820-8F57-70B6420B50E7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0728-4820-8F57-70B6420B50E7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0728-4820-8F57-70B6420B50E7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0728-4820-8F57-70B6420B50E7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0728-4820-8F57-70B6420B50E7}"/>
              </c:ext>
            </c:extLst>
          </c:dPt>
          <c:dLbls>
            <c:dLbl>
              <c:idx val="2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B-0728-4820-8F57-70B6420B50E7}"/>
                </c:ext>
              </c:extLst>
            </c:dLbl>
            <c:dLbl>
              <c:idx val="3"/>
              <c:layout>
                <c:manualLayout>
                  <c:x val="0"/>
                  <c:y val="4.3482554962239184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728-4820-8F57-70B6420B50E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'[4]Valuation &amp; Estimates'!$AP$80:$AS$80</c:f>
              <c:strCache>
                <c:ptCount val="4"/>
                <c:pt idx="0">
                  <c:v>TSR (%) - May '19</c:v>
                </c:pt>
                <c:pt idx="1">
                  <c:v>Interim Dividend***</c:v>
                </c:pt>
                <c:pt idx="2">
                  <c:v>ER/Multiple Expansion</c:v>
                </c:pt>
                <c:pt idx="3">
                  <c:v>TSR (%) Dec. '19</c:v>
                </c:pt>
              </c:strCache>
            </c:strRef>
          </c:cat>
          <c:val>
            <c:numRef>
              <c:f>'[4]Valuation &amp; Estimates'!$AP$96:$AS$96</c:f>
              <c:numCache>
                <c:formatCode>General</c:formatCode>
                <c:ptCount val="4"/>
                <c:pt idx="0">
                  <c:v>0.15</c:v>
                </c:pt>
                <c:pt idx="1">
                  <c:v>2.549059891493749E-2</c:v>
                </c:pt>
                <c:pt idx="2">
                  <c:v>0.16</c:v>
                </c:pt>
                <c:pt idx="3">
                  <c:v>0.33549059891493749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728-4820-8F57-70B6420B5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7033344"/>
        <c:axId val="107034880"/>
      </c:barChart>
      <c:catAx>
        <c:axId val="107033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34880"/>
        <c:crosses val="autoZero"/>
        <c:auto val="1"/>
        <c:lblAlgn val="ctr"/>
        <c:lblOffset val="100"/>
        <c:noMultiLvlLbl val="0"/>
      </c:catAx>
      <c:valAx>
        <c:axId val="107034880"/>
        <c:scaling>
          <c:orientation val="minMax"/>
          <c:min val="5.000000000000001E-2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33344"/>
        <c:crosses val="autoZero"/>
        <c:crossBetween val="between"/>
      </c:valAx>
      <c:spPr>
        <a:solidFill>
          <a:schemeClr val="tx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tx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834745048464982"/>
          <c:y val="9.3074650403093387E-2"/>
          <c:w val="0.78902678896877632"/>
          <c:h val="0.697584448369616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'[4]Valuation &amp; Estimates'!$I$92</c:f>
              <c:strCache>
                <c:ptCount val="1"/>
                <c:pt idx="0">
                  <c:v>BI - Base Case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&quot;$&quot;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'[4]Valuation &amp; Estimates'!$H$98:$H$99</c:f>
              <c:strCache>
                <c:ptCount val="2"/>
                <c:pt idx="0">
                  <c:v>CY '19</c:v>
                </c:pt>
                <c:pt idx="1">
                  <c:v>CY '20</c:v>
                </c:pt>
              </c:strCache>
            </c:strRef>
          </c:cat>
          <c:val>
            <c:numRef>
              <c:f>'[4]Valuation &amp; Estimates'!$I$98:$I$99</c:f>
              <c:numCache>
                <c:formatCode>General</c:formatCode>
                <c:ptCount val="2"/>
                <c:pt idx="0">
                  <c:v>26.043290488777778</c:v>
                </c:pt>
                <c:pt idx="1">
                  <c:v>24.726501541153592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C2-4453-BE97-96C65730C1F4}"/>
            </c:ext>
          </c:extLst>
        </c:ser>
        <c:ser>
          <c:idx val="1"/>
          <c:order val="1"/>
          <c:tx>
            <c:strRef>
              <c:f>'[4]Valuation &amp; Estimates'!$J$92</c:f>
              <c:strCache>
                <c:ptCount val="1"/>
                <c:pt idx="0">
                  <c:v>BI - Spot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&quot;$&quot;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'[4]Valuation &amp; Estimates'!$H$98:$H$99</c:f>
              <c:strCache>
                <c:ptCount val="2"/>
                <c:pt idx="0">
                  <c:v>CY '19</c:v>
                </c:pt>
                <c:pt idx="1">
                  <c:v>CY '20</c:v>
                </c:pt>
              </c:strCache>
            </c:strRef>
          </c:cat>
          <c:val>
            <c:numRef>
              <c:f>'[4]Valuation &amp; Estimates'!$J$98:$J$99</c:f>
              <c:numCache>
                <c:formatCode>General</c:formatCode>
                <c:ptCount val="2"/>
                <c:pt idx="0">
                  <c:v>26.575135276281049</c:v>
                </c:pt>
                <c:pt idx="1">
                  <c:v>27.234275164748563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C2-4453-BE97-96C65730C1F4}"/>
            </c:ext>
          </c:extLst>
        </c:ser>
        <c:ser>
          <c:idx val="2"/>
          <c:order val="2"/>
          <c:tx>
            <c:strRef>
              <c:f>'[4]Valuation &amp; Estimates'!$K$92</c:f>
              <c:strCache>
                <c:ptCount val="1"/>
                <c:pt idx="0">
                  <c:v>Consensus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&quot;$&quot;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'[4]Valuation &amp; Estimates'!$H$98:$H$99</c:f>
              <c:strCache>
                <c:ptCount val="2"/>
                <c:pt idx="0">
                  <c:v>CY '19</c:v>
                </c:pt>
                <c:pt idx="1">
                  <c:v>CY '20</c:v>
                </c:pt>
              </c:strCache>
            </c:strRef>
          </c:cat>
          <c:val>
            <c:numRef>
              <c:f>'[4]Valuation &amp; Estimates'!$K$98:$K$99</c:f>
              <c:numCache>
                <c:formatCode>General</c:formatCode>
                <c:ptCount val="2"/>
                <c:pt idx="0">
                  <c:v>25.2</c:v>
                </c:pt>
                <c:pt idx="1">
                  <c:v>25.14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C2-4453-BE97-96C65730C1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7904880"/>
        <c:axId val="1097908816"/>
      </c:barChart>
      <c:catAx>
        <c:axId val="109790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908816"/>
        <c:crosses val="autoZero"/>
        <c:auto val="1"/>
        <c:lblAlgn val="ctr"/>
        <c:lblOffset val="100"/>
        <c:noMultiLvlLbl val="0"/>
      </c:catAx>
      <c:valAx>
        <c:axId val="1097908816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>
                    <a:solidFill>
                      <a:schemeClr val="bg1"/>
                    </a:solidFill>
                  </a:rPr>
                  <a:t>Billion USD ($)</a:t>
                </a:r>
              </a:p>
            </c:rich>
          </c:tx>
          <c:layout>
            <c:manualLayout>
              <c:xMode val="edge"/>
              <c:yMode val="edge"/>
              <c:x val="1.0121135443701312E-2"/>
              <c:y val="0.22357228475028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904880"/>
        <c:crosses val="autoZero"/>
        <c:crossBetween val="between"/>
      </c:valAx>
      <c:spPr>
        <a:solidFill>
          <a:schemeClr val="tx1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839090817470746"/>
          <c:y val="0.88290465662767381"/>
          <c:w val="0.60577193303623555"/>
          <c:h val="7.74430910704660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FCFE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Graphs!$B$2</c:f>
              <c:strCache>
                <c:ptCount val="1"/>
                <c:pt idx="0">
                  <c:v>Median Consensus Prices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Graphs!$C$1:$J$1</c:f>
              <c:numCache>
                <c:formatCode>General</c:formatCode>
                <c:ptCount val="8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</c:numCache>
            </c:numRef>
          </c:cat>
          <c:val>
            <c:numRef>
              <c:f>Graphs!$C$2:$J$2</c:f>
              <c:numCache>
                <c:formatCode>_(* #,##0_);_(* \(#,##0\);_(* "-"??_);_(@_)</c:formatCode>
                <c:ptCount val="8"/>
                <c:pt idx="0">
                  <c:v>-2579.2300031545637</c:v>
                </c:pt>
                <c:pt idx="1">
                  <c:v>-2518.2594032486904</c:v>
                </c:pt>
                <c:pt idx="2">
                  <c:v>-1060.3512514931447</c:v>
                </c:pt>
                <c:pt idx="3">
                  <c:v>1029.5546261104701</c:v>
                </c:pt>
                <c:pt idx="4">
                  <c:v>1760.6226982806822</c:v>
                </c:pt>
                <c:pt idx="5">
                  <c:v>1872.617209456603</c:v>
                </c:pt>
                <c:pt idx="6">
                  <c:v>1850.5705612699546</c:v>
                </c:pt>
                <c:pt idx="7">
                  <c:v>1470.5553789306146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65-4A4B-A0DE-08F393697DEE}"/>
            </c:ext>
          </c:extLst>
        </c:ser>
        <c:ser>
          <c:idx val="1"/>
          <c:order val="1"/>
          <c:tx>
            <c:strRef>
              <c:f>Graphs!$B$3</c:f>
              <c:strCache>
                <c:ptCount val="1"/>
                <c:pt idx="0">
                  <c:v>Spot Prices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Graphs!$C$1:$J$1</c:f>
              <c:numCache>
                <c:formatCode>General</c:formatCode>
                <c:ptCount val="8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</c:numCache>
            </c:numRef>
          </c:cat>
          <c:val>
            <c:numRef>
              <c:f>Graphs!$C$3:$J$3</c:f>
              <c:numCache>
                <c:formatCode>_(* #,##0_);_(* \(#,##0\);_(* "-"??_);_(@_)</c:formatCode>
                <c:ptCount val="8"/>
                <c:pt idx="0">
                  <c:v>-2669.6137021128438</c:v>
                </c:pt>
                <c:pt idx="1">
                  <c:v>-2978.1818419216547</c:v>
                </c:pt>
                <c:pt idx="2">
                  <c:v>-1888.374112633659</c:v>
                </c:pt>
                <c:pt idx="3">
                  <c:v>-57.648105992157298</c:v>
                </c:pt>
                <c:pt idx="4">
                  <c:v>64.402125003214366</c:v>
                </c:pt>
                <c:pt idx="5">
                  <c:v>77.511932832649933</c:v>
                </c:pt>
                <c:pt idx="6">
                  <c:v>55.482941217177455</c:v>
                </c:pt>
                <c:pt idx="7">
                  <c:v>-324.51956442820688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65-4A4B-A0DE-08F393697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7447424"/>
        <c:axId val="827449504"/>
      </c:barChart>
      <c:catAx>
        <c:axId val="82744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449504"/>
        <c:crosses val="autoZero"/>
        <c:auto val="1"/>
        <c:lblAlgn val="ctr"/>
        <c:lblOffset val="100"/>
        <c:noMultiLvlLbl val="0"/>
      </c:catAx>
      <c:valAx>
        <c:axId val="827449504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44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96201826752847"/>
          <c:y val="7.9847908745247151E-2"/>
          <c:w val="0.85778788074473444"/>
          <c:h val="0.86847525355681665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'[4]Valuation &amp; Estimates'!$AL$80:$AS$80</c:f>
              <c:strCache>
                <c:ptCount val="8"/>
                <c:pt idx="0">
                  <c:v>Special Dividend*</c:v>
                </c:pt>
                <c:pt idx="1">
                  <c:v>Interim Dividend**</c:v>
                </c:pt>
                <c:pt idx="2">
                  <c:v>Earnings Revision</c:v>
                </c:pt>
                <c:pt idx="3">
                  <c:v>Multiple Expansion</c:v>
                </c:pt>
                <c:pt idx="4">
                  <c:v>TSR (%) - May '19</c:v>
                </c:pt>
                <c:pt idx="5">
                  <c:v>Interim Dividend***</c:v>
                </c:pt>
                <c:pt idx="6">
                  <c:v>ER/Multiple Expansion</c:v>
                </c:pt>
                <c:pt idx="7">
                  <c:v>TSR (%) Dec. '19</c:v>
                </c:pt>
              </c:strCache>
            </c:strRef>
          </c:cat>
          <c:val>
            <c:numRef>
              <c:f>'[4]Valuation &amp; Estimates'!$AL$81:$AS$81</c:f>
              <c:numCache>
                <c:formatCode>General</c:formatCode>
                <c:ptCount val="8"/>
                <c:pt idx="0">
                  <c:v>0</c:v>
                </c:pt>
                <c:pt idx="1">
                  <c:v>4.2742001139786698E-2</c:v>
                </c:pt>
                <c:pt idx="2">
                  <c:v>6.3371771774245925E-2</c:v>
                </c:pt>
                <c:pt idx="3">
                  <c:v>0.14494496915225019</c:v>
                </c:pt>
                <c:pt idx="4">
                  <c:v>0</c:v>
                </c:pt>
                <c:pt idx="5">
                  <c:v>0.12805307726035831</c:v>
                </c:pt>
                <c:pt idx="6">
                  <c:v>0.1535436761752958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95-480E-9351-9C269D21E259}"/>
            </c:ext>
          </c:extLst>
        </c:ser>
        <c:ser>
          <c:idx val="1"/>
          <c:order val="1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4C95-480E-9351-9C269D21E259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4C95-480E-9351-9C269D21E259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4C95-480E-9351-9C269D21E259}"/>
              </c:ext>
            </c:extLst>
          </c:dPt>
          <c:dLbls>
            <c:dLbl>
              <c:idx val="3"/>
              <c:layout>
                <c:manualLayout>
                  <c:x val="0"/>
                  <c:y val="4.3482554962239184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C95-480E-9351-9C269D21E25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'[4]Valuation &amp; Estimates'!$AL$80:$AS$80</c:f>
              <c:strCache>
                <c:ptCount val="8"/>
                <c:pt idx="0">
                  <c:v>Special Dividend*</c:v>
                </c:pt>
                <c:pt idx="1">
                  <c:v>Interim Dividend**</c:v>
                </c:pt>
                <c:pt idx="2">
                  <c:v>Earnings Revision</c:v>
                </c:pt>
                <c:pt idx="3">
                  <c:v>Multiple Expansion</c:v>
                </c:pt>
                <c:pt idx="4">
                  <c:v>TSR (%) - May '19</c:v>
                </c:pt>
                <c:pt idx="5">
                  <c:v>Interim Dividend***</c:v>
                </c:pt>
                <c:pt idx="6">
                  <c:v>ER/Multiple Expansion</c:v>
                </c:pt>
                <c:pt idx="7">
                  <c:v>TSR (%) Dec. '19</c:v>
                </c:pt>
              </c:strCache>
            </c:strRef>
          </c:cat>
          <c:val>
            <c:numRef>
              <c:f>'[4]Valuation &amp; Estimates'!$AL$82:$AS$82</c:f>
              <c:numCache>
                <c:formatCode>General</c:formatCode>
                <c:ptCount val="8"/>
                <c:pt idx="0">
                  <c:v>4.2742001139786698E-2</c:v>
                </c:pt>
                <c:pt idx="1">
                  <c:v>2.0629770634459223E-2</c:v>
                </c:pt>
                <c:pt idx="2">
                  <c:v>8.1573197378004281E-2</c:v>
                </c:pt>
                <c:pt idx="3">
                  <c:v>-1.6891891891891886E-2</c:v>
                </c:pt>
                <c:pt idx="4">
                  <c:v>0.12805307726035831</c:v>
                </c:pt>
                <c:pt idx="5">
                  <c:v>2.549059891493749E-2</c:v>
                </c:pt>
                <c:pt idx="6">
                  <c:v>0</c:v>
                </c:pt>
                <c:pt idx="7">
                  <c:v>0.1535436761752958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C95-480E-9351-9C269D21E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988416"/>
        <c:axId val="98989952"/>
      </c:barChart>
      <c:catAx>
        <c:axId val="9898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89952"/>
        <c:crosses val="autoZero"/>
        <c:auto val="1"/>
        <c:lblAlgn val="ctr"/>
        <c:lblOffset val="100"/>
        <c:noMultiLvlLbl val="0"/>
      </c:catAx>
      <c:valAx>
        <c:axId val="98989952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88416"/>
        <c:crosses val="autoZero"/>
        <c:crossBetween val="between"/>
      </c:valAx>
      <c:spPr>
        <a:solidFill>
          <a:schemeClr val="tx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tx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24015675507531"/>
          <c:y val="7.9847908745247151E-2"/>
          <c:w val="0.82050981097344378"/>
          <c:h val="0.86848778410897387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'[4]Valuation &amp; Estimates'!$AL$80:$AS$80</c:f>
              <c:strCache>
                <c:ptCount val="8"/>
                <c:pt idx="0">
                  <c:v>Special Dividend*</c:v>
                </c:pt>
                <c:pt idx="1">
                  <c:v>Interim Dividend**</c:v>
                </c:pt>
                <c:pt idx="2">
                  <c:v>Earnings Revision</c:v>
                </c:pt>
                <c:pt idx="3">
                  <c:v>Multiple Expansion</c:v>
                </c:pt>
                <c:pt idx="4">
                  <c:v>TSR (%) - May '19</c:v>
                </c:pt>
                <c:pt idx="5">
                  <c:v>Interim Dividend***</c:v>
                </c:pt>
                <c:pt idx="6">
                  <c:v>ER/Multiple Expansion</c:v>
                </c:pt>
                <c:pt idx="7">
                  <c:v>TSR (%) Dec. '19</c:v>
                </c:pt>
              </c:strCache>
            </c:strRef>
          </c:cat>
          <c:val>
            <c:numRef>
              <c:f>'[4]Valuation &amp; Estimates'!$AL$85:$AS$85</c:f>
              <c:numCache>
                <c:formatCode>General</c:formatCode>
                <c:ptCount val="8"/>
                <c:pt idx="0">
                  <c:v>0</c:v>
                </c:pt>
                <c:pt idx="1">
                  <c:v>4.2742001139786698E-2</c:v>
                </c:pt>
                <c:pt idx="2">
                  <c:v>6.3371771774245925E-2</c:v>
                </c:pt>
                <c:pt idx="3">
                  <c:v>0.14494496915225019</c:v>
                </c:pt>
                <c:pt idx="4">
                  <c:v>0</c:v>
                </c:pt>
                <c:pt idx="5">
                  <c:v>0.12805307726035831</c:v>
                </c:pt>
                <c:pt idx="6">
                  <c:v>0.1535436761752958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CE-4A3B-AB7B-18735BA0E8D0}"/>
            </c:ext>
          </c:extLst>
        </c:ser>
        <c:ser>
          <c:idx val="1"/>
          <c:order val="1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2CE-4A3B-AB7B-18735BA0E8D0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A2CE-4A3B-AB7B-18735BA0E8D0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A2CE-4A3B-AB7B-18735BA0E8D0}"/>
              </c:ext>
            </c:extLst>
          </c:dPt>
          <c:dLbls>
            <c:dLbl>
              <c:idx val="3"/>
              <c:layout>
                <c:manualLayout>
                  <c:x val="0"/>
                  <c:y val="4.3489667845356961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2CE-4A3B-AB7B-18735BA0E8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'[4]Valuation &amp; Estimates'!$AL$80:$AS$80</c:f>
              <c:strCache>
                <c:ptCount val="8"/>
                <c:pt idx="0">
                  <c:v>Special Dividend*</c:v>
                </c:pt>
                <c:pt idx="1">
                  <c:v>Interim Dividend**</c:v>
                </c:pt>
                <c:pt idx="2">
                  <c:v>Earnings Revision</c:v>
                </c:pt>
                <c:pt idx="3">
                  <c:v>Multiple Expansion</c:v>
                </c:pt>
                <c:pt idx="4">
                  <c:v>TSR (%) - May '19</c:v>
                </c:pt>
                <c:pt idx="5">
                  <c:v>Interim Dividend***</c:v>
                </c:pt>
                <c:pt idx="6">
                  <c:v>ER/Multiple Expansion</c:v>
                </c:pt>
                <c:pt idx="7">
                  <c:v>TSR (%) Dec. '19</c:v>
                </c:pt>
              </c:strCache>
            </c:strRef>
          </c:cat>
          <c:val>
            <c:numRef>
              <c:f>'[4]Valuation &amp; Estimates'!$AL$86:$AS$86</c:f>
              <c:numCache>
                <c:formatCode>General</c:formatCode>
                <c:ptCount val="8"/>
                <c:pt idx="0">
                  <c:v>4.2742001139786698E-2</c:v>
                </c:pt>
                <c:pt idx="1">
                  <c:v>2.0629770634459223E-2</c:v>
                </c:pt>
                <c:pt idx="2">
                  <c:v>8.1573197378004281E-2</c:v>
                </c:pt>
                <c:pt idx="3">
                  <c:v>-1.6891891891891886E-2</c:v>
                </c:pt>
                <c:pt idx="4">
                  <c:v>0.12805307726035831</c:v>
                </c:pt>
                <c:pt idx="5">
                  <c:v>2.549059891493749E-2</c:v>
                </c:pt>
                <c:pt idx="6">
                  <c:v>5.4568860169882827E-2</c:v>
                </c:pt>
                <c:pt idx="7">
                  <c:v>0.20811253634517862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2CE-4A3B-AB7B-18735BA0E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368320"/>
        <c:axId val="99374208"/>
      </c:barChart>
      <c:catAx>
        <c:axId val="9936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74208"/>
        <c:crosses val="autoZero"/>
        <c:auto val="1"/>
        <c:lblAlgn val="ctr"/>
        <c:lblOffset val="100"/>
        <c:noMultiLvlLbl val="0"/>
      </c:catAx>
      <c:valAx>
        <c:axId val="9937420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68320"/>
        <c:crosses val="autoZero"/>
        <c:crossBetween val="between"/>
      </c:valAx>
      <c:spPr>
        <a:solidFill>
          <a:schemeClr val="tx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tx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24015675507531"/>
          <c:y val="7.9847908745247151E-2"/>
          <c:w val="0.82050981097344378"/>
          <c:h val="0.75795385249604541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'[4]Valuation &amp; Estimates'!$AL$80:$AV$80</c:f>
              <c:strCache>
                <c:ptCount val="11"/>
                <c:pt idx="0">
                  <c:v>Special Dividend*</c:v>
                </c:pt>
                <c:pt idx="1">
                  <c:v>Interim Dividend**</c:v>
                </c:pt>
                <c:pt idx="2">
                  <c:v>Earnings Revision</c:v>
                </c:pt>
                <c:pt idx="3">
                  <c:v>Multiple Expansion</c:v>
                </c:pt>
                <c:pt idx="4">
                  <c:v>TSR (%) - May '19</c:v>
                </c:pt>
                <c:pt idx="5">
                  <c:v>Interim Dividend***</c:v>
                </c:pt>
                <c:pt idx="6">
                  <c:v>ER/Multiple Expansion</c:v>
                </c:pt>
                <c:pt idx="7">
                  <c:v>TSR (%) Dec. '19</c:v>
                </c:pt>
                <c:pt idx="8">
                  <c:v>Interim Dividend***</c:v>
                </c:pt>
                <c:pt idx="9">
                  <c:v>ER/Multiple Expansion</c:v>
                </c:pt>
                <c:pt idx="10">
                  <c:v>TSR (%) Dec. '20</c:v>
                </c:pt>
              </c:strCache>
            </c:strRef>
          </c:cat>
          <c:val>
            <c:numRef>
              <c:f>'[4]Valuation &amp; Estimates'!$AL$85:$AV$85</c:f>
              <c:numCache>
                <c:formatCode>General</c:formatCode>
                <c:ptCount val="11"/>
                <c:pt idx="0">
                  <c:v>0</c:v>
                </c:pt>
                <c:pt idx="1">
                  <c:v>4.2742001139786698E-2</c:v>
                </c:pt>
                <c:pt idx="2">
                  <c:v>6.3371771774245925E-2</c:v>
                </c:pt>
                <c:pt idx="3">
                  <c:v>0.14494496915225019</c:v>
                </c:pt>
                <c:pt idx="4">
                  <c:v>0</c:v>
                </c:pt>
                <c:pt idx="5">
                  <c:v>0.12805307726035831</c:v>
                </c:pt>
                <c:pt idx="6">
                  <c:v>0.1535436761752958</c:v>
                </c:pt>
                <c:pt idx="7">
                  <c:v>0</c:v>
                </c:pt>
                <c:pt idx="8">
                  <c:v>0.20811253634517862</c:v>
                </c:pt>
                <c:pt idx="9">
                  <c:v>0.27311253634517862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4C-4F64-92BA-5E19AFB3008E}"/>
            </c:ext>
          </c:extLst>
        </c:ser>
        <c:ser>
          <c:idx val="1"/>
          <c:order val="1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FC4C-4F64-92BA-5E19AFB3008E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FC4C-4F64-92BA-5E19AFB3008E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FC4C-4F64-92BA-5E19AFB3008E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C4C-4F64-92BA-5E19AFB3008E}"/>
              </c:ext>
            </c:extLst>
          </c:dPt>
          <c:dLbls>
            <c:dLbl>
              <c:idx val="3"/>
              <c:layout>
                <c:manualLayout>
                  <c:x val="-5.3139482746518232E-17"/>
                  <c:y val="4.6835014573381344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C4C-4F64-92BA-5E19AFB300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'[4]Valuation &amp; Estimates'!$AL$80:$AV$80</c:f>
              <c:strCache>
                <c:ptCount val="11"/>
                <c:pt idx="0">
                  <c:v>Special Dividend*</c:v>
                </c:pt>
                <c:pt idx="1">
                  <c:v>Interim Dividend**</c:v>
                </c:pt>
                <c:pt idx="2">
                  <c:v>Earnings Revision</c:v>
                </c:pt>
                <c:pt idx="3">
                  <c:v>Multiple Expansion</c:v>
                </c:pt>
                <c:pt idx="4">
                  <c:v>TSR (%) - May '19</c:v>
                </c:pt>
                <c:pt idx="5">
                  <c:v>Interim Dividend***</c:v>
                </c:pt>
                <c:pt idx="6">
                  <c:v>ER/Multiple Expansion</c:v>
                </c:pt>
                <c:pt idx="7">
                  <c:v>TSR (%) Dec. '19</c:v>
                </c:pt>
                <c:pt idx="8">
                  <c:v>Interim Dividend***</c:v>
                </c:pt>
                <c:pt idx="9">
                  <c:v>ER/Multiple Expansion</c:v>
                </c:pt>
                <c:pt idx="10">
                  <c:v>TSR (%) Dec. '20</c:v>
                </c:pt>
              </c:strCache>
            </c:strRef>
          </c:cat>
          <c:val>
            <c:numRef>
              <c:f>'[4]Valuation &amp; Estimates'!$AL$86:$AV$86</c:f>
              <c:numCache>
                <c:formatCode>General</c:formatCode>
                <c:ptCount val="11"/>
                <c:pt idx="0">
                  <c:v>4.2742001139786698E-2</c:v>
                </c:pt>
                <c:pt idx="1">
                  <c:v>2.0629770634459223E-2</c:v>
                </c:pt>
                <c:pt idx="2">
                  <c:v>8.1573197378004281E-2</c:v>
                </c:pt>
                <c:pt idx="3">
                  <c:v>-1.6891891891891886E-2</c:v>
                </c:pt>
                <c:pt idx="4">
                  <c:v>0.12805307726035831</c:v>
                </c:pt>
                <c:pt idx="5">
                  <c:v>2.549059891493749E-2</c:v>
                </c:pt>
                <c:pt idx="6">
                  <c:v>5.4568860169882827E-2</c:v>
                </c:pt>
                <c:pt idx="7">
                  <c:v>0.20811253634517862</c:v>
                </c:pt>
                <c:pt idx="8">
                  <c:v>6.5000000000000002E-2</c:v>
                </c:pt>
                <c:pt idx="9">
                  <c:v>7.2999999999999995E-2</c:v>
                </c:pt>
                <c:pt idx="10">
                  <c:v>0.34611253634517863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C4C-4F64-92BA-5E19AFB30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411840"/>
        <c:axId val="99413376"/>
      </c:barChart>
      <c:catAx>
        <c:axId val="9941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13376"/>
        <c:crosses val="autoZero"/>
        <c:auto val="1"/>
        <c:lblAlgn val="ctr"/>
        <c:lblOffset val="100"/>
        <c:noMultiLvlLbl val="0"/>
      </c:catAx>
      <c:valAx>
        <c:axId val="9941337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11840"/>
        <c:crosses val="autoZero"/>
        <c:crossBetween val="between"/>
      </c:valAx>
      <c:spPr>
        <a:solidFill>
          <a:schemeClr val="tx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tx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834745048464982"/>
          <c:y val="9.3074650403093387E-2"/>
          <c:w val="0.78902678896877632"/>
          <c:h val="0.697584448369616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'[4]Valuation &amp; Estimates'!$I$92</c:f>
              <c:strCache>
                <c:ptCount val="1"/>
                <c:pt idx="0">
                  <c:v>BI - Base Case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'[4]Valuation &amp; Estimates'!$H$93:$H$94</c:f>
              <c:numCache>
                <c:formatCode>General</c:formatCode>
                <c:ptCount val="2"/>
                <c:pt idx="0">
                  <c:v>2019</c:v>
                </c:pt>
                <c:pt idx="1">
                  <c:v>2020</c:v>
                </c:pt>
              </c:numCache>
            </c:numRef>
          </c:cat>
          <c:val>
            <c:numRef>
              <c:f>'[4]Valuation &amp; Estimates'!$I$93:$I$94</c:f>
              <c:numCache>
                <c:formatCode>General</c:formatCode>
                <c:ptCount val="2"/>
                <c:pt idx="0">
                  <c:v>26043.290488777777</c:v>
                </c:pt>
                <c:pt idx="1">
                  <c:v>24726.501541153593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F5-45B6-91F4-67F9FC3E7FBA}"/>
            </c:ext>
          </c:extLst>
        </c:ser>
        <c:ser>
          <c:idx val="1"/>
          <c:order val="1"/>
          <c:tx>
            <c:strRef>
              <c:f>'[4]Valuation &amp; Estimates'!$J$92</c:f>
              <c:strCache>
                <c:ptCount val="1"/>
                <c:pt idx="0">
                  <c:v>BI - Spot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'[4]Valuation &amp; Estimates'!$H$93:$H$94</c:f>
              <c:numCache>
                <c:formatCode>General</c:formatCode>
                <c:ptCount val="2"/>
                <c:pt idx="0">
                  <c:v>2019</c:v>
                </c:pt>
                <c:pt idx="1">
                  <c:v>2020</c:v>
                </c:pt>
              </c:numCache>
            </c:numRef>
          </c:cat>
          <c:val>
            <c:numRef>
              <c:f>'[4]Valuation &amp; Estimates'!$J$93:$J$94</c:f>
              <c:numCache>
                <c:formatCode>General</c:formatCode>
                <c:ptCount val="2"/>
                <c:pt idx="0">
                  <c:v>26575.135276281049</c:v>
                </c:pt>
                <c:pt idx="1">
                  <c:v>27234.275164748564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F5-45B6-91F4-67F9FC3E7FBA}"/>
            </c:ext>
          </c:extLst>
        </c:ser>
        <c:ser>
          <c:idx val="2"/>
          <c:order val="2"/>
          <c:tx>
            <c:strRef>
              <c:f>'[4]Valuation &amp; Estimates'!$K$92</c:f>
              <c:strCache>
                <c:ptCount val="1"/>
                <c:pt idx="0">
                  <c:v>Consensus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'[4]Valuation &amp; Estimates'!$H$93:$H$94</c:f>
              <c:numCache>
                <c:formatCode>General</c:formatCode>
                <c:ptCount val="2"/>
                <c:pt idx="0">
                  <c:v>2019</c:v>
                </c:pt>
                <c:pt idx="1">
                  <c:v>2020</c:v>
                </c:pt>
              </c:numCache>
            </c:numRef>
          </c:cat>
          <c:val>
            <c:numRef>
              <c:f>'[4]Valuation &amp; Estimates'!$K$93:$K$94</c:f>
              <c:numCache>
                <c:formatCode>General</c:formatCode>
                <c:ptCount val="2"/>
                <c:pt idx="0">
                  <c:v>25200</c:v>
                </c:pt>
                <c:pt idx="1">
                  <c:v>25140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F5-45B6-91F4-67F9FC3E7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469184"/>
        <c:axId val="99470720"/>
      </c:barChart>
      <c:catAx>
        <c:axId val="9946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70720"/>
        <c:crosses val="autoZero"/>
        <c:auto val="1"/>
        <c:lblAlgn val="ctr"/>
        <c:lblOffset val="100"/>
        <c:noMultiLvlLbl val="0"/>
      </c:catAx>
      <c:valAx>
        <c:axId val="99470720"/>
        <c:scaling>
          <c:orientation val="minMax"/>
          <c:min val="1500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69184"/>
        <c:crosses val="autoZero"/>
        <c:crossBetween val="between"/>
      </c:valAx>
      <c:spPr>
        <a:solidFill>
          <a:schemeClr val="tx1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834745048464982"/>
          <c:y val="9.3074650403093387E-2"/>
          <c:w val="0.78902678896877632"/>
          <c:h val="0.697584448369616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'[4]Valuation &amp; Estimates'!$I$92</c:f>
              <c:strCache>
                <c:ptCount val="1"/>
                <c:pt idx="0">
                  <c:v>BI - Base Case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&quot;$&quot;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'[4]Valuation &amp; Estimates'!$H$98:$H$99</c:f>
              <c:strCache>
                <c:ptCount val="2"/>
                <c:pt idx="0">
                  <c:v>CY '19</c:v>
                </c:pt>
                <c:pt idx="1">
                  <c:v>CY '20</c:v>
                </c:pt>
              </c:strCache>
            </c:strRef>
          </c:cat>
          <c:val>
            <c:numRef>
              <c:f>'[4]Valuation &amp; Estimates'!$I$98:$I$99</c:f>
              <c:numCache>
                <c:formatCode>General</c:formatCode>
                <c:ptCount val="2"/>
                <c:pt idx="0">
                  <c:v>26.043290488777778</c:v>
                </c:pt>
                <c:pt idx="1">
                  <c:v>24.726501541153592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89-4856-BA59-6DDBDC682B32}"/>
            </c:ext>
          </c:extLst>
        </c:ser>
        <c:ser>
          <c:idx val="1"/>
          <c:order val="1"/>
          <c:tx>
            <c:strRef>
              <c:f>'[4]Valuation &amp; Estimates'!$J$92</c:f>
              <c:strCache>
                <c:ptCount val="1"/>
                <c:pt idx="0">
                  <c:v>BI - Spot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&quot;$&quot;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'[4]Valuation &amp; Estimates'!$H$98:$H$99</c:f>
              <c:strCache>
                <c:ptCount val="2"/>
                <c:pt idx="0">
                  <c:v>CY '19</c:v>
                </c:pt>
                <c:pt idx="1">
                  <c:v>CY '20</c:v>
                </c:pt>
              </c:strCache>
            </c:strRef>
          </c:cat>
          <c:val>
            <c:numRef>
              <c:f>'[4]Valuation &amp; Estimates'!$J$98:$J$99</c:f>
              <c:numCache>
                <c:formatCode>General</c:formatCode>
                <c:ptCount val="2"/>
                <c:pt idx="0">
                  <c:v>26.575135276281049</c:v>
                </c:pt>
                <c:pt idx="1">
                  <c:v>27.234275164748563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89-4856-BA59-6DDBDC682B32}"/>
            </c:ext>
          </c:extLst>
        </c:ser>
        <c:ser>
          <c:idx val="2"/>
          <c:order val="2"/>
          <c:tx>
            <c:strRef>
              <c:f>'[4]Valuation &amp; Estimates'!$K$92</c:f>
              <c:strCache>
                <c:ptCount val="1"/>
                <c:pt idx="0">
                  <c:v>Consensus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&quot;$&quot;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'[4]Valuation &amp; Estimates'!$H$98:$H$99</c:f>
              <c:strCache>
                <c:ptCount val="2"/>
                <c:pt idx="0">
                  <c:v>CY '19</c:v>
                </c:pt>
                <c:pt idx="1">
                  <c:v>CY '20</c:v>
                </c:pt>
              </c:strCache>
            </c:strRef>
          </c:cat>
          <c:val>
            <c:numRef>
              <c:f>'[4]Valuation &amp; Estimates'!$K$98:$K$99</c:f>
              <c:numCache>
                <c:formatCode>General</c:formatCode>
                <c:ptCount val="2"/>
                <c:pt idx="0">
                  <c:v>25.2</c:v>
                </c:pt>
                <c:pt idx="1">
                  <c:v>25.14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89-4856-BA59-6DDBDC682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506816"/>
        <c:axId val="99529088"/>
      </c:barChart>
      <c:catAx>
        <c:axId val="9950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29088"/>
        <c:crosses val="autoZero"/>
        <c:auto val="1"/>
        <c:lblAlgn val="ctr"/>
        <c:lblOffset val="100"/>
        <c:noMultiLvlLbl val="0"/>
      </c:catAx>
      <c:valAx>
        <c:axId val="99529088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>
                    <a:solidFill>
                      <a:schemeClr val="bg1"/>
                    </a:solidFill>
                  </a:rPr>
                  <a:t>Billion USD ($)</a:t>
                </a:r>
              </a:p>
            </c:rich>
          </c:tx>
          <c:layout>
            <c:manualLayout>
              <c:xMode val="edge"/>
              <c:yMode val="edge"/>
              <c:x val="1.0121135443701312E-2"/>
              <c:y val="0.22357228475028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06816"/>
        <c:crosses val="autoZero"/>
        <c:crossBetween val="between"/>
      </c:valAx>
      <c:spPr>
        <a:solidFill>
          <a:schemeClr val="tx1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839090817470746"/>
          <c:y val="0.88290465662767381"/>
          <c:w val="0.60577193303623555"/>
          <c:h val="7.74430910704660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96201826752847"/>
          <c:y val="7.9847908745247151E-2"/>
          <c:w val="0.85778788074473444"/>
          <c:h val="0.79475297508231213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'[4]Valuation &amp; Estimates'!$AP$80:$AS$80</c:f>
              <c:strCache>
                <c:ptCount val="4"/>
                <c:pt idx="0">
                  <c:v>TSR (%) - May '19</c:v>
                </c:pt>
                <c:pt idx="1">
                  <c:v>Interim Dividend***</c:v>
                </c:pt>
                <c:pt idx="2">
                  <c:v>ER/Multiple Expansion</c:v>
                </c:pt>
                <c:pt idx="3">
                  <c:v>TSR (%) Dec. '19</c:v>
                </c:pt>
              </c:strCache>
            </c:strRef>
          </c:cat>
          <c:val>
            <c:numRef>
              <c:f>'[4]Valuation &amp; Estimates'!$AP$91:$AS$91</c:f>
              <c:numCache>
                <c:formatCode>General</c:formatCode>
                <c:ptCount val="4"/>
                <c:pt idx="0">
                  <c:v>0</c:v>
                </c:pt>
                <c:pt idx="1">
                  <c:v>0.15</c:v>
                </c:pt>
                <c:pt idx="2">
                  <c:v>0.17549059891493748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E1-456C-98CC-49E0F443970A}"/>
            </c:ext>
          </c:extLst>
        </c:ser>
        <c:ser>
          <c:idx val="1"/>
          <c:order val="1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EE1-456C-98CC-49E0F443970A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AEE1-456C-98CC-49E0F443970A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AEE1-456C-98CC-49E0F443970A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AEE1-456C-98CC-49E0F443970A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AEE1-456C-98CC-49E0F443970A}"/>
              </c:ext>
            </c:extLst>
          </c:dPt>
          <c:dLbls>
            <c:dLbl>
              <c:idx val="2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B-AEE1-456C-98CC-49E0F443970A}"/>
                </c:ext>
              </c:extLst>
            </c:dLbl>
            <c:dLbl>
              <c:idx val="3"/>
              <c:layout>
                <c:manualLayout>
                  <c:x val="0"/>
                  <c:y val="4.3482554962239184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EE1-456C-98CC-49E0F443970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'[4]Valuation &amp; Estimates'!$AP$80:$AS$80</c:f>
              <c:strCache>
                <c:ptCount val="4"/>
                <c:pt idx="0">
                  <c:v>TSR (%) - May '19</c:v>
                </c:pt>
                <c:pt idx="1">
                  <c:v>Interim Dividend***</c:v>
                </c:pt>
                <c:pt idx="2">
                  <c:v>ER/Multiple Expansion</c:v>
                </c:pt>
                <c:pt idx="3">
                  <c:v>TSR (%) Dec. '19</c:v>
                </c:pt>
              </c:strCache>
            </c:strRef>
          </c:cat>
          <c:val>
            <c:numRef>
              <c:f>'[4]Valuation &amp; Estimates'!$AP$92:$AS$92</c:f>
              <c:numCache>
                <c:formatCode>General</c:formatCode>
                <c:ptCount val="4"/>
                <c:pt idx="0">
                  <c:v>0.15</c:v>
                </c:pt>
                <c:pt idx="1">
                  <c:v>2.549059891493749E-2</c:v>
                </c:pt>
                <c:pt idx="2">
                  <c:v>0</c:v>
                </c:pt>
                <c:pt idx="3">
                  <c:v>0.17549059891493748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EE1-456C-98CC-49E0F4439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750272"/>
        <c:axId val="101751808"/>
      </c:barChart>
      <c:catAx>
        <c:axId val="10175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51808"/>
        <c:crosses val="autoZero"/>
        <c:auto val="1"/>
        <c:lblAlgn val="ctr"/>
        <c:lblOffset val="100"/>
        <c:noMultiLvlLbl val="0"/>
      </c:catAx>
      <c:valAx>
        <c:axId val="101751808"/>
        <c:scaling>
          <c:orientation val="minMax"/>
          <c:min val="0.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50272"/>
        <c:crosses val="autoZero"/>
        <c:crossBetween val="between"/>
      </c:valAx>
      <c:spPr>
        <a:solidFill>
          <a:schemeClr val="tx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tx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96201826752847"/>
          <c:y val="7.9847908745247151E-2"/>
          <c:w val="0.85778788074473444"/>
          <c:h val="0.79475297508231213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'[4]Valuation &amp; Estimates'!$AP$80:$AS$80</c:f>
              <c:strCache>
                <c:ptCount val="4"/>
                <c:pt idx="0">
                  <c:v>TSR (%) - May '19</c:v>
                </c:pt>
                <c:pt idx="1">
                  <c:v>Interim Dividend***</c:v>
                </c:pt>
                <c:pt idx="2">
                  <c:v>ER/Multiple Expansion</c:v>
                </c:pt>
                <c:pt idx="3">
                  <c:v>TSR (%) Dec. '19</c:v>
                </c:pt>
              </c:strCache>
            </c:strRef>
          </c:cat>
          <c:val>
            <c:numRef>
              <c:f>'[4]Valuation &amp; Estimates'!$AP$95:$AS$95</c:f>
              <c:numCache>
                <c:formatCode>General</c:formatCode>
                <c:ptCount val="4"/>
                <c:pt idx="0">
                  <c:v>0</c:v>
                </c:pt>
                <c:pt idx="1">
                  <c:v>0.15</c:v>
                </c:pt>
                <c:pt idx="2">
                  <c:v>0.17549059891493748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90-4141-9723-246630E47ABC}"/>
            </c:ext>
          </c:extLst>
        </c:ser>
        <c:ser>
          <c:idx val="1"/>
          <c:order val="1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DE90-4141-9723-246630E47ABC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DE90-4141-9723-246630E47ABC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DE90-4141-9723-246630E47ABC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DE90-4141-9723-246630E47ABC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DE90-4141-9723-246630E47ABC}"/>
              </c:ext>
            </c:extLst>
          </c:dPt>
          <c:dLbls>
            <c:dLbl>
              <c:idx val="2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B-DE90-4141-9723-246630E47ABC}"/>
                </c:ext>
              </c:extLst>
            </c:dLbl>
            <c:dLbl>
              <c:idx val="3"/>
              <c:layout>
                <c:manualLayout>
                  <c:x val="0"/>
                  <c:y val="4.3482554962239184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E90-4141-9723-246630E47AB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'[4]Valuation &amp; Estimates'!$AP$80:$AS$80</c:f>
              <c:strCache>
                <c:ptCount val="4"/>
                <c:pt idx="0">
                  <c:v>TSR (%) - May '19</c:v>
                </c:pt>
                <c:pt idx="1">
                  <c:v>Interim Dividend***</c:v>
                </c:pt>
                <c:pt idx="2">
                  <c:v>ER/Multiple Expansion</c:v>
                </c:pt>
                <c:pt idx="3">
                  <c:v>TSR (%) Dec. '19</c:v>
                </c:pt>
              </c:strCache>
            </c:strRef>
          </c:cat>
          <c:val>
            <c:numRef>
              <c:f>'[4]Valuation &amp; Estimates'!$AP$96:$AS$96</c:f>
              <c:numCache>
                <c:formatCode>General</c:formatCode>
                <c:ptCount val="4"/>
                <c:pt idx="0">
                  <c:v>0.15</c:v>
                </c:pt>
                <c:pt idx="1">
                  <c:v>2.549059891493749E-2</c:v>
                </c:pt>
                <c:pt idx="2">
                  <c:v>0.16</c:v>
                </c:pt>
                <c:pt idx="3">
                  <c:v>0.33549059891493749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E90-4141-9723-246630E47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7033344"/>
        <c:axId val="107034880"/>
      </c:barChart>
      <c:catAx>
        <c:axId val="107033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34880"/>
        <c:crosses val="autoZero"/>
        <c:auto val="1"/>
        <c:lblAlgn val="ctr"/>
        <c:lblOffset val="100"/>
        <c:noMultiLvlLbl val="0"/>
      </c:catAx>
      <c:valAx>
        <c:axId val="107034880"/>
        <c:scaling>
          <c:orientation val="minMax"/>
          <c:min val="5.000000000000001E-2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33344"/>
        <c:crosses val="autoZero"/>
        <c:crossBetween val="between"/>
      </c:valAx>
      <c:spPr>
        <a:solidFill>
          <a:schemeClr val="tx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tx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Ebitda Exposure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Model!$D$1324:$F$1324</c:f>
              <c:strCache>
                <c:ptCount val="3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Model!$G$11:$AF$11</c15:sqref>
                  </c15:fullRef>
                </c:ext>
              </c:extLst>
              <c:f>(Model!$G$11:$H$11,Model!$J$11:$AF$11)</c:f>
              <c:strCache>
                <c:ptCount val="11"/>
                <c:pt idx="0">
                  <c:v>FY 16</c:v>
                </c:pt>
                <c:pt idx="1">
                  <c:v>FY 17</c:v>
                </c:pt>
                <c:pt idx="2">
                  <c:v>FY 18</c:v>
                </c:pt>
                <c:pt idx="3">
                  <c:v>FY 19 </c:v>
                </c:pt>
                <c:pt idx="4">
                  <c:v>FY 20</c:v>
                </c:pt>
                <c:pt idx="5">
                  <c:v>1Q21</c:v>
                </c:pt>
                <c:pt idx="6">
                  <c:v>2Q21</c:v>
                </c:pt>
                <c:pt idx="7">
                  <c:v>3Q21 </c:v>
                </c:pt>
                <c:pt idx="8">
                  <c:v>4Q21</c:v>
                </c:pt>
                <c:pt idx="9">
                  <c:v>FY 21</c:v>
                </c:pt>
                <c:pt idx="10">
                  <c:v>FY 22 (F)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Model!$G$1324:$AF$1324</c15:sqref>
                  </c15:fullRef>
                </c:ext>
              </c:extLst>
              <c:f>(Model!$G$1324:$H$1324,Model!$J$1324:$AF$1324)</c:f>
              <c:numCache>
                <c:formatCode>0%</c:formatCode>
                <c:ptCount val="11"/>
                <c:pt idx="0">
                  <c:v>0.51656867985034738</c:v>
                </c:pt>
                <c:pt idx="1">
                  <c:v>0.6060050041701418</c:v>
                </c:pt>
                <c:pt idx="2">
                  <c:v>0.55932717078345207</c:v>
                </c:pt>
                <c:pt idx="3">
                  <c:v>0.60821797407163258</c:v>
                </c:pt>
                <c:pt idx="4">
                  <c:v>0.41821786872045608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09-451C-9755-9BE008FDAF58}"/>
            </c:ext>
          </c:extLst>
        </c:ser>
        <c:ser>
          <c:idx val="1"/>
          <c:order val="1"/>
          <c:tx>
            <c:strRef>
              <c:f>Model!$D$1325:$F$1325</c:f>
              <c:strCache>
                <c:ptCount val="3"/>
                <c:pt idx="0">
                  <c:v>Copper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Model!$G$11:$AF$11</c15:sqref>
                  </c15:fullRef>
                </c:ext>
              </c:extLst>
              <c:f>(Model!$G$11:$H$11,Model!$J$11:$AF$11)</c:f>
              <c:strCache>
                <c:ptCount val="11"/>
                <c:pt idx="0">
                  <c:v>FY 16</c:v>
                </c:pt>
                <c:pt idx="1">
                  <c:v>FY 17</c:v>
                </c:pt>
                <c:pt idx="2">
                  <c:v>FY 18</c:v>
                </c:pt>
                <c:pt idx="3">
                  <c:v>FY 19 </c:v>
                </c:pt>
                <c:pt idx="4">
                  <c:v>FY 20</c:v>
                </c:pt>
                <c:pt idx="5">
                  <c:v>1Q21</c:v>
                </c:pt>
                <c:pt idx="6">
                  <c:v>2Q21</c:v>
                </c:pt>
                <c:pt idx="7">
                  <c:v>3Q21 </c:v>
                </c:pt>
                <c:pt idx="8">
                  <c:v>4Q21</c:v>
                </c:pt>
                <c:pt idx="9">
                  <c:v>FY 21</c:v>
                </c:pt>
                <c:pt idx="10">
                  <c:v>FY 22 (F)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Model!$G$1325:$AF$1325</c15:sqref>
                  </c15:fullRef>
                </c:ext>
              </c:extLst>
              <c:f>(Model!$G$1325:$H$1325,Model!$J$1325:$AF$1325)</c:f>
              <c:numCache>
                <c:formatCode>0%</c:formatCode>
                <c:ptCount val="11"/>
                <c:pt idx="0">
                  <c:v>0.21993586317477284</c:v>
                </c:pt>
                <c:pt idx="1">
                  <c:v>0.2030025020850709</c:v>
                </c:pt>
                <c:pt idx="2">
                  <c:v>0.16790422791332019</c:v>
                </c:pt>
                <c:pt idx="3">
                  <c:v>0.1970995385629532</c:v>
                </c:pt>
                <c:pt idx="4">
                  <c:v>0.35636738187677247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09-451C-9755-9BE008FDAF58}"/>
            </c:ext>
          </c:extLst>
        </c:ser>
        <c:ser>
          <c:idx val="2"/>
          <c:order val="2"/>
          <c:tx>
            <c:strRef>
              <c:f>Model!$D$1326:$F$1326</c:f>
              <c:strCache>
                <c:ptCount val="3"/>
                <c:pt idx="0">
                  <c:v>Zinc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Model!$G$11:$AF$11</c15:sqref>
                  </c15:fullRef>
                </c:ext>
              </c:extLst>
              <c:f>(Model!$G$11:$H$11,Model!$J$11:$AF$11)</c:f>
              <c:strCache>
                <c:ptCount val="11"/>
                <c:pt idx="0">
                  <c:v>FY 16</c:v>
                </c:pt>
                <c:pt idx="1">
                  <c:v>FY 17</c:v>
                </c:pt>
                <c:pt idx="2">
                  <c:v>FY 18</c:v>
                </c:pt>
                <c:pt idx="3">
                  <c:v>FY 19 </c:v>
                </c:pt>
                <c:pt idx="4">
                  <c:v>FY 20</c:v>
                </c:pt>
                <c:pt idx="5">
                  <c:v>1Q21</c:v>
                </c:pt>
                <c:pt idx="6">
                  <c:v>2Q21</c:v>
                </c:pt>
                <c:pt idx="7">
                  <c:v>3Q21 </c:v>
                </c:pt>
                <c:pt idx="8">
                  <c:v>4Q21</c:v>
                </c:pt>
                <c:pt idx="9">
                  <c:v>FY 21</c:v>
                </c:pt>
                <c:pt idx="10">
                  <c:v>FY 22 (F)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Model!$G$1326:$AF$1326</c15:sqref>
                  </c15:fullRef>
                </c:ext>
              </c:extLst>
              <c:f>(Model!$G$1326:$H$1326,Model!$J$1326:$AF$1326)</c:f>
              <c:numCache>
                <c:formatCode>0%</c:formatCode>
                <c:ptCount val="11"/>
                <c:pt idx="0">
                  <c:v>0.27097808658471406</c:v>
                </c:pt>
                <c:pt idx="1">
                  <c:v>0.19099249374478733</c:v>
                </c:pt>
                <c:pt idx="2">
                  <c:v>0.28868010304591607</c:v>
                </c:pt>
                <c:pt idx="3">
                  <c:v>0.16875411997363216</c:v>
                </c:pt>
                <c:pt idx="4">
                  <c:v>0.28695523676693324</c:v>
                </c:pt>
                <c:pt idx="5">
                  <c:v>6.871421786485836E-2</c:v>
                </c:pt>
                <c:pt idx="6">
                  <c:v>6.2984476538189588E-2</c:v>
                </c:pt>
                <c:pt idx="7">
                  <c:v>0.14287791807911801</c:v>
                </c:pt>
                <c:pt idx="8">
                  <c:v>0.11914493158734567</c:v>
                </c:pt>
                <c:pt idx="9">
                  <c:v>0.10120328348142089</c:v>
                </c:pt>
                <c:pt idx="10">
                  <c:v>0.10367156139840755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09-451C-9755-9BE008FDAF58}"/>
            </c:ext>
          </c:extLst>
        </c:ser>
        <c:ser>
          <c:idx val="3"/>
          <c:order val="3"/>
          <c:tx>
            <c:strRef>
              <c:f>Model!$D$1327:$F$1327</c:f>
              <c:strCache>
                <c:ptCount val="3"/>
                <c:pt idx="0">
                  <c:v>Energy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Model!$G$11:$AF$11</c15:sqref>
                  </c15:fullRef>
                </c:ext>
              </c:extLst>
              <c:f>(Model!$G$11:$H$11,Model!$J$11:$AF$11)</c:f>
              <c:strCache>
                <c:ptCount val="11"/>
                <c:pt idx="0">
                  <c:v>FY 16</c:v>
                </c:pt>
                <c:pt idx="1">
                  <c:v>FY 17</c:v>
                </c:pt>
                <c:pt idx="2">
                  <c:v>FY 18</c:v>
                </c:pt>
                <c:pt idx="3">
                  <c:v>FY 19 </c:v>
                </c:pt>
                <c:pt idx="4">
                  <c:v>FY 20</c:v>
                </c:pt>
                <c:pt idx="5">
                  <c:v>1Q21</c:v>
                </c:pt>
                <c:pt idx="6">
                  <c:v>2Q21</c:v>
                </c:pt>
                <c:pt idx="7">
                  <c:v>3Q21 </c:v>
                </c:pt>
                <c:pt idx="8">
                  <c:v>4Q21</c:v>
                </c:pt>
                <c:pt idx="9">
                  <c:v>FY 21</c:v>
                </c:pt>
                <c:pt idx="10">
                  <c:v>FY 22 (F)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Model!$G$1327:$AF$1327</c15:sqref>
                  </c15:fullRef>
                </c:ext>
              </c:extLst>
              <c:f>(Model!$G$1327:$H$1327,Model!$J$1327:$AF$1327)</c:f>
              <c:numCache>
                <c:formatCode>0%</c:formatCode>
                <c:ptCount val="11"/>
                <c:pt idx="0">
                  <c:v>-7.4826296098343134E-3</c:v>
                </c:pt>
                <c:pt idx="1">
                  <c:v>0</c:v>
                </c:pt>
                <c:pt idx="2">
                  <c:v>-1.5911501742688287E-2</c:v>
                </c:pt>
                <c:pt idx="3">
                  <c:v>2.5928367391782024E-2</c:v>
                </c:pt>
                <c:pt idx="4">
                  <c:v>-6.1540487364161803E-2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09-451C-9755-9BE008FDAF5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95476008"/>
        <c:axId val="695481584"/>
      </c:barChart>
      <c:catAx>
        <c:axId val="695476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481584"/>
        <c:crosses val="autoZero"/>
        <c:auto val="1"/>
        <c:lblAlgn val="ctr"/>
        <c:lblOffset val="100"/>
        <c:noMultiLvlLbl val="0"/>
      </c:catAx>
      <c:valAx>
        <c:axId val="695481584"/>
        <c:scaling>
          <c:orientation val="minMax"/>
          <c:max val="1"/>
          <c:min val="0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476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Total Capital Expenditures (Ex Capitalized</a:t>
            </a:r>
            <a:r>
              <a:rPr lang="en-US" b="1" baseline="0">
                <a:solidFill>
                  <a:sysClr val="windowText" lastClr="000000"/>
                </a:solidFill>
              </a:rPr>
              <a:t> Stripping)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Model!$D$1545:$F$1545</c:f>
              <c:strCache>
                <c:ptCount val="3"/>
                <c:pt idx="0">
                  <c:v>Capital Expenditures (Excluding Capitalized Stripping)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Model!$G$11:$U$11</c:f>
              <c:strCache>
                <c:ptCount val="5"/>
                <c:pt idx="0">
                  <c:v>FY 15</c:v>
                </c:pt>
                <c:pt idx="1">
                  <c:v>FY 16</c:v>
                </c:pt>
                <c:pt idx="2">
                  <c:v>FY 17</c:v>
                </c:pt>
                <c:pt idx="3">
                  <c:v>FY 18</c:v>
                </c:pt>
                <c:pt idx="4">
                  <c:v>FY 19 </c:v>
                </c:pt>
              </c:strCache>
            </c:strRef>
          </c:cat>
          <c:val>
            <c:numRef>
              <c:f>Model!$G$1545:$U$1545</c:f>
              <c:numCache>
                <c:formatCode>#,##0</c:formatCode>
                <c:ptCount val="5"/>
                <c:pt idx="0">
                  <c:v>1581</c:v>
                </c:pt>
                <c:pt idx="1">
                  <c:v>1416</c:v>
                </c:pt>
                <c:pt idx="2">
                  <c:v>1621</c:v>
                </c:pt>
                <c:pt idx="3">
                  <c:v>1906</c:v>
                </c:pt>
                <c:pt idx="4">
                  <c:v>2782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C4-4443-A4B0-C8B354783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3663592"/>
        <c:axId val="623658016"/>
      </c:barChart>
      <c:catAx>
        <c:axId val="623663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658016"/>
        <c:crosses val="autoZero"/>
        <c:auto val="1"/>
        <c:lblAlgn val="ctr"/>
        <c:lblOffset val="100"/>
        <c:noMultiLvlLbl val="0"/>
      </c:catAx>
      <c:valAx>
        <c:axId val="623658016"/>
        <c:scaling>
          <c:orientation val="minMax"/>
          <c:max val="2000"/>
          <c:min val="4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ysClr val="windowText" lastClr="000000"/>
                    </a:solidFill>
                  </a:rPr>
                  <a:t>CAD $M</a:t>
                </a:r>
              </a:p>
            </c:rich>
          </c:tx>
          <c:layout>
            <c:manualLayout>
              <c:xMode val="edge"/>
              <c:yMode val="edge"/>
              <c:x val="1.3299893600851194E-2"/>
              <c:y val="0.4355521391958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663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Ebitda Delta:</a:t>
            </a:r>
            <a:r>
              <a:rPr lang="en-US" baseline="0"/>
              <a:t> 10% Move in Underlying Commodity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'One Pager Forecast Sheet'!#REF!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'One Pager Forecast Sheet'!#REF!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'One Pager Forecast Sheet'!#REF!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4E78-409E-B18C-0B51833F1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87925080"/>
        <c:axId val="687924096"/>
      </c:barChart>
      <c:catAx>
        <c:axId val="6879250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924096"/>
        <c:crosses val="autoZero"/>
        <c:auto val="1"/>
        <c:lblAlgn val="ctr"/>
        <c:lblOffset val="100"/>
        <c:noMultiLvlLbl val="0"/>
      </c:catAx>
      <c:valAx>
        <c:axId val="687924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CAD</a:t>
                </a:r>
                <a:r>
                  <a:rPr lang="en-US" baseline="0"/>
                  <a:t> $ Millions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9925479342330165"/>
              <c:y val="0.9085338939962347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925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25" fmlaLink="$C$3" fmlaRange="'Assumption Inputs'!$H$5:$H$8" noThreeD="1" sel="2" val="0"/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chart" Target="../charts/chart8.xml"/><Relationship Id="rId21" Type="http://schemas.openxmlformats.org/officeDocument/2006/relationships/image" Target="../media/image21.png"/><Relationship Id="rId34" Type="http://schemas.openxmlformats.org/officeDocument/2006/relationships/chart" Target="../charts/chart3.xml"/><Relationship Id="rId42" Type="http://schemas.openxmlformats.org/officeDocument/2006/relationships/image" Target="../media/image32.png"/><Relationship Id="rId47" Type="http://schemas.openxmlformats.org/officeDocument/2006/relationships/image" Target="../media/image37.png"/><Relationship Id="rId50" Type="http://schemas.openxmlformats.org/officeDocument/2006/relationships/chart" Target="../charts/chart11.xml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1.png"/><Relationship Id="rId37" Type="http://schemas.openxmlformats.org/officeDocument/2006/relationships/chart" Target="../charts/chart6.xml"/><Relationship Id="rId40" Type="http://schemas.openxmlformats.org/officeDocument/2006/relationships/chart" Target="../charts/chart9.xml"/><Relationship Id="rId45" Type="http://schemas.openxmlformats.org/officeDocument/2006/relationships/image" Target="../media/image35.png"/><Relationship Id="rId53" Type="http://schemas.openxmlformats.org/officeDocument/2006/relationships/image" Target="../media/image42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0.png"/><Relationship Id="rId44" Type="http://schemas.openxmlformats.org/officeDocument/2006/relationships/image" Target="../media/image34.png"/><Relationship Id="rId52" Type="http://schemas.openxmlformats.org/officeDocument/2006/relationships/image" Target="../media/image4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chart" Target="../charts/chart1.xml"/><Relationship Id="rId35" Type="http://schemas.openxmlformats.org/officeDocument/2006/relationships/chart" Target="../charts/chart4.xml"/><Relationship Id="rId43" Type="http://schemas.openxmlformats.org/officeDocument/2006/relationships/image" Target="../media/image33.png"/><Relationship Id="rId48" Type="http://schemas.openxmlformats.org/officeDocument/2006/relationships/image" Target="../media/image38.png"/><Relationship Id="rId8" Type="http://schemas.openxmlformats.org/officeDocument/2006/relationships/image" Target="../media/image8.png"/><Relationship Id="rId51" Type="http://schemas.openxmlformats.org/officeDocument/2006/relationships/image" Target="../media/image40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chart" Target="../charts/chart2.xml"/><Relationship Id="rId38" Type="http://schemas.openxmlformats.org/officeDocument/2006/relationships/chart" Target="../charts/chart7.xml"/><Relationship Id="rId46" Type="http://schemas.openxmlformats.org/officeDocument/2006/relationships/image" Target="../media/image36.png"/><Relationship Id="rId20" Type="http://schemas.openxmlformats.org/officeDocument/2006/relationships/image" Target="../media/image20.png"/><Relationship Id="rId41" Type="http://schemas.openxmlformats.org/officeDocument/2006/relationships/chart" Target="../charts/chart10.xml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chart" Target="../charts/chart5.xml"/><Relationship Id="rId49" Type="http://schemas.openxmlformats.org/officeDocument/2006/relationships/image" Target="../media/image3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7" Type="http://schemas.openxmlformats.org/officeDocument/2006/relationships/chart" Target="../charts/chart34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5" Type="http://schemas.openxmlformats.org/officeDocument/2006/relationships/chart" Target="../charts/chart32.xml"/><Relationship Id="rId4" Type="http://schemas.openxmlformats.org/officeDocument/2006/relationships/chart" Target="../charts/chart31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38</xdr:col>
      <xdr:colOff>375227</xdr:colOff>
      <xdr:row>1837</xdr:row>
      <xdr:rowOff>26174</xdr:rowOff>
    </xdr:from>
    <xdr:to>
      <xdr:col>44</xdr:col>
      <xdr:colOff>1246963</xdr:colOff>
      <xdr:row>1855</xdr:row>
      <xdr:rowOff>73197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436136" y="347798356"/>
          <a:ext cx="6774119" cy="3585762"/>
        </a:xfrm>
        <a:prstGeom prst="rect">
          <a:avLst/>
        </a:prstGeom>
      </xdr:spPr>
    </xdr:pic>
    <xdr:clientData/>
  </xdr:twoCellAnchor>
  <xdr:twoCellAnchor editAs="oneCell">
    <xdr:from>
      <xdr:col>37</xdr:col>
      <xdr:colOff>393495</xdr:colOff>
      <xdr:row>1877</xdr:row>
      <xdr:rowOff>33</xdr:rowOff>
    </xdr:from>
    <xdr:to>
      <xdr:col>43</xdr:col>
      <xdr:colOff>1780550</xdr:colOff>
      <xdr:row>1894</xdr:row>
      <xdr:rowOff>35720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346040" y="355657760"/>
          <a:ext cx="6588977" cy="3914959"/>
        </a:xfrm>
        <a:prstGeom prst="rect">
          <a:avLst/>
        </a:prstGeom>
      </xdr:spPr>
    </xdr:pic>
    <xdr:clientData/>
  </xdr:twoCellAnchor>
  <xdr:twoCellAnchor editAs="oneCell">
    <xdr:from>
      <xdr:col>44</xdr:col>
      <xdr:colOff>959002</xdr:colOff>
      <xdr:row>202</xdr:row>
      <xdr:rowOff>124195</xdr:rowOff>
    </xdr:from>
    <xdr:to>
      <xdr:col>51</xdr:col>
      <xdr:colOff>332267</xdr:colOff>
      <xdr:row>241</xdr:row>
      <xdr:rowOff>104492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025202" y="33131495"/>
          <a:ext cx="6604008" cy="7894302"/>
        </a:xfrm>
        <a:prstGeom prst="rect">
          <a:avLst/>
        </a:prstGeom>
      </xdr:spPr>
    </xdr:pic>
    <xdr:clientData/>
  </xdr:twoCellAnchor>
  <xdr:twoCellAnchor editAs="oneCell">
    <xdr:from>
      <xdr:col>42</xdr:col>
      <xdr:colOff>167368</xdr:colOff>
      <xdr:row>738</xdr:row>
      <xdr:rowOff>43543</xdr:rowOff>
    </xdr:from>
    <xdr:to>
      <xdr:col>48</xdr:col>
      <xdr:colOff>256880</xdr:colOff>
      <xdr:row>778</xdr:row>
      <xdr:rowOff>189541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913582" y="77971650"/>
          <a:ext cx="6567417" cy="7997317"/>
        </a:xfrm>
        <a:prstGeom prst="rect">
          <a:avLst/>
        </a:prstGeom>
      </xdr:spPr>
    </xdr:pic>
    <xdr:clientData/>
  </xdr:twoCellAnchor>
  <xdr:twoCellAnchor editAs="oneCell">
    <xdr:from>
      <xdr:col>39</xdr:col>
      <xdr:colOff>124691</xdr:colOff>
      <xdr:row>1543</xdr:row>
      <xdr:rowOff>166253</xdr:rowOff>
    </xdr:from>
    <xdr:to>
      <xdr:col>44</xdr:col>
      <xdr:colOff>351</xdr:colOff>
      <xdr:row>1565</xdr:row>
      <xdr:rowOff>10669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899782" y="281909980"/>
          <a:ext cx="4851400" cy="2395327"/>
        </a:xfrm>
        <a:prstGeom prst="rect">
          <a:avLst/>
        </a:prstGeom>
      </xdr:spPr>
    </xdr:pic>
    <xdr:clientData/>
  </xdr:twoCellAnchor>
  <xdr:twoCellAnchor editAs="oneCell">
    <xdr:from>
      <xdr:col>52</xdr:col>
      <xdr:colOff>231321</xdr:colOff>
      <xdr:row>1939</xdr:row>
      <xdr:rowOff>27214</xdr:rowOff>
    </xdr:from>
    <xdr:to>
      <xdr:col>59</xdr:col>
      <xdr:colOff>647949</xdr:colOff>
      <xdr:row>1957</xdr:row>
      <xdr:rowOff>149406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039892" y="47325643"/>
          <a:ext cx="8882745" cy="3701143"/>
        </a:xfrm>
        <a:prstGeom prst="rect">
          <a:avLst/>
        </a:prstGeom>
      </xdr:spPr>
    </xdr:pic>
    <xdr:clientData/>
  </xdr:twoCellAnchor>
  <xdr:twoCellAnchor editAs="oneCell">
    <xdr:from>
      <xdr:col>52</xdr:col>
      <xdr:colOff>190501</xdr:colOff>
      <xdr:row>1958</xdr:row>
      <xdr:rowOff>54429</xdr:rowOff>
    </xdr:from>
    <xdr:to>
      <xdr:col>59</xdr:col>
      <xdr:colOff>644682</xdr:colOff>
      <xdr:row>1977</xdr:row>
      <xdr:rowOff>65496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99072" y="51135643"/>
          <a:ext cx="8912678" cy="3687535"/>
        </a:xfrm>
        <a:prstGeom prst="rect">
          <a:avLst/>
        </a:prstGeom>
      </xdr:spPr>
    </xdr:pic>
    <xdr:clientData/>
  </xdr:twoCellAnchor>
  <xdr:twoCellAnchor editAs="oneCell">
    <xdr:from>
      <xdr:col>52</xdr:col>
      <xdr:colOff>190500</xdr:colOff>
      <xdr:row>1958</xdr:row>
      <xdr:rowOff>59530</xdr:rowOff>
    </xdr:from>
    <xdr:to>
      <xdr:col>59</xdr:col>
      <xdr:colOff>637039</xdr:colOff>
      <xdr:row>1977</xdr:row>
      <xdr:rowOff>48260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041594" y="50875405"/>
          <a:ext cx="8893968" cy="3655219"/>
        </a:xfrm>
        <a:prstGeom prst="rect">
          <a:avLst/>
        </a:prstGeom>
      </xdr:spPr>
    </xdr:pic>
    <xdr:clientData/>
  </xdr:twoCellAnchor>
  <xdr:twoCellAnchor editAs="oneCell">
    <xdr:from>
      <xdr:col>52</xdr:col>
      <xdr:colOff>226219</xdr:colOff>
      <xdr:row>1939</xdr:row>
      <xdr:rowOff>23811</xdr:rowOff>
    </xdr:from>
    <xdr:to>
      <xdr:col>59</xdr:col>
      <xdr:colOff>637516</xdr:colOff>
      <xdr:row>1957</xdr:row>
      <xdr:rowOff>142239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077313" y="47077311"/>
          <a:ext cx="8870156" cy="3690939"/>
        </a:xfrm>
        <a:prstGeom prst="rect">
          <a:avLst/>
        </a:prstGeom>
      </xdr:spPr>
    </xdr:pic>
    <xdr:clientData/>
  </xdr:twoCellAnchor>
  <xdr:twoCellAnchor editAs="oneCell">
    <xdr:from>
      <xdr:col>52</xdr:col>
      <xdr:colOff>71437</xdr:colOff>
      <xdr:row>1982</xdr:row>
      <xdr:rowOff>154781</xdr:rowOff>
    </xdr:from>
    <xdr:to>
      <xdr:col>59</xdr:col>
      <xdr:colOff>484912</xdr:colOff>
      <xdr:row>2002</xdr:row>
      <xdr:rowOff>10218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6922531" y="55614094"/>
          <a:ext cx="8870156" cy="3655218"/>
        </a:xfrm>
        <a:prstGeom prst="rect">
          <a:avLst/>
        </a:prstGeom>
      </xdr:spPr>
    </xdr:pic>
    <xdr:clientData/>
  </xdr:twoCellAnchor>
  <xdr:twoCellAnchor editAs="oneCell">
    <xdr:from>
      <xdr:col>52</xdr:col>
      <xdr:colOff>68714</xdr:colOff>
      <xdr:row>2002</xdr:row>
      <xdr:rowOff>144304</xdr:rowOff>
    </xdr:from>
    <xdr:to>
      <xdr:col>59</xdr:col>
      <xdr:colOff>495549</xdr:colOff>
      <xdr:row>2021</xdr:row>
      <xdr:rowOff>141766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6919808" y="59425523"/>
          <a:ext cx="8884786" cy="3653790"/>
        </a:xfrm>
        <a:prstGeom prst="rect">
          <a:avLst/>
        </a:prstGeom>
      </xdr:spPr>
    </xdr:pic>
    <xdr:clientData/>
  </xdr:twoCellAnchor>
  <xdr:twoCellAnchor editAs="oneCell">
    <xdr:from>
      <xdr:col>52</xdr:col>
      <xdr:colOff>42333</xdr:colOff>
      <xdr:row>1982</xdr:row>
      <xdr:rowOff>137582</xdr:rowOff>
    </xdr:from>
    <xdr:to>
      <xdr:col>60</xdr:col>
      <xdr:colOff>674953</xdr:colOff>
      <xdr:row>2002</xdr:row>
      <xdr:rowOff>10218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6990000" y="55403749"/>
          <a:ext cx="10254084" cy="3672417"/>
        </a:xfrm>
        <a:prstGeom prst="rect">
          <a:avLst/>
        </a:prstGeom>
      </xdr:spPr>
    </xdr:pic>
    <xdr:clientData/>
  </xdr:twoCellAnchor>
  <xdr:twoCellAnchor editAs="oneCell">
    <xdr:from>
      <xdr:col>52</xdr:col>
      <xdr:colOff>74082</xdr:colOff>
      <xdr:row>2002</xdr:row>
      <xdr:rowOff>148167</xdr:rowOff>
    </xdr:from>
    <xdr:to>
      <xdr:col>60</xdr:col>
      <xdr:colOff>676119</xdr:colOff>
      <xdr:row>2021</xdr:row>
      <xdr:rowOff>142663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021749" y="59224334"/>
          <a:ext cx="10223501" cy="3651249"/>
        </a:xfrm>
        <a:prstGeom prst="rect">
          <a:avLst/>
        </a:prstGeom>
      </xdr:spPr>
    </xdr:pic>
    <xdr:clientData/>
  </xdr:twoCellAnchor>
  <xdr:twoCellAnchor editAs="oneCell">
    <xdr:from>
      <xdr:col>52</xdr:col>
      <xdr:colOff>201083</xdr:colOff>
      <xdr:row>1958</xdr:row>
      <xdr:rowOff>42333</xdr:rowOff>
    </xdr:from>
    <xdr:to>
      <xdr:col>59</xdr:col>
      <xdr:colOff>657745</xdr:colOff>
      <xdr:row>1977</xdr:row>
      <xdr:rowOff>73025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7148750" y="50673000"/>
          <a:ext cx="8911167" cy="3683000"/>
        </a:xfrm>
        <a:prstGeom prst="rect">
          <a:avLst/>
        </a:prstGeom>
      </xdr:spPr>
    </xdr:pic>
    <xdr:clientData/>
  </xdr:twoCellAnchor>
  <xdr:twoCellAnchor editAs="oneCell">
    <xdr:from>
      <xdr:col>52</xdr:col>
      <xdr:colOff>201084</xdr:colOff>
      <xdr:row>1939</xdr:row>
      <xdr:rowOff>21166</xdr:rowOff>
    </xdr:from>
    <xdr:to>
      <xdr:col>59</xdr:col>
      <xdr:colOff>637214</xdr:colOff>
      <xdr:row>1957</xdr:row>
      <xdr:rowOff>141816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148751" y="46905333"/>
          <a:ext cx="8890000" cy="3683000"/>
        </a:xfrm>
        <a:prstGeom prst="rect">
          <a:avLst/>
        </a:prstGeom>
      </xdr:spPr>
    </xdr:pic>
    <xdr:clientData/>
  </xdr:twoCellAnchor>
  <xdr:twoCellAnchor editAs="oneCell">
    <xdr:from>
      <xdr:col>52</xdr:col>
      <xdr:colOff>211666</xdr:colOff>
      <xdr:row>1938</xdr:row>
      <xdr:rowOff>21167</xdr:rowOff>
    </xdr:from>
    <xdr:to>
      <xdr:col>59</xdr:col>
      <xdr:colOff>713629</xdr:colOff>
      <xdr:row>1958</xdr:row>
      <xdr:rowOff>47981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7953083" y="47677917"/>
          <a:ext cx="8959643" cy="3965084"/>
        </a:xfrm>
        <a:prstGeom prst="rect">
          <a:avLst/>
        </a:prstGeom>
      </xdr:spPr>
    </xdr:pic>
    <xdr:clientData/>
  </xdr:twoCellAnchor>
  <xdr:twoCellAnchor editAs="oneCell">
    <xdr:from>
      <xdr:col>52</xdr:col>
      <xdr:colOff>95249</xdr:colOff>
      <xdr:row>1957</xdr:row>
      <xdr:rowOff>127000</xdr:rowOff>
    </xdr:from>
    <xdr:to>
      <xdr:col>59</xdr:col>
      <xdr:colOff>713201</xdr:colOff>
      <xdr:row>1977</xdr:row>
      <xdr:rowOff>150856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7836666" y="51530250"/>
          <a:ext cx="9069917" cy="3876190"/>
        </a:xfrm>
        <a:prstGeom prst="rect">
          <a:avLst/>
        </a:prstGeom>
      </xdr:spPr>
    </xdr:pic>
    <xdr:clientData/>
  </xdr:twoCellAnchor>
  <xdr:twoCellAnchor editAs="oneCell">
    <xdr:from>
      <xdr:col>49</xdr:col>
      <xdr:colOff>179918</xdr:colOff>
      <xdr:row>2056</xdr:row>
      <xdr:rowOff>137584</xdr:rowOff>
    </xdr:from>
    <xdr:to>
      <xdr:col>57</xdr:col>
      <xdr:colOff>484278</xdr:colOff>
      <xdr:row>2078</xdr:row>
      <xdr:rowOff>10582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4259501" y="73458917"/>
          <a:ext cx="10234083" cy="4095750"/>
        </a:xfrm>
        <a:prstGeom prst="rect">
          <a:avLst/>
        </a:prstGeom>
      </xdr:spPr>
    </xdr:pic>
    <xdr:clientData/>
  </xdr:twoCellAnchor>
  <xdr:twoCellAnchor editAs="oneCell">
    <xdr:from>
      <xdr:col>59</xdr:col>
      <xdr:colOff>10583</xdr:colOff>
      <xdr:row>2056</xdr:row>
      <xdr:rowOff>158750</xdr:rowOff>
    </xdr:from>
    <xdr:to>
      <xdr:col>72</xdr:col>
      <xdr:colOff>293933</xdr:colOff>
      <xdr:row>2077</xdr:row>
      <xdr:rowOff>116415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493583" y="73480083"/>
          <a:ext cx="10266667" cy="4000500"/>
        </a:xfrm>
        <a:prstGeom prst="rect">
          <a:avLst/>
        </a:prstGeom>
      </xdr:spPr>
    </xdr:pic>
    <xdr:clientData/>
  </xdr:twoCellAnchor>
  <xdr:twoCellAnchor editAs="oneCell">
    <xdr:from>
      <xdr:col>52</xdr:col>
      <xdr:colOff>68034</xdr:colOff>
      <xdr:row>1982</xdr:row>
      <xdr:rowOff>95250</xdr:rowOff>
    </xdr:from>
    <xdr:to>
      <xdr:col>60</xdr:col>
      <xdr:colOff>568374</xdr:colOff>
      <xdr:row>2002</xdr:row>
      <xdr:rowOff>104142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8985713" y="59830607"/>
          <a:ext cx="10123715" cy="3810000"/>
        </a:xfrm>
        <a:prstGeom prst="rect">
          <a:avLst/>
        </a:prstGeom>
      </xdr:spPr>
    </xdr:pic>
    <xdr:clientData/>
  </xdr:twoCellAnchor>
  <xdr:twoCellAnchor editAs="oneCell">
    <xdr:from>
      <xdr:col>52</xdr:col>
      <xdr:colOff>95249</xdr:colOff>
      <xdr:row>2002</xdr:row>
      <xdr:rowOff>136072</xdr:rowOff>
    </xdr:from>
    <xdr:to>
      <xdr:col>60</xdr:col>
      <xdr:colOff>684314</xdr:colOff>
      <xdr:row>2022</xdr:row>
      <xdr:rowOff>162015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9012928" y="64647536"/>
          <a:ext cx="10218965" cy="3905250"/>
        </a:xfrm>
        <a:prstGeom prst="rect">
          <a:avLst/>
        </a:prstGeom>
      </xdr:spPr>
    </xdr:pic>
    <xdr:clientData/>
  </xdr:twoCellAnchor>
  <xdr:twoCellAnchor editAs="oneCell">
    <xdr:from>
      <xdr:col>52</xdr:col>
      <xdr:colOff>-1</xdr:colOff>
      <xdr:row>1957</xdr:row>
      <xdr:rowOff>136071</xdr:rowOff>
    </xdr:from>
    <xdr:to>
      <xdr:col>59</xdr:col>
      <xdr:colOff>675071</xdr:colOff>
      <xdr:row>1978</xdr:row>
      <xdr:rowOff>10430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8917678" y="55993392"/>
          <a:ext cx="9130393" cy="3946071"/>
        </a:xfrm>
        <a:prstGeom prst="rect">
          <a:avLst/>
        </a:prstGeom>
      </xdr:spPr>
    </xdr:pic>
    <xdr:clientData/>
  </xdr:twoCellAnchor>
  <xdr:twoCellAnchor editAs="oneCell">
    <xdr:from>
      <xdr:col>52</xdr:col>
      <xdr:colOff>190500</xdr:colOff>
      <xdr:row>1938</xdr:row>
      <xdr:rowOff>40821</xdr:rowOff>
    </xdr:from>
    <xdr:to>
      <xdr:col>59</xdr:col>
      <xdr:colOff>713988</xdr:colOff>
      <xdr:row>1958</xdr:row>
      <xdr:rowOff>10217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108179" y="52115357"/>
          <a:ext cx="8980714" cy="3932464"/>
        </a:xfrm>
        <a:prstGeom prst="rect">
          <a:avLst/>
        </a:prstGeom>
      </xdr:spPr>
    </xdr:pic>
    <xdr:clientData/>
  </xdr:twoCellAnchor>
  <xdr:twoCellAnchor editAs="oneCell">
    <xdr:from>
      <xdr:col>52</xdr:col>
      <xdr:colOff>81642</xdr:colOff>
      <xdr:row>1982</xdr:row>
      <xdr:rowOff>122463</xdr:rowOff>
    </xdr:from>
    <xdr:to>
      <xdr:col>60</xdr:col>
      <xdr:colOff>657734</xdr:colOff>
      <xdr:row>2001</xdr:row>
      <xdr:rowOff>162018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8999321" y="60823927"/>
          <a:ext cx="10205357" cy="3660323"/>
        </a:xfrm>
        <a:prstGeom prst="rect">
          <a:avLst/>
        </a:prstGeom>
      </xdr:spPr>
    </xdr:pic>
    <xdr:clientData/>
  </xdr:twoCellAnchor>
  <xdr:twoCellAnchor editAs="oneCell">
    <xdr:from>
      <xdr:col>52</xdr:col>
      <xdr:colOff>136070</xdr:colOff>
      <xdr:row>2002</xdr:row>
      <xdr:rowOff>95249</xdr:rowOff>
    </xdr:from>
    <xdr:to>
      <xdr:col>60</xdr:col>
      <xdr:colOff>712797</xdr:colOff>
      <xdr:row>2021</xdr:row>
      <xdr:rowOff>162015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9053749" y="64606713"/>
          <a:ext cx="10205357" cy="3741965"/>
        </a:xfrm>
        <a:prstGeom prst="rect">
          <a:avLst/>
        </a:prstGeom>
      </xdr:spPr>
    </xdr:pic>
    <xdr:clientData/>
  </xdr:twoCellAnchor>
  <xdr:twoCellAnchor editAs="oneCell">
    <xdr:from>
      <xdr:col>52</xdr:col>
      <xdr:colOff>81642</xdr:colOff>
      <xdr:row>1957</xdr:row>
      <xdr:rowOff>163286</xdr:rowOff>
    </xdr:from>
    <xdr:to>
      <xdr:col>59</xdr:col>
      <xdr:colOff>599959</xdr:colOff>
      <xdr:row>1977</xdr:row>
      <xdr:rowOff>190045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8999321" y="56020607"/>
          <a:ext cx="8994321" cy="3905250"/>
        </a:xfrm>
        <a:prstGeom prst="rect">
          <a:avLst/>
        </a:prstGeom>
      </xdr:spPr>
    </xdr:pic>
    <xdr:clientData/>
  </xdr:twoCellAnchor>
  <xdr:twoCellAnchor editAs="oneCell">
    <xdr:from>
      <xdr:col>52</xdr:col>
      <xdr:colOff>108856</xdr:colOff>
      <xdr:row>1938</xdr:row>
      <xdr:rowOff>54427</xdr:rowOff>
    </xdr:from>
    <xdr:to>
      <xdr:col>59</xdr:col>
      <xdr:colOff>675343</xdr:colOff>
      <xdr:row>1957</xdr:row>
      <xdr:rowOff>162015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9026535" y="52128963"/>
          <a:ext cx="9035143" cy="3891643"/>
        </a:xfrm>
        <a:prstGeom prst="rect">
          <a:avLst/>
        </a:prstGeom>
      </xdr:spPr>
    </xdr:pic>
    <xdr:clientData/>
  </xdr:twoCellAnchor>
  <xdr:twoCellAnchor editAs="oneCell">
    <xdr:from>
      <xdr:col>49</xdr:col>
      <xdr:colOff>217715</xdr:colOff>
      <xdr:row>2056</xdr:row>
      <xdr:rowOff>108857</xdr:rowOff>
    </xdr:from>
    <xdr:to>
      <xdr:col>57</xdr:col>
      <xdr:colOff>332179</xdr:colOff>
      <xdr:row>2077</xdr:row>
      <xdr:rowOff>149676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5475072" y="75179464"/>
          <a:ext cx="10082892" cy="4095749"/>
        </a:xfrm>
        <a:prstGeom prst="rect">
          <a:avLst/>
        </a:prstGeom>
      </xdr:spPr>
    </xdr:pic>
    <xdr:clientData/>
  </xdr:twoCellAnchor>
  <xdr:twoCellAnchor editAs="oneCell">
    <xdr:from>
      <xdr:col>59</xdr:col>
      <xdr:colOff>190500</xdr:colOff>
      <xdr:row>2056</xdr:row>
      <xdr:rowOff>27215</xdr:rowOff>
    </xdr:from>
    <xdr:to>
      <xdr:col>72</xdr:col>
      <xdr:colOff>276893</xdr:colOff>
      <xdr:row>2077</xdr:row>
      <xdr:rowOff>10431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5571571" y="75097822"/>
          <a:ext cx="10028465" cy="4041321"/>
        </a:xfrm>
        <a:prstGeom prst="rect">
          <a:avLst/>
        </a:prstGeom>
      </xdr:spPr>
    </xdr:pic>
    <xdr:clientData/>
  </xdr:twoCellAnchor>
  <xdr:twoCellAnchor editAs="oneCell">
    <xdr:from>
      <xdr:col>52</xdr:col>
      <xdr:colOff>95251</xdr:colOff>
      <xdr:row>1982</xdr:row>
      <xdr:rowOff>108856</xdr:rowOff>
    </xdr:from>
    <xdr:to>
      <xdr:col>60</xdr:col>
      <xdr:colOff>751443</xdr:colOff>
      <xdr:row>2002</xdr:row>
      <xdr:rowOff>10218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8713572" y="60864749"/>
          <a:ext cx="10273392" cy="3701143"/>
        </a:xfrm>
        <a:prstGeom prst="rect">
          <a:avLst/>
        </a:prstGeom>
      </xdr:spPr>
    </xdr:pic>
    <xdr:clientData/>
  </xdr:twoCellAnchor>
  <xdr:twoCellAnchor editAs="oneCell">
    <xdr:from>
      <xdr:col>52</xdr:col>
      <xdr:colOff>217714</xdr:colOff>
      <xdr:row>2002</xdr:row>
      <xdr:rowOff>108856</xdr:rowOff>
    </xdr:from>
    <xdr:to>
      <xdr:col>60</xdr:col>
      <xdr:colOff>751715</xdr:colOff>
      <xdr:row>2022</xdr:row>
      <xdr:rowOff>9998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8836035" y="64674749"/>
          <a:ext cx="10164536" cy="3769179"/>
        </a:xfrm>
        <a:prstGeom prst="rect">
          <a:avLst/>
        </a:prstGeom>
      </xdr:spPr>
    </xdr:pic>
    <xdr:clientData/>
  </xdr:twoCellAnchor>
  <xdr:twoCellAnchor editAs="oneCell">
    <xdr:from>
      <xdr:col>52</xdr:col>
      <xdr:colOff>68036</xdr:colOff>
      <xdr:row>1957</xdr:row>
      <xdr:rowOff>149679</xdr:rowOff>
    </xdr:from>
    <xdr:to>
      <xdr:col>59</xdr:col>
      <xdr:colOff>771865</xdr:colOff>
      <xdr:row>1977</xdr:row>
      <xdr:rowOff>180068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8686357" y="56061429"/>
          <a:ext cx="9171215" cy="3891643"/>
        </a:xfrm>
        <a:prstGeom prst="rect">
          <a:avLst/>
        </a:prstGeom>
      </xdr:spPr>
    </xdr:pic>
    <xdr:clientData/>
  </xdr:twoCellAnchor>
  <xdr:twoCellAnchor>
    <xdr:from>
      <xdr:col>41</xdr:col>
      <xdr:colOff>624896</xdr:colOff>
      <xdr:row>1570</xdr:row>
      <xdr:rowOff>62778</xdr:rowOff>
    </xdr:from>
    <xdr:to>
      <xdr:col>50</xdr:col>
      <xdr:colOff>278895</xdr:colOff>
      <xdr:row>1605</xdr:row>
      <xdr:rowOff>72983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 editAs="oneCell">
    <xdr:from>
      <xdr:col>39</xdr:col>
      <xdr:colOff>457200</xdr:colOff>
      <xdr:row>911</xdr:row>
      <xdr:rowOff>0</xdr:rowOff>
    </xdr:from>
    <xdr:to>
      <xdr:col>42</xdr:col>
      <xdr:colOff>409269</xdr:colOff>
      <xdr:row>930</xdr:row>
      <xdr:rowOff>104281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2532300" y="153949400"/>
          <a:ext cx="2428571" cy="3952381"/>
        </a:xfrm>
        <a:prstGeom prst="rect">
          <a:avLst/>
        </a:prstGeom>
      </xdr:spPr>
    </xdr:pic>
    <xdr:clientData/>
  </xdr:twoCellAnchor>
  <xdr:twoCellAnchor editAs="oneCell">
    <xdr:from>
      <xdr:col>44</xdr:col>
      <xdr:colOff>850900</xdr:colOff>
      <xdr:row>1084</xdr:row>
      <xdr:rowOff>190500</xdr:rowOff>
    </xdr:from>
    <xdr:to>
      <xdr:col>56</xdr:col>
      <xdr:colOff>142869</xdr:colOff>
      <xdr:row>1113</xdr:row>
      <xdr:rowOff>35118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7917100" y="203390500"/>
          <a:ext cx="12980952" cy="5714286"/>
        </a:xfrm>
        <a:prstGeom prst="rect">
          <a:avLst/>
        </a:prstGeom>
      </xdr:spPr>
    </xdr:pic>
    <xdr:clientData/>
  </xdr:twoCellAnchor>
  <xdr:twoCellAnchor>
    <xdr:from>
      <xdr:col>43</xdr:col>
      <xdr:colOff>681824</xdr:colOff>
      <xdr:row>60</xdr:row>
      <xdr:rowOff>129948</xdr:rowOff>
    </xdr:from>
    <xdr:to>
      <xdr:col>49</xdr:col>
      <xdr:colOff>839612</xdr:colOff>
      <xdr:row>80</xdr:row>
      <xdr:rowOff>51312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43</xdr:col>
      <xdr:colOff>668765</xdr:colOff>
      <xdr:row>81</xdr:row>
      <xdr:rowOff>145345</xdr:rowOff>
    </xdr:from>
    <xdr:to>
      <xdr:col>49</xdr:col>
      <xdr:colOff>940405</xdr:colOff>
      <xdr:row>100</xdr:row>
      <xdr:rowOff>138088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 editAs="oneCell">
    <xdr:from>
      <xdr:col>43</xdr:col>
      <xdr:colOff>0</xdr:colOff>
      <xdr:row>107</xdr:row>
      <xdr:rowOff>196272</xdr:rowOff>
    </xdr:from>
    <xdr:to>
      <xdr:col>48</xdr:col>
      <xdr:colOff>409288</xdr:colOff>
      <xdr:row>130</xdr:row>
      <xdr:rowOff>65853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634727" y="20423908"/>
          <a:ext cx="6223000" cy="4388299"/>
        </a:xfrm>
        <a:prstGeom prst="rect">
          <a:avLst/>
        </a:prstGeom>
      </xdr:spPr>
    </xdr:pic>
    <xdr:clientData/>
  </xdr:twoCellAnchor>
  <xdr:twoCellAnchor>
    <xdr:from>
      <xdr:col>41</xdr:col>
      <xdr:colOff>317501</xdr:colOff>
      <xdr:row>335</xdr:row>
      <xdr:rowOff>8081</xdr:rowOff>
    </xdr:from>
    <xdr:to>
      <xdr:col>48</xdr:col>
      <xdr:colOff>616857</xdr:colOff>
      <xdr:row>357</xdr:row>
      <xdr:rowOff>57726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39</xdr:col>
      <xdr:colOff>878416</xdr:colOff>
      <xdr:row>499</xdr:row>
      <xdr:rowOff>31750</xdr:rowOff>
    </xdr:from>
    <xdr:to>
      <xdr:col>49</xdr:col>
      <xdr:colOff>352778</xdr:colOff>
      <xdr:row>523</xdr:row>
      <xdr:rowOff>7056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 editAs="oneCell">
    <xdr:from>
      <xdr:col>40</xdr:col>
      <xdr:colOff>0</xdr:colOff>
      <xdr:row>532</xdr:row>
      <xdr:rowOff>0</xdr:rowOff>
    </xdr:from>
    <xdr:to>
      <xdr:col>46</xdr:col>
      <xdr:colOff>218154</xdr:colOff>
      <xdr:row>554</xdr:row>
      <xdr:rowOff>65796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433375" y="100615750"/>
          <a:ext cx="6225887" cy="4255526"/>
        </a:xfrm>
        <a:prstGeom prst="rect">
          <a:avLst/>
        </a:prstGeom>
      </xdr:spPr>
    </xdr:pic>
    <xdr:clientData/>
  </xdr:twoCellAnchor>
  <xdr:twoCellAnchor>
    <xdr:from>
      <xdr:col>47</xdr:col>
      <xdr:colOff>603251</xdr:colOff>
      <xdr:row>679</xdr:row>
      <xdr:rowOff>127000</xdr:rowOff>
    </xdr:from>
    <xdr:to>
      <xdr:col>55</xdr:col>
      <xdr:colOff>773113</xdr:colOff>
      <xdr:row>732</xdr:row>
      <xdr:rowOff>109536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43</xdr:col>
      <xdr:colOff>352777</xdr:colOff>
      <xdr:row>936</xdr:row>
      <xdr:rowOff>98777</xdr:rowOff>
    </xdr:from>
    <xdr:to>
      <xdr:col>49</xdr:col>
      <xdr:colOff>493889</xdr:colOff>
      <xdr:row>960</xdr:row>
      <xdr:rowOff>7056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43</xdr:col>
      <xdr:colOff>246062</xdr:colOff>
      <xdr:row>967</xdr:row>
      <xdr:rowOff>39688</xdr:rowOff>
    </xdr:from>
    <xdr:to>
      <xdr:col>50</xdr:col>
      <xdr:colOff>696736</xdr:colOff>
      <xdr:row>988</xdr:row>
      <xdr:rowOff>31750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42</xdr:col>
      <xdr:colOff>431509</xdr:colOff>
      <xdr:row>1119</xdr:row>
      <xdr:rowOff>176212</xdr:rowOff>
    </xdr:from>
    <xdr:to>
      <xdr:col>49</xdr:col>
      <xdr:colOff>865187</xdr:colOff>
      <xdr:row>1141</xdr:row>
      <xdr:rowOff>191221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43</xdr:col>
      <xdr:colOff>336651</xdr:colOff>
      <xdr:row>1051</xdr:row>
      <xdr:rowOff>112889</xdr:rowOff>
    </xdr:from>
    <xdr:to>
      <xdr:col>49</xdr:col>
      <xdr:colOff>225779</xdr:colOff>
      <xdr:row>1067</xdr:row>
      <xdr:rowOff>38302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 editAs="oneCell">
    <xdr:from>
      <xdr:col>52</xdr:col>
      <xdr:colOff>18142</xdr:colOff>
      <xdr:row>1982</xdr:row>
      <xdr:rowOff>145143</xdr:rowOff>
    </xdr:from>
    <xdr:to>
      <xdr:col>60</xdr:col>
      <xdr:colOff>620278</xdr:colOff>
      <xdr:row>2002</xdr:row>
      <xdr:rowOff>47897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1652713" y="384029857"/>
          <a:ext cx="10150929" cy="3891643"/>
        </a:xfrm>
        <a:prstGeom prst="rect">
          <a:avLst/>
        </a:prstGeom>
      </xdr:spPr>
    </xdr:pic>
    <xdr:clientData/>
  </xdr:twoCellAnchor>
  <xdr:twoCellAnchor editAs="oneCell">
    <xdr:from>
      <xdr:col>52</xdr:col>
      <xdr:colOff>145144</xdr:colOff>
      <xdr:row>2002</xdr:row>
      <xdr:rowOff>145143</xdr:rowOff>
    </xdr:from>
    <xdr:to>
      <xdr:col>60</xdr:col>
      <xdr:colOff>675796</xdr:colOff>
      <xdr:row>2022</xdr:row>
      <xdr:rowOff>28485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1779715" y="388021286"/>
          <a:ext cx="10069285" cy="3873500"/>
        </a:xfrm>
        <a:prstGeom prst="rect">
          <a:avLst/>
        </a:prstGeom>
      </xdr:spPr>
    </xdr:pic>
    <xdr:clientData/>
  </xdr:twoCellAnchor>
  <xdr:twoCellAnchor editAs="oneCell">
    <xdr:from>
      <xdr:col>49</xdr:col>
      <xdr:colOff>854982</xdr:colOff>
      <xdr:row>282</xdr:row>
      <xdr:rowOff>86179</xdr:rowOff>
    </xdr:from>
    <xdr:to>
      <xdr:col>58</xdr:col>
      <xdr:colOff>294706</xdr:colOff>
      <xdr:row>300</xdr:row>
      <xdr:rowOff>18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8686357" y="56061429"/>
          <a:ext cx="10657143" cy="3485714"/>
        </a:xfrm>
        <a:prstGeom prst="rect">
          <a:avLst/>
        </a:prstGeom>
      </xdr:spPr>
    </xdr:pic>
    <xdr:clientData/>
  </xdr:twoCellAnchor>
  <xdr:twoCellAnchor editAs="oneCell">
    <xdr:from>
      <xdr:col>52</xdr:col>
      <xdr:colOff>71437</xdr:colOff>
      <xdr:row>1957</xdr:row>
      <xdr:rowOff>182562</xdr:rowOff>
    </xdr:from>
    <xdr:to>
      <xdr:col>59</xdr:col>
      <xdr:colOff>657745</xdr:colOff>
      <xdr:row>1977</xdr:row>
      <xdr:rowOff>125411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1673125" y="377396375"/>
          <a:ext cx="8969375" cy="3905250"/>
        </a:xfrm>
        <a:prstGeom prst="rect">
          <a:avLst/>
        </a:prstGeom>
      </xdr:spPr>
    </xdr:pic>
    <xdr:clientData/>
  </xdr:twoCellAnchor>
  <xdr:twoCellAnchor editAs="oneCell">
    <xdr:from>
      <xdr:col>52</xdr:col>
      <xdr:colOff>79375</xdr:colOff>
      <xdr:row>1938</xdr:row>
      <xdr:rowOff>71438</xdr:rowOff>
    </xdr:from>
    <xdr:to>
      <xdr:col>59</xdr:col>
      <xdr:colOff>644728</xdr:colOff>
      <xdr:row>1957</xdr:row>
      <xdr:rowOff>141923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1681063" y="373514938"/>
          <a:ext cx="8937625" cy="3833812"/>
        </a:xfrm>
        <a:prstGeom prst="rect">
          <a:avLst/>
        </a:prstGeom>
      </xdr:spPr>
    </xdr:pic>
    <xdr:clientData/>
  </xdr:twoCellAnchor>
  <xdr:twoCellAnchor editAs="oneCell">
    <xdr:from>
      <xdr:col>59</xdr:col>
      <xdr:colOff>1005794</xdr:colOff>
      <xdr:row>1938</xdr:row>
      <xdr:rowOff>62367</xdr:rowOff>
    </xdr:from>
    <xdr:to>
      <xdr:col>72</xdr:col>
      <xdr:colOff>10772</xdr:colOff>
      <xdr:row>1957</xdr:row>
      <xdr:rowOff>28077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1149365" y="375165938"/>
          <a:ext cx="8939464" cy="3760107"/>
        </a:xfrm>
        <a:prstGeom prst="rect">
          <a:avLst/>
        </a:prstGeom>
      </xdr:spPr>
    </xdr:pic>
    <xdr:clientData/>
  </xdr:twoCellAnchor>
  <xdr:twoCellAnchor editAs="oneCell">
    <xdr:from>
      <xdr:col>59</xdr:col>
      <xdr:colOff>1000126</xdr:colOff>
      <xdr:row>1957</xdr:row>
      <xdr:rowOff>122464</xdr:rowOff>
    </xdr:from>
    <xdr:to>
      <xdr:col>71</xdr:col>
      <xdr:colOff>581614</xdr:colOff>
      <xdr:row>1977</xdr:row>
      <xdr:rowOff>125003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1143697" y="379017893"/>
          <a:ext cx="8739187" cy="3991428"/>
        </a:xfrm>
        <a:prstGeom prst="rect">
          <a:avLst/>
        </a:prstGeom>
      </xdr:spPr>
    </xdr:pic>
    <xdr:clientData/>
  </xdr:twoCellAnchor>
  <xdr:twoCellAnchor editAs="oneCell">
    <xdr:from>
      <xdr:col>46</xdr:col>
      <xdr:colOff>601739</xdr:colOff>
      <xdr:row>373</xdr:row>
      <xdr:rowOff>175381</xdr:rowOff>
    </xdr:from>
    <xdr:to>
      <xdr:col>53</xdr:col>
      <xdr:colOff>408330</xdr:colOff>
      <xdr:row>386</xdr:row>
      <xdr:rowOff>85741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5475072" y="75179464"/>
          <a:ext cx="8019048" cy="2523809"/>
        </a:xfrm>
        <a:prstGeom prst="rect">
          <a:avLst/>
        </a:prstGeom>
      </xdr:spPr>
    </xdr:pic>
    <xdr:clientData/>
  </xdr:twoCellAnchor>
  <xdr:twoCellAnchor editAs="oneCell">
    <xdr:from>
      <xdr:col>49</xdr:col>
      <xdr:colOff>179917</xdr:colOff>
      <xdr:row>2056</xdr:row>
      <xdr:rowOff>116417</xdr:rowOff>
    </xdr:from>
    <xdr:to>
      <xdr:col>57</xdr:col>
      <xdr:colOff>306915</xdr:colOff>
      <xdr:row>2077</xdr:row>
      <xdr:rowOff>180128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7995417" y="402378334"/>
          <a:ext cx="10022416" cy="4275666"/>
        </a:xfrm>
        <a:prstGeom prst="rect">
          <a:avLst/>
        </a:prstGeom>
      </xdr:spPr>
    </xdr:pic>
    <xdr:clientData/>
  </xdr:twoCellAnchor>
  <xdr:twoCellAnchor editAs="oneCell">
    <xdr:from>
      <xdr:col>49</xdr:col>
      <xdr:colOff>201082</xdr:colOff>
      <xdr:row>2077</xdr:row>
      <xdr:rowOff>78316</xdr:rowOff>
    </xdr:from>
    <xdr:to>
      <xdr:col>57</xdr:col>
      <xdr:colOff>599650</xdr:colOff>
      <xdr:row>2098</xdr:row>
      <xdr:rowOff>180129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8016582" y="406562983"/>
          <a:ext cx="10287001" cy="4313768"/>
        </a:xfrm>
        <a:prstGeom prst="rect">
          <a:avLst/>
        </a:prstGeom>
      </xdr:spPr>
    </xdr:pic>
    <xdr:clientData/>
  </xdr:twoCellAnchor>
  <xdr:twoCellAnchor>
    <xdr:from>
      <xdr:col>39</xdr:col>
      <xdr:colOff>369453</xdr:colOff>
      <xdr:row>1306</xdr:row>
      <xdr:rowOff>65809</xdr:rowOff>
    </xdr:from>
    <xdr:to>
      <xdr:col>48</xdr:col>
      <xdr:colOff>785090</xdr:colOff>
      <xdr:row>1332</xdr:row>
      <xdr:rowOff>126999</xdr:rowOff>
    </xdr:to>
    <xdr:graphicFrame macro="">
      <xdr:nvGraphicFramePr>
        <xdr:cNvPr id="73" name="Chart 72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 editAs="oneCell">
    <xdr:from>
      <xdr:col>49</xdr:col>
      <xdr:colOff>127000</xdr:colOff>
      <xdr:row>2056</xdr:row>
      <xdr:rowOff>54428</xdr:rowOff>
    </xdr:from>
    <xdr:to>
      <xdr:col>57</xdr:col>
      <xdr:colOff>428896</xdr:colOff>
      <xdr:row>2077</xdr:row>
      <xdr:rowOff>87205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7987857" y="399505714"/>
          <a:ext cx="10187214" cy="4221237"/>
        </a:xfrm>
        <a:prstGeom prst="rect">
          <a:avLst/>
        </a:prstGeom>
      </xdr:spPr>
    </xdr:pic>
    <xdr:clientData/>
  </xdr:twoCellAnchor>
  <xdr:twoCellAnchor editAs="oneCell">
    <xdr:from>
      <xdr:col>49</xdr:col>
      <xdr:colOff>272144</xdr:colOff>
      <xdr:row>2077</xdr:row>
      <xdr:rowOff>99785</xdr:rowOff>
    </xdr:from>
    <xdr:to>
      <xdr:col>57</xdr:col>
      <xdr:colOff>447221</xdr:colOff>
      <xdr:row>2098</xdr:row>
      <xdr:rowOff>104412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8133001" y="403742071"/>
          <a:ext cx="10069285" cy="4200072"/>
        </a:xfrm>
        <a:prstGeom prst="rect">
          <a:avLst/>
        </a:prstGeom>
      </xdr:spPr>
    </xdr:pic>
    <xdr:clientData/>
  </xdr:twoCellAnchor>
  <xdr:twoCellAnchor editAs="oneCell">
    <xdr:from>
      <xdr:col>3</xdr:col>
      <xdr:colOff>26307</xdr:colOff>
      <xdr:row>8</xdr:row>
      <xdr:rowOff>49893</xdr:rowOff>
    </xdr:from>
    <xdr:to>
      <xdr:col>3</xdr:col>
      <xdr:colOff>1258378</xdr:colOff>
      <xdr:row>11</xdr:row>
      <xdr:rowOff>31380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D16639-9957-57B0-54C9-9AFAB1B7D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912257" y="249918"/>
          <a:ext cx="1232071" cy="5815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211666</xdr:colOff>
      <xdr:row>115</xdr:row>
      <xdr:rowOff>0</xdr:rowOff>
    </xdr:from>
    <xdr:to>
      <xdr:col>42</xdr:col>
      <xdr:colOff>529165</xdr:colOff>
      <xdr:row>136</xdr:row>
      <xdr:rowOff>31749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42</xdr:col>
      <xdr:colOff>624417</xdr:colOff>
      <xdr:row>114</xdr:row>
      <xdr:rowOff>169332</xdr:rowOff>
    </xdr:from>
    <xdr:to>
      <xdr:col>50</xdr:col>
      <xdr:colOff>402167</xdr:colOff>
      <xdr:row>136</xdr:row>
      <xdr:rowOff>21166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829236</xdr:colOff>
      <xdr:row>140</xdr:row>
      <xdr:rowOff>11206</xdr:rowOff>
    </xdr:from>
    <xdr:to>
      <xdr:col>51</xdr:col>
      <xdr:colOff>156883</xdr:colOff>
      <xdr:row>161</xdr:row>
      <xdr:rowOff>42335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33617</xdr:colOff>
      <xdr:row>80</xdr:row>
      <xdr:rowOff>73959</xdr:rowOff>
    </xdr:from>
    <xdr:to>
      <xdr:col>25</xdr:col>
      <xdr:colOff>235323</xdr:colOff>
      <xdr:row>100</xdr:row>
      <xdr:rowOff>11205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103</xdr:row>
      <xdr:rowOff>0</xdr:rowOff>
    </xdr:from>
    <xdr:to>
      <xdr:col>25</xdr:col>
      <xdr:colOff>201706</xdr:colOff>
      <xdr:row>122</xdr:row>
      <xdr:rowOff>116541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115</xdr:row>
      <xdr:rowOff>0</xdr:rowOff>
    </xdr:from>
    <xdr:to>
      <xdr:col>61</xdr:col>
      <xdr:colOff>429557</xdr:colOff>
      <xdr:row>136</xdr:row>
      <xdr:rowOff>31749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61</xdr:col>
      <xdr:colOff>571501</xdr:colOff>
      <xdr:row>114</xdr:row>
      <xdr:rowOff>168088</xdr:rowOff>
    </xdr:from>
    <xdr:to>
      <xdr:col>71</xdr:col>
      <xdr:colOff>317500</xdr:colOff>
      <xdr:row>136</xdr:row>
      <xdr:rowOff>20543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211666</xdr:colOff>
      <xdr:row>169</xdr:row>
      <xdr:rowOff>0</xdr:rowOff>
    </xdr:from>
    <xdr:to>
      <xdr:col>42</xdr:col>
      <xdr:colOff>529165</xdr:colOff>
      <xdr:row>190</xdr:row>
      <xdr:rowOff>31749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42</xdr:col>
      <xdr:colOff>624417</xdr:colOff>
      <xdr:row>168</xdr:row>
      <xdr:rowOff>169332</xdr:rowOff>
    </xdr:from>
    <xdr:to>
      <xdr:col>50</xdr:col>
      <xdr:colOff>402167</xdr:colOff>
      <xdr:row>190</xdr:row>
      <xdr:rowOff>21166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829236</xdr:colOff>
      <xdr:row>194</xdr:row>
      <xdr:rowOff>11206</xdr:rowOff>
    </xdr:from>
    <xdr:to>
      <xdr:col>51</xdr:col>
      <xdr:colOff>156883</xdr:colOff>
      <xdr:row>215</xdr:row>
      <xdr:rowOff>42335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33617</xdr:colOff>
      <xdr:row>134</xdr:row>
      <xdr:rowOff>73959</xdr:rowOff>
    </xdr:from>
    <xdr:to>
      <xdr:col>25</xdr:col>
      <xdr:colOff>235323</xdr:colOff>
      <xdr:row>154</xdr:row>
      <xdr:rowOff>11205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157</xdr:row>
      <xdr:rowOff>0</xdr:rowOff>
    </xdr:from>
    <xdr:to>
      <xdr:col>25</xdr:col>
      <xdr:colOff>201706</xdr:colOff>
      <xdr:row>176</xdr:row>
      <xdr:rowOff>116541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169</xdr:row>
      <xdr:rowOff>0</xdr:rowOff>
    </xdr:from>
    <xdr:to>
      <xdr:col>61</xdr:col>
      <xdr:colOff>429557</xdr:colOff>
      <xdr:row>190</xdr:row>
      <xdr:rowOff>31749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61</xdr:col>
      <xdr:colOff>571501</xdr:colOff>
      <xdr:row>168</xdr:row>
      <xdr:rowOff>168088</xdr:rowOff>
    </xdr:from>
    <xdr:to>
      <xdr:col>71</xdr:col>
      <xdr:colOff>317500</xdr:colOff>
      <xdr:row>190</xdr:row>
      <xdr:rowOff>20543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0</xdr:colOff>
      <xdr:row>115</xdr:row>
      <xdr:rowOff>0</xdr:rowOff>
    </xdr:from>
    <xdr:to>
      <xdr:col>39</xdr:col>
      <xdr:colOff>201706</xdr:colOff>
      <xdr:row>134</xdr:row>
      <xdr:rowOff>116541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222250</xdr:colOff>
          <xdr:row>2</xdr:row>
          <xdr:rowOff>19050</xdr:rowOff>
        </xdr:from>
        <xdr:to>
          <xdr:col>2</xdr:col>
          <xdr:colOff>1574800</xdr:colOff>
          <xdr:row>3</xdr:row>
          <xdr:rowOff>19050</xdr:rowOff>
        </xdr:to>
        <xdr:sp macro="" textlink="">
          <xdr:nvSpPr>
            <xdr:cNvPr id="20481" name="Drop Down 1" hidden="1">
              <a:extLst>
                <a:ext uri="{63B3BB69-23CF-44E3-9099-C40C66FF867C}">
                  <a14:compatExt spid="_x0000_s20481"/>
                </a:ext>
                <a:ext uri="{FF2B5EF4-FFF2-40B4-BE49-F238E27FC236}">
                  <a16:creationId xmlns:a16="http://schemas.microsoft.com/office/drawing/2014/main" id="{00000000-0008-0000-0D00-00000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28574</xdr:colOff>
      <xdr:row>1</xdr:row>
      <xdr:rowOff>165100</xdr:rowOff>
    </xdr:from>
    <xdr:to>
      <xdr:col>20</xdr:col>
      <xdr:colOff>323849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211666</xdr:colOff>
      <xdr:row>115</xdr:row>
      <xdr:rowOff>0</xdr:rowOff>
    </xdr:from>
    <xdr:to>
      <xdr:col>42</xdr:col>
      <xdr:colOff>529165</xdr:colOff>
      <xdr:row>136</xdr:row>
      <xdr:rowOff>31749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42</xdr:col>
      <xdr:colOff>624417</xdr:colOff>
      <xdr:row>114</xdr:row>
      <xdr:rowOff>169332</xdr:rowOff>
    </xdr:from>
    <xdr:to>
      <xdr:col>50</xdr:col>
      <xdr:colOff>402167</xdr:colOff>
      <xdr:row>136</xdr:row>
      <xdr:rowOff>21166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829236</xdr:colOff>
      <xdr:row>140</xdr:row>
      <xdr:rowOff>11206</xdr:rowOff>
    </xdr:from>
    <xdr:to>
      <xdr:col>51</xdr:col>
      <xdr:colOff>156883</xdr:colOff>
      <xdr:row>161</xdr:row>
      <xdr:rowOff>42335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33617</xdr:colOff>
      <xdr:row>80</xdr:row>
      <xdr:rowOff>73959</xdr:rowOff>
    </xdr:from>
    <xdr:to>
      <xdr:col>25</xdr:col>
      <xdr:colOff>235323</xdr:colOff>
      <xdr:row>100</xdr:row>
      <xdr:rowOff>11205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103</xdr:row>
      <xdr:rowOff>0</xdr:rowOff>
    </xdr:from>
    <xdr:to>
      <xdr:col>25</xdr:col>
      <xdr:colOff>201706</xdr:colOff>
      <xdr:row>122</xdr:row>
      <xdr:rowOff>116541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115</xdr:row>
      <xdr:rowOff>0</xdr:rowOff>
    </xdr:from>
    <xdr:to>
      <xdr:col>61</xdr:col>
      <xdr:colOff>429557</xdr:colOff>
      <xdr:row>136</xdr:row>
      <xdr:rowOff>31749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61</xdr:col>
      <xdr:colOff>571501</xdr:colOff>
      <xdr:row>114</xdr:row>
      <xdr:rowOff>168088</xdr:rowOff>
    </xdr:from>
    <xdr:to>
      <xdr:col>71</xdr:col>
      <xdr:colOff>317500</xdr:colOff>
      <xdr:row>136</xdr:row>
      <xdr:rowOff>20543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0</xdr:row>
      <xdr:rowOff>142875</xdr:rowOff>
    </xdr:from>
    <xdr:to>
      <xdr:col>11</xdr:col>
      <xdr:colOff>152400</xdr:colOff>
      <xdr:row>17</xdr:row>
      <xdr:rowOff>75142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317499</xdr:colOff>
      <xdr:row>0</xdr:row>
      <xdr:rowOff>158749</xdr:rowOff>
    </xdr:from>
    <xdr:to>
      <xdr:col>23</xdr:col>
      <xdr:colOff>278700</xdr:colOff>
      <xdr:row>17</xdr:row>
      <xdr:rowOff>93217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198438</xdr:colOff>
      <xdr:row>18</xdr:row>
      <xdr:rowOff>111125</xdr:rowOff>
    </xdr:from>
    <xdr:to>
      <xdr:col>11</xdr:col>
      <xdr:colOff>182562</xdr:colOff>
      <xdr:row>37</xdr:row>
      <xdr:rowOff>130175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Financial%20Data\Corporate%20Research\Cosgrove\Webinars\Metals%20&amp;%20Mining\Company%20Coverage\Iamgold\IMG%20Model%20--2Q19-%20Repaired%20Double%20Check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45499fd0eb48eecf/UPS_Interactive_model%20with%20DBG%20Questions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Financial%20Data\Corporate%20Research\Cosgrove\Webinars\Metals%20&amp;%20Mining\Company%20Coverage\Commodity%20Price%20Scenario%20Deck_MASTER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Financial%20Data\Corporate%20Research\Cosgrove\Webinars\Metals%20&amp;%20Mining\Company%20Coverage\BHP\BHP%20Billiton%20Model_Post%20FY%201H19_April%20Updat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Financial%20Data\Corporate%20Research\Cosgrove\Webinars\Metals%20&amp;%20Mining\Company%20Coverage\BHP\BHP%20Billiton%20Model_Post%20FY%201H19_April%20Update_Spot%20Px_V%202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Financial%20Data\Corporate%20Research\Cosgrove\Webinars\Metals%20&amp;%20Mining\Company%20Coverage\Anglo%20American\Anglo%20American%20Model_Post%201H19%20Results_Spot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Financial%20Data\Corporate%20Research\Cosgrove\Webinars\Metals%20&amp;%20Mining\Company%20Coverage\Anglo%20American\Anglo%20American%20Model_April_19_Spot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Financial%20Data\Corporate%20Research\Cosgrove\Webinars\Metals%20&amp;%20Mining\Company%20Coverage\Vale\Vale_Model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45499fd0eb48eecf/Grenville%20Model%20Comple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Segment"/>
      <sheetName val="2Q 19"/>
      <sheetName val="Segement Information (Q) (2)"/>
      <sheetName val="1Q 19"/>
      <sheetName val="4Q 18"/>
      <sheetName val="IMG Thesis 2019 "/>
      <sheetName val="Catalysts (2)"/>
      <sheetName val="Factors to Watch"/>
      <sheetName val="Q4"/>
      <sheetName val="BS-CF"/>
      <sheetName val="R&amp;R"/>
      <sheetName val="Q3"/>
      <sheetName val="Sheet1"/>
      <sheetName val="MR "/>
      <sheetName val="Sheet2"/>
      <sheetName val="IMG-DCF"/>
      <sheetName val="Fin Trends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8">
          <cell r="F8" t="str">
            <v>I AM GOLD</v>
          </cell>
        </row>
        <row r="10">
          <cell r="F10">
            <v>4.47</v>
          </cell>
        </row>
        <row r="11">
          <cell r="F11">
            <v>423.9</v>
          </cell>
        </row>
        <row r="13">
          <cell r="F13">
            <v>0.3508</v>
          </cell>
        </row>
        <row r="16">
          <cell r="F16">
            <v>1000</v>
          </cell>
        </row>
        <row r="17">
          <cell r="F17">
            <v>42735</v>
          </cell>
        </row>
      </sheetData>
      <sheetData sheetId="1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nual"/>
      <sheetName val="DBG Questionnaire"/>
      <sheetName val="Cover Page"/>
      <sheetName val="Summary"/>
      <sheetName val="Sheet1"/>
      <sheetName val="Segments"/>
      <sheetName val="Financials"/>
      <sheetName val="Valuation"/>
      <sheetName val="Variance Analysis"/>
      <sheetName val="Lists"/>
      <sheetName val="Air Fleet"/>
    </sheetNames>
    <sheetDataSet>
      <sheetData sheetId="0"/>
      <sheetData sheetId="1"/>
      <sheetData sheetId="2"/>
      <sheetData sheetId="3">
        <row r="5">
          <cell r="F5" t="str">
            <v>UPS US Equity</v>
          </cell>
          <cell r="AE5" t="str">
            <v>MR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8">
          <cell r="AH18">
            <v>160</v>
          </cell>
          <cell r="AY18">
            <v>145</v>
          </cell>
          <cell r="AZ18">
            <v>140</v>
          </cell>
          <cell r="BA18">
            <v>140</v>
          </cell>
        </row>
        <row r="26">
          <cell r="AH26">
            <v>9510</v>
          </cell>
          <cell r="AY26">
            <v>9510</v>
          </cell>
          <cell r="AZ26">
            <v>9510</v>
          </cell>
        </row>
        <row r="34">
          <cell r="AH34">
            <v>3100</v>
          </cell>
          <cell r="AY34">
            <v>3300</v>
          </cell>
          <cell r="AZ34">
            <v>3200</v>
          </cell>
          <cell r="BA34">
            <v>3000</v>
          </cell>
        </row>
        <row r="82">
          <cell r="Q82">
            <v>153.69780833333334</v>
          </cell>
          <cell r="AH82">
            <v>85.315999999999988</v>
          </cell>
          <cell r="AY82">
            <v>74.239999999999995</v>
          </cell>
        </row>
      </sheetData>
      <sheetData sheetId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  <sheetName val="Post FY19 Results"/>
      <sheetName val="BS &amp; CF"/>
      <sheetName val="Valuation &amp; Estimates"/>
      <sheetName val="Production &amp; Sales Report"/>
      <sheetName val="Australia Minerals Briefing"/>
      <sheetName val="Graphic"/>
      <sheetName val="Model_Spot"/>
      <sheetName val="Sheet3"/>
      <sheetName val="BS-CF"/>
      <sheetName val="Catch-Up"/>
      <sheetName val="2H18 Call"/>
      <sheetName val="Sheet1"/>
      <sheetName val="MTM EBITDA"/>
    </sheetNames>
    <sheetDataSet>
      <sheetData sheetId="0">
        <row r="252">
          <cell r="T252">
            <v>6161.5990423387102</v>
          </cell>
          <cell r="W252">
            <v>6300</v>
          </cell>
          <cell r="Z252">
            <v>6500</v>
          </cell>
          <cell r="AA252"/>
        </row>
        <row r="443">
          <cell r="T443">
            <v>80.445349999999991</v>
          </cell>
          <cell r="W443">
            <v>90</v>
          </cell>
          <cell r="Z443">
            <v>75</v>
          </cell>
          <cell r="AA443"/>
        </row>
        <row r="488">
          <cell r="T488">
            <v>204.56035</v>
          </cell>
          <cell r="W488">
            <v>160</v>
          </cell>
          <cell r="Z488">
            <v>155</v>
          </cell>
          <cell r="AA488"/>
        </row>
        <row r="528">
          <cell r="T528">
            <v>99.721193216232578</v>
          </cell>
          <cell r="W528">
            <v>75</v>
          </cell>
          <cell r="Z528">
            <v>75</v>
          </cell>
          <cell r="AA528"/>
        </row>
        <row r="785">
          <cell r="S785">
            <v>5057</v>
          </cell>
        </row>
      </sheetData>
      <sheetData sheetId="1"/>
      <sheetData sheetId="2"/>
      <sheetData sheetId="3">
        <row r="80">
          <cell r="AL80" t="str">
            <v>Special Dividend*</v>
          </cell>
          <cell r="AM80" t="str">
            <v>Interim Dividend**</v>
          </cell>
          <cell r="AN80" t="str">
            <v>Earnings Revision</v>
          </cell>
          <cell r="AO80" t="str">
            <v>Multiple Expansion</v>
          </cell>
          <cell r="AP80" t="str">
            <v>TSR (%) - May '19</v>
          </cell>
          <cell r="AQ80" t="str">
            <v>Interim Dividend***</v>
          </cell>
          <cell r="AR80" t="str">
            <v>ER/Multiple Expansion</v>
          </cell>
          <cell r="AS80" t="str">
            <v>TSR (%) Dec. '19</v>
          </cell>
          <cell r="AT80" t="str">
            <v>Interim Dividend***</v>
          </cell>
          <cell r="AU80" t="str">
            <v>ER/Multiple Expansion</v>
          </cell>
          <cell r="AV80" t="str">
            <v>TSR (%) Dec. '20</v>
          </cell>
        </row>
        <row r="81">
          <cell r="AL81">
            <v>0</v>
          </cell>
          <cell r="AM81">
            <v>4.2742001139786698E-2</v>
          </cell>
          <cell r="AN81">
            <v>6.3371771774245925E-2</v>
          </cell>
          <cell r="AO81">
            <v>0.14494496915225019</v>
          </cell>
          <cell r="AP81">
            <v>0</v>
          </cell>
          <cell r="AQ81">
            <v>0.12805307726035831</v>
          </cell>
          <cell r="AR81">
            <v>0.1535436761752958</v>
          </cell>
          <cell r="AS81">
            <v>0</v>
          </cell>
        </row>
        <row r="82">
          <cell r="AL82">
            <v>4.2742001139786698E-2</v>
          </cell>
          <cell r="AM82">
            <v>2.0629770634459223E-2</v>
          </cell>
          <cell r="AN82">
            <v>8.1573197378004281E-2</v>
          </cell>
          <cell r="AO82">
            <v>-1.6891891891891886E-2</v>
          </cell>
          <cell r="AP82">
            <v>0.12805307726035831</v>
          </cell>
          <cell r="AQ82">
            <v>2.549059891493749E-2</v>
          </cell>
          <cell r="AR82">
            <v>0</v>
          </cell>
          <cell r="AS82">
            <v>0.1535436761752958</v>
          </cell>
        </row>
        <row r="85">
          <cell r="AL85">
            <v>0</v>
          </cell>
          <cell r="AM85">
            <v>4.2742001139786698E-2</v>
          </cell>
          <cell r="AN85">
            <v>6.3371771774245925E-2</v>
          </cell>
          <cell r="AO85">
            <v>0.14494496915225019</v>
          </cell>
          <cell r="AP85">
            <v>0</v>
          </cell>
          <cell r="AQ85">
            <v>0.12805307726035831</v>
          </cell>
          <cell r="AR85">
            <v>0.1535436761752958</v>
          </cell>
          <cell r="AS85">
            <v>0</v>
          </cell>
          <cell r="AT85">
            <v>0.20811253634517862</v>
          </cell>
          <cell r="AU85">
            <v>0.27311253634517862</v>
          </cell>
          <cell r="AV85">
            <v>0</v>
          </cell>
        </row>
        <row r="86">
          <cell r="AL86">
            <v>4.2742001139786698E-2</v>
          </cell>
          <cell r="AM86">
            <v>2.0629770634459223E-2</v>
          </cell>
          <cell r="AN86">
            <v>8.1573197378004281E-2</v>
          </cell>
          <cell r="AO86">
            <v>-1.6891891891891886E-2</v>
          </cell>
          <cell r="AP86">
            <v>0.12805307726035831</v>
          </cell>
          <cell r="AQ86">
            <v>2.549059891493749E-2</v>
          </cell>
          <cell r="AR86">
            <v>5.4568860169882827E-2</v>
          </cell>
          <cell r="AS86">
            <v>0.20811253634517862</v>
          </cell>
          <cell r="AT86">
            <v>6.5000000000000002E-2</v>
          </cell>
          <cell r="AU86">
            <v>7.2999999999999995E-2</v>
          </cell>
          <cell r="AV86">
            <v>0.34611253634517863</v>
          </cell>
        </row>
        <row r="91">
          <cell r="AP91">
            <v>0</v>
          </cell>
          <cell r="AQ91">
            <v>0.15</v>
          </cell>
          <cell r="AR91">
            <v>0.17549059891493748</v>
          </cell>
          <cell r="AS91">
            <v>0</v>
          </cell>
        </row>
        <row r="92">
          <cell r="I92" t="str">
            <v>BI - Base Case</v>
          </cell>
          <cell r="J92" t="str">
            <v>BI - Spot</v>
          </cell>
          <cell r="K92" t="str">
            <v>Consensus</v>
          </cell>
          <cell r="AP92">
            <v>0.15</v>
          </cell>
          <cell r="AQ92">
            <v>2.549059891493749E-2</v>
          </cell>
          <cell r="AR92">
            <v>0</v>
          </cell>
          <cell r="AS92">
            <v>0.17549059891493748</v>
          </cell>
        </row>
        <row r="93">
          <cell r="H93">
            <v>2019</v>
          </cell>
          <cell r="I93">
            <v>26043.290488777777</v>
          </cell>
          <cell r="J93">
            <v>26575.135276281049</v>
          </cell>
          <cell r="K93">
            <v>25200</v>
          </cell>
        </row>
        <row r="94">
          <cell r="H94">
            <v>2020</v>
          </cell>
          <cell r="I94">
            <v>24726.501541153593</v>
          </cell>
          <cell r="J94">
            <v>27234.275164748564</v>
          </cell>
          <cell r="K94">
            <v>25140</v>
          </cell>
        </row>
        <row r="95">
          <cell r="AP95">
            <v>0</v>
          </cell>
          <cell r="AQ95">
            <v>0.15</v>
          </cell>
          <cell r="AR95">
            <v>0.17549059891493748</v>
          </cell>
          <cell r="AS95">
            <v>0</v>
          </cell>
        </row>
        <row r="96">
          <cell r="AP96">
            <v>0.15</v>
          </cell>
          <cell r="AQ96">
            <v>2.549059891493749E-2</v>
          </cell>
          <cell r="AR96">
            <v>0.16</v>
          </cell>
          <cell r="AS96">
            <v>0.33549059891493749</v>
          </cell>
        </row>
        <row r="98">
          <cell r="H98" t="str">
            <v>CY '19</v>
          </cell>
          <cell r="I98">
            <v>26.043290488777778</v>
          </cell>
          <cell r="J98">
            <v>26.575135276281049</v>
          </cell>
          <cell r="K98">
            <v>25.2</v>
          </cell>
        </row>
        <row r="99">
          <cell r="H99" t="str">
            <v>CY '20</v>
          </cell>
          <cell r="I99">
            <v>24.726501541153592</v>
          </cell>
          <cell r="J99">
            <v>27.234275164748563</v>
          </cell>
          <cell r="K99">
            <v>25.14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  <sheetName val="Production &amp; Sales Report"/>
      <sheetName val="Australia Minerals Briefing"/>
      <sheetName val="Graphic"/>
      <sheetName val="Model_Spot"/>
      <sheetName val="Sheet3"/>
      <sheetName val="BS-CF"/>
      <sheetName val="Catch-Up"/>
      <sheetName val="2H18 Call"/>
      <sheetName val="Sheet1"/>
      <sheetName val="MTM EBITDA"/>
      <sheetName val="Valuation &amp; Estimates"/>
    </sheetNames>
    <sheetDataSet>
      <sheetData sheetId="0">
        <row r="5">
          <cell r="AF5">
            <v>81.47</v>
          </cell>
          <cell r="AG5">
            <v>5728</v>
          </cell>
          <cell r="AH5">
            <v>65.600000000000009</v>
          </cell>
          <cell r="AI5">
            <v>149</v>
          </cell>
        </row>
        <row r="823">
          <cell r="T823">
            <v>23881.836092005338</v>
          </cell>
          <cell r="W823">
            <v>22869.720466994779</v>
          </cell>
          <cell r="Z823">
            <v>24248.074282585199</v>
          </cell>
        </row>
        <row r="836">
          <cell r="T836">
            <v>8660.8360920053383</v>
          </cell>
          <cell r="W836">
            <v>8352.2903502460831</v>
          </cell>
          <cell r="Z836">
            <v>9386.0557119388977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Q17"/>
      <sheetName val="Production"/>
      <sheetName val="Models"/>
      <sheetName val="Simplied Earns by BU"/>
      <sheetName val="Valuation &amp; Estimates FINAL"/>
      <sheetName val="Sheet3"/>
      <sheetName val="Sheet5"/>
      <sheetName val="Sheet4"/>
      <sheetName val="Sheet2"/>
      <sheetName val="Spot"/>
      <sheetName val="BS-CF"/>
      <sheetName val="Guidance"/>
      <sheetName val="Sheet1"/>
      <sheetName val="2H17"/>
      <sheetName val="Fin Trends (2)"/>
      <sheetName val="Catch Up"/>
      <sheetName val="MTM EBITDA"/>
    </sheetNames>
    <sheetDataSet>
      <sheetData sheetId="0"/>
      <sheetData sheetId="1"/>
      <sheetData sheetId="2">
        <row r="352">
          <cell r="Q352">
            <v>58.5</v>
          </cell>
          <cell r="T352">
            <v>58.5</v>
          </cell>
        </row>
      </sheetData>
      <sheetData sheetId="3">
        <row r="128">
          <cell r="AT128">
            <v>7501.9343643725442</v>
          </cell>
        </row>
        <row r="134">
          <cell r="AN134">
            <v>9161.9343643725442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Q17"/>
      <sheetName val="Production"/>
      <sheetName val="Models"/>
      <sheetName val="Valuation &amp; Estimates"/>
      <sheetName val="Sheet5"/>
      <sheetName val="Sheet3"/>
      <sheetName val="Sheet4"/>
      <sheetName val="Sheet2"/>
      <sheetName val="Spot"/>
      <sheetName val="BS-CF"/>
      <sheetName val="Guidance"/>
      <sheetName val="Sheet1"/>
      <sheetName val="2H17"/>
      <sheetName val="Fin Trends (2)"/>
      <sheetName val="Catch Up"/>
      <sheetName val="MTM EBITDA"/>
    </sheetNames>
    <sheetDataSet>
      <sheetData sheetId="0"/>
      <sheetData sheetId="1"/>
      <sheetData sheetId="2">
        <row r="9">
          <cell r="AD9">
            <v>12740</v>
          </cell>
        </row>
        <row r="10">
          <cell r="AD10">
            <v>985.1</v>
          </cell>
        </row>
        <row r="11">
          <cell r="AD11">
            <v>2699.19</v>
          </cell>
        </row>
        <row r="12">
          <cell r="AD12">
            <v>12700</v>
          </cell>
        </row>
        <row r="56">
          <cell r="Q56">
            <v>5739</v>
          </cell>
        </row>
        <row r="182">
          <cell r="Q182">
            <v>92.01</v>
          </cell>
        </row>
        <row r="295">
          <cell r="Q295">
            <v>158.29</v>
          </cell>
        </row>
        <row r="354">
          <cell r="Q354">
            <v>78.650000000000006</v>
          </cell>
        </row>
        <row r="891">
          <cell r="Q891">
            <v>3886.4904808991346</v>
          </cell>
          <cell r="T891">
            <v>3953.7912279883158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-BS-CF-Reco Tables"/>
      <sheetName val="Ferrous Minerals"/>
      <sheetName val="Valuation Snapshot"/>
      <sheetName val="New IO Guide"/>
      <sheetName val="Base Metals"/>
      <sheetName val="Coal"/>
      <sheetName val="Sheet3"/>
      <sheetName val="Guidance"/>
      <sheetName val="Sheet1"/>
      <sheetName val="IO Scenarios"/>
      <sheetName val="Summary"/>
      <sheetName val="Sheet5"/>
      <sheetName val="Weely Tracking"/>
      <sheetName val="Sensitivities"/>
      <sheetName val="1Q18"/>
      <sheetName val="2Q17"/>
      <sheetName val="3Q18"/>
      <sheetName val="4Q19"/>
      <sheetName val="1Q20"/>
      <sheetName val="Sheet2"/>
      <sheetName val="Charts"/>
      <sheetName val="Realized Pricing History"/>
    </sheetNames>
    <sheetDataSet>
      <sheetData sheetId="0">
        <row r="11">
          <cell r="AJ11">
            <v>-443</v>
          </cell>
          <cell r="AO11">
            <v>-443</v>
          </cell>
          <cell r="AT11">
            <v>-443</v>
          </cell>
        </row>
        <row r="12">
          <cell r="AJ12">
            <v>-160</v>
          </cell>
          <cell r="AO12">
            <v>0</v>
          </cell>
          <cell r="AT12">
            <v>0</v>
          </cell>
        </row>
        <row r="49">
          <cell r="AJ49" t="e">
            <v>#VALUE!</v>
          </cell>
          <cell r="AO49">
            <v>4482.8896394093663</v>
          </cell>
          <cell r="AT49">
            <v>3855.1685474207652</v>
          </cell>
        </row>
        <row r="50">
          <cell r="AJ50" t="e">
            <v>#VALUE!</v>
          </cell>
          <cell r="AO50">
            <v>0.87392832742012594</v>
          </cell>
          <cell r="AT50">
            <v>0.75155564191270152</v>
          </cell>
        </row>
        <row r="200">
          <cell r="AJ200">
            <v>0</v>
          </cell>
          <cell r="AO200">
            <v>0</v>
          </cell>
          <cell r="AT200">
            <v>0</v>
          </cell>
        </row>
        <row r="224">
          <cell r="AJ224"/>
          <cell r="AO224"/>
          <cell r="AT224"/>
        </row>
        <row r="238">
          <cell r="AJ238">
            <v>-5800</v>
          </cell>
          <cell r="AO238">
            <v>-5500</v>
          </cell>
          <cell r="AT238">
            <v>-5500</v>
          </cell>
        </row>
        <row r="262">
          <cell r="AJ262" t="e">
            <v>#VALUE!</v>
          </cell>
          <cell r="AO262" t="e">
            <v>#VALUE!</v>
          </cell>
          <cell r="AT262">
            <v>-7272.1343129064207</v>
          </cell>
        </row>
        <row r="271">
          <cell r="AJ271"/>
          <cell r="AO271"/>
          <cell r="AT271"/>
        </row>
        <row r="309">
          <cell r="AJ309" t="e">
            <v>#VALUE!</v>
          </cell>
          <cell r="AO309">
            <v>7460.9053402909149</v>
          </cell>
          <cell r="AT309">
            <v>5844.9195240149384</v>
          </cell>
        </row>
        <row r="384">
          <cell r="AE384"/>
          <cell r="AJ384"/>
          <cell r="AO384"/>
          <cell r="AT384"/>
          <cell r="AY384"/>
          <cell r="BD384"/>
        </row>
        <row r="405">
          <cell r="AJ405" t="e">
            <v>#VALUE!</v>
          </cell>
          <cell r="AO405">
            <v>40015.893047572463</v>
          </cell>
          <cell r="AT405">
            <v>38897.304003325124</v>
          </cell>
          <cell r="AY405">
            <v>36490.81263554786</v>
          </cell>
          <cell r="BD405">
            <v>36115.624440187858</v>
          </cell>
        </row>
        <row r="422">
          <cell r="AE422">
            <v>21535</v>
          </cell>
          <cell r="AO422">
            <v>19617.965464697885</v>
          </cell>
          <cell r="AT422">
            <v>17525.561824735887</v>
          </cell>
          <cell r="AY422">
            <v>17061.207608504828</v>
          </cell>
          <cell r="BD422">
            <v>17205.141603813485</v>
          </cell>
        </row>
      </sheetData>
      <sheetData sheetId="1">
        <row r="24">
          <cell r="AK24"/>
        </row>
        <row r="62">
          <cell r="AK62">
            <v>5748.7674781679998</v>
          </cell>
          <cell r="AP62">
            <v>5388.3850000000002</v>
          </cell>
          <cell r="AU62">
            <v>3932.4559999999992</v>
          </cell>
          <cell r="AZ62">
            <v>3185.3263999999999</v>
          </cell>
          <cell r="BE62">
            <v>3013.4839999999995</v>
          </cell>
        </row>
        <row r="73">
          <cell r="AA73"/>
        </row>
        <row r="96">
          <cell r="AF96">
            <v>108.9</v>
          </cell>
          <cell r="AK96"/>
          <cell r="AP96"/>
          <cell r="AU96"/>
        </row>
        <row r="111">
          <cell r="AA111"/>
        </row>
        <row r="134">
          <cell r="AF134">
            <v>103.8625</v>
          </cell>
          <cell r="AK134">
            <v>138.84810214950045</v>
          </cell>
          <cell r="AP134">
            <v>63.879043002803485</v>
          </cell>
          <cell r="AU134">
            <v>58.989319504281454</v>
          </cell>
        </row>
        <row r="507">
          <cell r="AB507">
            <v>89</v>
          </cell>
          <cell r="AC507">
            <v>93.11</v>
          </cell>
          <cell r="AD507">
            <v>118.18666666666667</v>
          </cell>
          <cell r="AE507">
            <v>133.54999999999998</v>
          </cell>
        </row>
      </sheetData>
      <sheetData sheetId="2"/>
      <sheetData sheetId="3"/>
      <sheetData sheetId="4">
        <row r="255">
          <cell r="AE255">
            <v>61</v>
          </cell>
        </row>
        <row r="293">
          <cell r="AE293">
            <v>2978.4541769931484</v>
          </cell>
          <cell r="AJ293">
            <v>3388.7281254599329</v>
          </cell>
          <cell r="AO293">
            <v>3533.0815035153601</v>
          </cell>
          <cell r="AT293">
            <v>4044.251809218702</v>
          </cell>
          <cell r="AY293">
            <v>3555.6826059187028</v>
          </cell>
        </row>
        <row r="370">
          <cell r="AE370">
            <v>2214.7440514012383</v>
          </cell>
          <cell r="AJ370">
            <v>2328.4124925000001</v>
          </cell>
          <cell r="AO370">
            <v>2408.4642924999998</v>
          </cell>
          <cell r="AT370">
            <v>2408.4642924999998</v>
          </cell>
          <cell r="AY370">
            <v>2408.4642924999998</v>
          </cell>
        </row>
      </sheetData>
      <sheetData sheetId="5">
        <row r="35">
          <cell r="AE35" t="e">
            <v>#VALUE!</v>
          </cell>
          <cell r="AJ35">
            <v>-156.79130314232918</v>
          </cell>
          <cell r="AO35">
            <v>-274.72914972273571</v>
          </cell>
          <cell r="AP35">
            <v>-254.11999999999995</v>
          </cell>
          <cell r="AQ35">
            <v>-11.203049907578588</v>
          </cell>
        </row>
      </sheetData>
      <sheetData sheetId="6"/>
      <sheetData sheetId="7"/>
      <sheetData sheetId="8"/>
      <sheetData sheetId="9"/>
      <sheetData sheetId="10">
        <row r="13">
          <cell r="J13">
            <v>17987</v>
          </cell>
        </row>
        <row r="24">
          <cell r="J24">
            <v>8083</v>
          </cell>
          <cell r="N24">
            <v>13415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Summary"/>
      <sheetName val="GenAssums"/>
      <sheetName val="AnnAssums"/>
      <sheetName val="Scenarios"/>
      <sheetName val="Mine"/>
    </sheetNames>
    <sheetDataSet>
      <sheetData sheetId="0"/>
      <sheetData sheetId="1"/>
      <sheetData sheetId="2">
        <row r="19">
          <cell r="I19" t="str">
            <v>Best Case</v>
          </cell>
          <cell r="K19">
            <v>0.05</v>
          </cell>
        </row>
        <row r="20">
          <cell r="I20" t="str">
            <v>Worst Case</v>
          </cell>
          <cell r="K20">
            <v>-0.05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BI Theme 1-26-2015">
  <a:themeElements>
    <a:clrScheme name="Custom 1">
      <a:dk1>
        <a:sysClr val="windowText" lastClr="000000"/>
      </a:dk1>
      <a:lt1>
        <a:sysClr val="window" lastClr="FFFFFF"/>
      </a:lt1>
      <a:dk2>
        <a:srgbClr val="000000"/>
      </a:dk2>
      <a:lt2>
        <a:srgbClr val="FFFFFF"/>
      </a:lt2>
      <a:accent1>
        <a:srgbClr val="FDA315"/>
      </a:accent1>
      <a:accent2>
        <a:srgbClr val="4AB0FF"/>
      </a:accent2>
      <a:accent3>
        <a:srgbClr val="FF00FC"/>
      </a:accent3>
      <a:accent4>
        <a:srgbClr val="FFE273"/>
      </a:accent4>
      <a:accent5>
        <a:srgbClr val="037BCD"/>
      </a:accent5>
      <a:accent6>
        <a:srgbClr val="7F7F7F"/>
      </a:accent6>
      <a:hlink>
        <a:srgbClr val="996633"/>
      </a:hlink>
      <a:folHlink>
        <a:srgbClr val="66FFFF"/>
      </a:folHlink>
    </a:clrScheme>
    <a:fontScheme name="Office Classic 2">
      <a:maj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trlProp" Target="../ctrlProps/ctrlProp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B2140"/>
  <sheetViews>
    <sheetView tabSelected="1" zoomScaleNormal="100" workbookViewId="0">
      <pane xSplit="6" ySplit="12" topLeftCell="P151" activePane="bottomRight" state="frozen"/>
      <selection pane="topRight" activeCell="G1" sqref="G1"/>
      <selection pane="bottomLeft" activeCell="A13" sqref="A13"/>
      <selection pane="bottomRight" activeCell="B10" sqref="B10"/>
    </sheetView>
  </sheetViews>
  <sheetFormatPr defaultColWidth="9" defaultRowHeight="15.5" outlineLevelCol="1"/>
  <cols>
    <col min="1" max="1" width="5.5" style="76" hidden="1" customWidth="1"/>
    <col min="2" max="2" width="12.83203125" style="76" customWidth="1"/>
    <col min="3" max="3" width="11.83203125" style="76" customWidth="1"/>
    <col min="4" max="4" width="35.5" style="76" customWidth="1"/>
    <col min="5" max="5" width="11.33203125" style="76" customWidth="1"/>
    <col min="6" max="6" width="7" style="76" customWidth="1"/>
    <col min="7" max="7" width="16.33203125" style="76" hidden="1" customWidth="1"/>
    <col min="8" max="8" width="12.08203125" style="76" hidden="1" customWidth="1"/>
    <col min="9" max="9" width="13.83203125" style="76" bestFit="1" customWidth="1"/>
    <col min="10" max="10" width="11.5" style="76" bestFit="1" customWidth="1"/>
    <col min="11" max="11" width="13.83203125" style="76" bestFit="1" customWidth="1"/>
    <col min="12" max="12" width="13" style="76" hidden="1" customWidth="1" outlineLevel="1"/>
    <col min="13" max="13" width="14.83203125" style="76" hidden="1" customWidth="1" outlineLevel="1"/>
    <col min="14" max="14" width="16.5" style="76" hidden="1" customWidth="1" outlineLevel="1"/>
    <col min="15" max="15" width="15.83203125" style="76" hidden="1" customWidth="1" outlineLevel="1"/>
    <col min="16" max="16" width="12.08203125" style="76" customWidth="1" collapsed="1"/>
    <col min="17" max="17" width="13" style="76" hidden="1" customWidth="1" outlineLevel="1"/>
    <col min="18" max="19" width="12.83203125" style="76" hidden="1" customWidth="1" outlineLevel="1"/>
    <col min="20" max="20" width="13.25" style="76" hidden="1" customWidth="1" outlineLevel="1"/>
    <col min="21" max="21" width="15.58203125" style="76" bestFit="1" customWidth="1" collapsed="1"/>
    <col min="22" max="23" width="13.25" style="76" hidden="1" customWidth="1" outlineLevel="1"/>
    <col min="24" max="24" width="9.75" style="76" hidden="1" customWidth="1" outlineLevel="1"/>
    <col min="25" max="25" width="14.5" style="76" hidden="1" customWidth="1" outlineLevel="1"/>
    <col min="26" max="26" width="14.33203125" style="76" customWidth="1" collapsed="1"/>
    <col min="27" max="30" width="14.33203125" style="76" customWidth="1" outlineLevel="1"/>
    <col min="31" max="32" width="14.5" style="76" bestFit="1" customWidth="1"/>
    <col min="33" max="33" width="13.75" style="76" customWidth="1"/>
    <col min="34" max="35" width="14.5" style="76" bestFit="1" customWidth="1"/>
    <col min="36" max="36" width="16.83203125" style="76" customWidth="1"/>
    <col min="37" max="37" width="14.83203125" style="76" customWidth="1"/>
    <col min="38" max="38" width="14.5" style="76" customWidth="1"/>
    <col min="39" max="39" width="12.33203125" style="76" customWidth="1"/>
    <col min="40" max="41" width="11.75" style="76" customWidth="1"/>
    <col min="42" max="43" width="9" style="76"/>
    <col min="44" max="44" width="23.75" style="76" bestFit="1" customWidth="1"/>
    <col min="45" max="45" width="16.58203125" style="76" bestFit="1" customWidth="1"/>
    <col min="46" max="47" width="9" style="76"/>
    <col min="48" max="48" width="18" style="76" bestFit="1" customWidth="1"/>
    <col min="49" max="49" width="11.58203125" style="76" customWidth="1"/>
    <col min="50" max="50" width="8.75" style="76" customWidth="1"/>
    <col min="51" max="51" width="21.58203125" style="76" customWidth="1"/>
    <col min="52" max="53" width="19.33203125" style="76" customWidth="1"/>
    <col min="54" max="60" width="15.08203125" style="76" bestFit="1" customWidth="1"/>
    <col min="61" max="61" width="12.58203125" style="76" customWidth="1"/>
    <col min="62" max="63" width="9" style="76"/>
    <col min="64" max="64" width="10" style="76" bestFit="1" customWidth="1"/>
    <col min="65" max="65" width="9" style="76" customWidth="1"/>
    <col min="66" max="70" width="9.08203125" style="76" bestFit="1" customWidth="1"/>
    <col min="71" max="72" width="10.08203125" style="76" bestFit="1" customWidth="1"/>
    <col min="73" max="16384" width="9" style="76"/>
  </cols>
  <sheetData>
    <row r="1" spans="1:45" hidden="1">
      <c r="B1" s="1400" t="s">
        <v>501</v>
      </c>
      <c r="C1" s="1400" t="s">
        <v>499</v>
      </c>
      <c r="G1" s="76">
        <v>20130101</v>
      </c>
      <c r="H1" s="76">
        <v>20140101</v>
      </c>
      <c r="I1" s="76">
        <v>20150101</v>
      </c>
      <c r="J1" s="76">
        <v>20160101</v>
      </c>
      <c r="K1" s="446">
        <v>20170101</v>
      </c>
      <c r="L1" s="133">
        <v>20180101</v>
      </c>
      <c r="M1" s="133">
        <v>20180331</v>
      </c>
      <c r="N1" s="133">
        <v>20180630</v>
      </c>
      <c r="O1" s="133">
        <v>20181001</v>
      </c>
      <c r="P1" s="76">
        <v>20180101</v>
      </c>
      <c r="Q1" s="133">
        <v>20190101</v>
      </c>
      <c r="R1" s="133">
        <v>20190331</v>
      </c>
      <c r="S1" s="133">
        <v>20190630</v>
      </c>
      <c r="T1" s="133">
        <v>20191001</v>
      </c>
      <c r="U1" s="76">
        <v>20190101</v>
      </c>
      <c r="V1" s="133">
        <v>20200101</v>
      </c>
      <c r="W1" s="133">
        <v>20200331</v>
      </c>
      <c r="X1" s="133">
        <v>20200630</v>
      </c>
      <c r="Y1" s="133">
        <v>20201001</v>
      </c>
      <c r="Z1" s="76">
        <v>20200101</v>
      </c>
      <c r="AA1" s="133">
        <v>20210101</v>
      </c>
      <c r="AB1" s="133">
        <v>20210331</v>
      </c>
      <c r="AC1" s="133">
        <v>20210630</v>
      </c>
      <c r="AD1" s="133">
        <v>20211001</v>
      </c>
      <c r="AE1" s="76">
        <v>20210101</v>
      </c>
    </row>
    <row r="2" spans="1:45" hidden="1">
      <c r="B2" s="1400"/>
      <c r="C2" s="1400" t="s">
        <v>500</v>
      </c>
      <c r="G2" s="76">
        <v>20131231</v>
      </c>
      <c r="H2" s="76">
        <v>20141231</v>
      </c>
      <c r="I2" s="76">
        <v>20151231</v>
      </c>
      <c r="J2" s="76">
        <v>20161231</v>
      </c>
      <c r="K2" s="446">
        <v>20171231</v>
      </c>
      <c r="L2" s="133">
        <v>20180331</v>
      </c>
      <c r="M2" s="133">
        <v>20180630</v>
      </c>
      <c r="N2" s="133">
        <v>20180930</v>
      </c>
      <c r="O2" s="133">
        <v>20181231</v>
      </c>
      <c r="P2" s="76">
        <v>20181231</v>
      </c>
      <c r="Q2" s="133">
        <v>20190331</v>
      </c>
      <c r="R2" s="133">
        <v>20190630</v>
      </c>
      <c r="S2" s="133">
        <v>20190930</v>
      </c>
      <c r="T2" s="133">
        <v>20191231</v>
      </c>
      <c r="U2" s="76">
        <v>20191231</v>
      </c>
      <c r="V2" s="133">
        <v>20200331</v>
      </c>
      <c r="W2" s="133">
        <v>20200630</v>
      </c>
      <c r="X2" s="133">
        <v>20200930</v>
      </c>
      <c r="Y2" s="133">
        <v>20201231</v>
      </c>
      <c r="Z2" s="76">
        <v>20201231</v>
      </c>
      <c r="AA2" s="133">
        <v>20210331</v>
      </c>
      <c r="AB2" s="133">
        <v>20210630</v>
      </c>
      <c r="AC2" s="133">
        <v>20210930</v>
      </c>
      <c r="AD2" s="133">
        <v>20211231</v>
      </c>
      <c r="AE2" s="76">
        <v>20211231</v>
      </c>
    </row>
    <row r="3" spans="1:45" hidden="1">
      <c r="L3" s="133"/>
      <c r="M3" s="133"/>
      <c r="N3" s="133"/>
      <c r="O3" s="133"/>
      <c r="Q3" s="133"/>
      <c r="R3" s="133"/>
      <c r="S3" s="133"/>
      <c r="T3" s="133"/>
      <c r="V3" s="133"/>
      <c r="W3" s="133"/>
      <c r="X3" s="133"/>
      <c r="Y3" s="133"/>
      <c r="AA3" s="133"/>
      <c r="AB3" s="133"/>
      <c r="AC3" s="133"/>
      <c r="AD3" s="133"/>
    </row>
    <row r="4" spans="1:45" hidden="1">
      <c r="L4" s="133"/>
      <c r="M4" s="133"/>
      <c r="N4" s="133"/>
      <c r="O4" s="133"/>
      <c r="Q4" s="133"/>
      <c r="R4" s="133"/>
      <c r="S4" s="133"/>
      <c r="T4" s="133"/>
      <c r="V4" s="133"/>
      <c r="W4" s="133"/>
      <c r="X4" s="133"/>
      <c r="Y4" s="133"/>
      <c r="AA4" s="133"/>
      <c r="AB4" s="133"/>
      <c r="AC4" s="133"/>
      <c r="AD4" s="133"/>
    </row>
    <row r="5" spans="1:45" hidden="1">
      <c r="B5" s="477"/>
      <c r="G5" s="77"/>
      <c r="H5" s="77"/>
      <c r="I5" s="77"/>
      <c r="J5" s="77"/>
      <c r="K5" s="77"/>
      <c r="L5" s="852"/>
      <c r="M5" s="852"/>
      <c r="N5" s="852"/>
      <c r="O5" s="852"/>
      <c r="P5" s="77"/>
      <c r="Q5" s="852"/>
      <c r="R5" s="852"/>
      <c r="S5" s="852"/>
      <c r="T5" s="852"/>
      <c r="U5" s="77"/>
      <c r="V5" s="852"/>
      <c r="W5" s="852"/>
      <c r="X5" s="852"/>
      <c r="Y5" s="852"/>
      <c r="Z5" s="77"/>
      <c r="AA5" s="852"/>
      <c r="AB5" s="852"/>
      <c r="AC5" s="852"/>
      <c r="AD5" s="852"/>
      <c r="AE5" s="77"/>
      <c r="AF5" s="77"/>
      <c r="AG5" s="77"/>
      <c r="AH5" s="77"/>
      <c r="AI5" s="77"/>
      <c r="AJ5" s="77"/>
      <c r="AK5" s="77"/>
      <c r="AL5" s="77"/>
      <c r="AM5" s="853"/>
      <c r="AR5" s="77"/>
      <c r="AS5" s="77"/>
    </row>
    <row r="6" spans="1:45" hidden="1">
      <c r="B6" s="477"/>
      <c r="G6" s="77"/>
      <c r="H6" s="77"/>
      <c r="I6" s="77"/>
      <c r="J6" s="77"/>
      <c r="K6" s="77"/>
      <c r="L6" s="852"/>
      <c r="M6" s="852"/>
      <c r="N6" s="852"/>
      <c r="O6" s="852"/>
      <c r="P6" s="77"/>
      <c r="Q6" s="852"/>
      <c r="R6" s="852"/>
      <c r="S6" s="852"/>
      <c r="T6" s="852"/>
      <c r="U6" s="77"/>
      <c r="V6" s="852"/>
      <c r="W6" s="852"/>
      <c r="X6" s="852"/>
      <c r="Y6" s="852"/>
      <c r="Z6" s="77"/>
      <c r="AA6" s="852"/>
      <c r="AB6" s="852"/>
      <c r="AC6" s="852"/>
      <c r="AD6" s="852"/>
      <c r="AE6" s="77"/>
      <c r="AF6" s="77"/>
      <c r="AG6" s="77"/>
      <c r="AH6" s="77"/>
      <c r="AI6" s="77"/>
      <c r="AJ6" s="77"/>
      <c r="AK6" s="77"/>
      <c r="AL6" s="77"/>
      <c r="AM6" s="853"/>
      <c r="AR6" s="77"/>
      <c r="AS6" s="77"/>
    </row>
    <row r="7" spans="1:45" hidden="1">
      <c r="B7" s="477"/>
      <c r="G7" s="77"/>
      <c r="H7" s="77"/>
      <c r="I7" s="77"/>
      <c r="J7" s="77"/>
      <c r="K7" s="77"/>
      <c r="L7" s="852"/>
      <c r="M7" s="852"/>
      <c r="N7" s="852"/>
      <c r="O7" s="852"/>
      <c r="P7" s="77"/>
      <c r="Q7" s="852"/>
      <c r="R7" s="852"/>
      <c r="S7" s="852"/>
      <c r="T7" s="852"/>
      <c r="U7" s="77"/>
      <c r="V7" s="852"/>
      <c r="W7" s="852"/>
      <c r="X7" s="852"/>
      <c r="Y7" s="852"/>
      <c r="Z7" s="77"/>
      <c r="AA7" s="852"/>
      <c r="AB7" s="852"/>
      <c r="AC7" s="852"/>
      <c r="AD7" s="852"/>
      <c r="AE7" s="77"/>
      <c r="AF7" s="77"/>
      <c r="AG7" s="77"/>
      <c r="AH7" s="77"/>
      <c r="AI7" s="77"/>
      <c r="AJ7" s="77"/>
      <c r="AK7" s="77"/>
      <c r="AL7" s="77"/>
      <c r="AM7" s="853"/>
      <c r="AR7" s="77"/>
      <c r="AS7" s="77"/>
    </row>
    <row r="8" spans="1:45">
      <c r="B8" s="477"/>
      <c r="G8" s="77"/>
      <c r="H8" s="77"/>
      <c r="I8" s="77"/>
      <c r="J8" s="77"/>
      <c r="K8" s="77"/>
      <c r="L8" s="852"/>
      <c r="M8" s="852"/>
      <c r="N8" s="852"/>
      <c r="O8" s="852"/>
      <c r="P8" s="77"/>
      <c r="Q8" s="852"/>
      <c r="R8" s="852"/>
      <c r="S8" s="852"/>
      <c r="T8" s="852"/>
      <c r="U8" s="77"/>
      <c r="V8" s="852"/>
      <c r="W8" s="852"/>
      <c r="X8" s="852"/>
      <c r="Y8" s="852"/>
      <c r="Z8" s="77"/>
      <c r="AA8" s="852"/>
      <c r="AB8" s="852"/>
      <c r="AC8" s="852"/>
      <c r="AD8" s="852"/>
      <c r="AE8" s="77"/>
      <c r="AF8" s="77"/>
      <c r="AG8" s="77"/>
      <c r="AH8" s="77"/>
      <c r="AI8" s="77"/>
      <c r="AJ8" s="77"/>
      <c r="AK8" s="77"/>
      <c r="AL8" s="77"/>
      <c r="AM8" s="853"/>
      <c r="AR8" s="77"/>
      <c r="AS8" s="77"/>
    </row>
    <row r="9" spans="1:45">
      <c r="B9" s="477"/>
      <c r="G9" s="77"/>
      <c r="H9" s="77"/>
      <c r="I9" s="77"/>
      <c r="J9" s="77"/>
      <c r="K9" s="77"/>
      <c r="L9" s="852"/>
      <c r="M9" s="852"/>
      <c r="N9" s="852"/>
      <c r="O9" s="852"/>
      <c r="P9" s="77"/>
      <c r="Q9" s="852"/>
      <c r="R9" s="852"/>
      <c r="S9" s="852"/>
      <c r="T9" s="852"/>
      <c r="U9" s="77"/>
      <c r="V9" s="852"/>
      <c r="W9" s="852"/>
      <c r="X9" s="852"/>
      <c r="Y9" s="852"/>
      <c r="Z9" s="77"/>
      <c r="AA9" s="852"/>
      <c r="AB9" s="852"/>
      <c r="AC9" s="852"/>
      <c r="AD9" s="852"/>
      <c r="AE9" s="77"/>
      <c r="AF9" s="77"/>
      <c r="AG9" s="77"/>
      <c r="AH9" s="77"/>
      <c r="AI9" s="77"/>
      <c r="AJ9" s="77"/>
      <c r="AK9" s="77"/>
      <c r="AL9" s="77"/>
      <c r="AM9" s="853"/>
      <c r="AR9" s="77"/>
      <c r="AS9" s="77"/>
    </row>
    <row r="10" spans="1:45">
      <c r="B10" s="854"/>
      <c r="C10" s="855"/>
      <c r="D10" s="855"/>
      <c r="E10" s="855"/>
      <c r="F10" s="855"/>
      <c r="G10" s="856"/>
      <c r="H10" s="856"/>
      <c r="I10" s="856"/>
      <c r="J10" s="856"/>
      <c r="K10" s="856"/>
      <c r="L10" s="857"/>
      <c r="M10" s="857"/>
      <c r="N10" s="857"/>
      <c r="O10" s="857"/>
      <c r="P10" s="856"/>
      <c r="Q10" s="857"/>
      <c r="R10" s="857"/>
      <c r="S10" s="857"/>
      <c r="T10" s="857"/>
      <c r="U10" s="856"/>
      <c r="V10" s="857"/>
      <c r="W10" s="857"/>
      <c r="X10" s="857"/>
      <c r="Y10" s="857"/>
      <c r="Z10" s="856"/>
      <c r="AA10" s="857"/>
      <c r="AB10" s="857"/>
      <c r="AC10" s="857"/>
      <c r="AD10" s="857"/>
      <c r="AE10" s="856"/>
      <c r="AF10" s="856"/>
      <c r="AG10" s="856"/>
      <c r="AH10" s="856"/>
      <c r="AI10" s="856"/>
      <c r="AJ10" s="856"/>
      <c r="AK10" s="856"/>
      <c r="AL10" s="856"/>
      <c r="AM10" s="855"/>
      <c r="AR10" s="77"/>
      <c r="AS10" s="77"/>
    </row>
    <row r="11" spans="1:45">
      <c r="B11" s="854"/>
      <c r="C11" s="855"/>
      <c r="D11" s="855"/>
      <c r="E11" s="855"/>
      <c r="F11" s="855"/>
      <c r="G11" s="856" t="s">
        <v>33</v>
      </c>
      <c r="H11" s="856" t="s">
        <v>34</v>
      </c>
      <c r="I11" s="856" t="s">
        <v>35</v>
      </c>
      <c r="J11" s="856" t="s">
        <v>36</v>
      </c>
      <c r="K11" s="856" t="s">
        <v>37</v>
      </c>
      <c r="L11" s="857" t="s">
        <v>345</v>
      </c>
      <c r="M11" s="857" t="s">
        <v>366</v>
      </c>
      <c r="N11" s="857" t="s">
        <v>533</v>
      </c>
      <c r="O11" s="857" t="s">
        <v>606</v>
      </c>
      <c r="P11" s="856" t="s">
        <v>38</v>
      </c>
      <c r="Q11" s="857" t="s">
        <v>344</v>
      </c>
      <c r="R11" s="857" t="s">
        <v>352</v>
      </c>
      <c r="S11" s="857" t="s">
        <v>353</v>
      </c>
      <c r="T11" s="857" t="s">
        <v>354</v>
      </c>
      <c r="U11" s="856" t="s">
        <v>613</v>
      </c>
      <c r="V11" s="857" t="s">
        <v>607</v>
      </c>
      <c r="W11" s="857" t="s">
        <v>912</v>
      </c>
      <c r="X11" s="857" t="s">
        <v>964</v>
      </c>
      <c r="Y11" s="857" t="s">
        <v>966</v>
      </c>
      <c r="Z11" s="856" t="s">
        <v>967</v>
      </c>
      <c r="AA11" s="857" t="s">
        <v>969</v>
      </c>
      <c r="AB11" s="857" t="s">
        <v>970</v>
      </c>
      <c r="AC11" s="857" t="s">
        <v>1046</v>
      </c>
      <c r="AD11" s="857" t="s">
        <v>1047</v>
      </c>
      <c r="AE11" s="856" t="s">
        <v>1048</v>
      </c>
      <c r="AF11" s="856" t="s">
        <v>407</v>
      </c>
      <c r="AG11" s="856" t="s">
        <v>906</v>
      </c>
      <c r="AH11" s="856" t="s">
        <v>907</v>
      </c>
      <c r="AI11" s="856" t="s">
        <v>908</v>
      </c>
      <c r="AJ11" s="856" t="s">
        <v>909</v>
      </c>
      <c r="AK11" s="856" t="s">
        <v>910</v>
      </c>
      <c r="AL11" s="856" t="s">
        <v>911</v>
      </c>
      <c r="AM11" s="855"/>
      <c r="AR11" s="77"/>
      <c r="AS11" s="77"/>
    </row>
    <row r="12" spans="1:45">
      <c r="B12" s="855"/>
      <c r="C12" s="855"/>
      <c r="D12" s="855"/>
      <c r="E12" s="855"/>
      <c r="F12" s="855"/>
      <c r="G12" s="856" t="s">
        <v>1</v>
      </c>
      <c r="H12" s="856" t="s">
        <v>2</v>
      </c>
      <c r="I12" s="856" t="s">
        <v>3</v>
      </c>
      <c r="J12" s="856" t="s">
        <v>4</v>
      </c>
      <c r="K12" s="856" t="s">
        <v>5</v>
      </c>
      <c r="L12" s="858">
        <v>43190</v>
      </c>
      <c r="M12" s="858">
        <v>43281</v>
      </c>
      <c r="N12" s="858">
        <v>43373</v>
      </c>
      <c r="O12" s="858">
        <v>43465</v>
      </c>
      <c r="P12" s="856" t="s">
        <v>6</v>
      </c>
      <c r="Q12" s="858">
        <v>43555</v>
      </c>
      <c r="R12" s="858">
        <v>43646</v>
      </c>
      <c r="S12" s="858">
        <v>43738</v>
      </c>
      <c r="T12" s="858">
        <v>43830</v>
      </c>
      <c r="U12" s="859">
        <v>43830</v>
      </c>
      <c r="V12" s="858">
        <v>43921</v>
      </c>
      <c r="W12" s="858">
        <v>44012</v>
      </c>
      <c r="X12" s="858">
        <v>44104</v>
      </c>
      <c r="Y12" s="858">
        <v>44196</v>
      </c>
      <c r="Z12" s="859">
        <v>44196</v>
      </c>
      <c r="AA12" s="858">
        <v>44286</v>
      </c>
      <c r="AB12" s="858">
        <v>44377</v>
      </c>
      <c r="AC12" s="858">
        <v>44469</v>
      </c>
      <c r="AD12" s="858">
        <v>44561</v>
      </c>
      <c r="AE12" s="859">
        <v>44196</v>
      </c>
      <c r="AF12" s="859">
        <v>44926</v>
      </c>
      <c r="AG12" s="859">
        <v>45291</v>
      </c>
      <c r="AH12" s="859">
        <v>45657</v>
      </c>
      <c r="AI12" s="859">
        <v>46022</v>
      </c>
      <c r="AJ12" s="859">
        <v>46387</v>
      </c>
      <c r="AK12" s="859">
        <v>46752</v>
      </c>
      <c r="AL12" s="859">
        <v>47118</v>
      </c>
      <c r="AM12" s="855"/>
      <c r="AR12" s="78"/>
    </row>
    <row r="13" spans="1:45">
      <c r="B13" s="855"/>
      <c r="C13" s="855"/>
      <c r="D13" s="855"/>
      <c r="E13" s="855"/>
      <c r="F13" s="855"/>
      <c r="G13" s="856"/>
      <c r="H13" s="856"/>
      <c r="I13" s="856"/>
      <c r="J13" s="856"/>
      <c r="K13" s="856"/>
      <c r="L13" s="858"/>
      <c r="M13" s="858"/>
      <c r="N13" s="858"/>
      <c r="O13" s="858"/>
      <c r="P13" s="856"/>
      <c r="Q13" s="858"/>
      <c r="R13" s="858"/>
      <c r="S13" s="858"/>
      <c r="T13" s="858"/>
      <c r="U13" s="859"/>
      <c r="V13" s="858"/>
      <c r="W13" s="858"/>
      <c r="X13" s="858"/>
      <c r="Y13" s="858"/>
      <c r="Z13" s="859"/>
      <c r="AA13" s="858"/>
      <c r="AB13" s="858"/>
      <c r="AC13" s="858"/>
      <c r="AD13" s="858"/>
      <c r="AE13" s="859"/>
      <c r="AF13" s="859"/>
      <c r="AG13" s="859"/>
      <c r="AH13" s="859"/>
      <c r="AI13" s="859"/>
      <c r="AJ13" s="859"/>
      <c r="AK13" s="859"/>
      <c r="AL13" s="859"/>
      <c r="AM13" s="855"/>
      <c r="AR13" s="78"/>
    </row>
    <row r="14" spans="1:45">
      <c r="B14" s="855"/>
      <c r="C14" s="855"/>
      <c r="D14" s="860" t="s">
        <v>850</v>
      </c>
      <c r="E14" s="855"/>
      <c r="F14" s="855"/>
      <c r="G14" s="856"/>
      <c r="H14" s="856"/>
      <c r="I14" s="856"/>
      <c r="J14" s="856"/>
      <c r="K14" s="856"/>
      <c r="L14" s="858"/>
      <c r="M14" s="858"/>
      <c r="N14" s="858"/>
      <c r="O14" s="858"/>
      <c r="P14" s="856"/>
      <c r="Q14" s="858"/>
      <c r="R14" s="858"/>
      <c r="S14" s="858"/>
      <c r="T14" s="858"/>
      <c r="U14" s="859"/>
      <c r="V14" s="858"/>
      <c r="W14" s="858"/>
      <c r="X14" s="858"/>
      <c r="Y14" s="858"/>
      <c r="Z14" s="861"/>
      <c r="AA14" s="1188"/>
      <c r="AB14" s="1188"/>
      <c r="AC14" s="1188"/>
      <c r="AD14" s="1188"/>
      <c r="AE14" s="861"/>
      <c r="AF14" s="861"/>
      <c r="AG14" s="861"/>
      <c r="AH14" s="861"/>
      <c r="AI14" s="861"/>
      <c r="AJ14" s="861"/>
      <c r="AK14" s="861"/>
      <c r="AL14" s="861"/>
      <c r="AM14" s="855"/>
      <c r="AR14" s="78"/>
    </row>
    <row r="15" spans="1:45">
      <c r="A15" s="950" t="s">
        <v>836</v>
      </c>
      <c r="B15" s="862" t="s">
        <v>838</v>
      </c>
      <c r="D15" s="854" t="s">
        <v>837</v>
      </c>
      <c r="E15" s="863"/>
      <c r="F15" s="855"/>
      <c r="G15" s="864">
        <v>113.65</v>
      </c>
      <c r="H15" s="863">
        <v>113.64686274509806</v>
      </c>
      <c r="I15" s="863">
        <v>90.21923694779116</v>
      </c>
      <c r="J15" s="863">
        <v>137.67385214007777</v>
      </c>
      <c r="K15" s="863">
        <v>186.71800000000005</v>
      </c>
      <c r="L15" s="865">
        <v>234.2465079365079</v>
      </c>
      <c r="M15" s="865">
        <v>191.83578125000005</v>
      </c>
      <c r="N15" s="865">
        <v>187.56461538461539</v>
      </c>
      <c r="O15" s="865">
        <v>219.11538461538467</v>
      </c>
      <c r="P15" s="863">
        <v>208.05143968871579</v>
      </c>
      <c r="Q15" s="865">
        <v>205.35888888888886</v>
      </c>
      <c r="R15" s="865">
        <v>202.01095238095232</v>
      </c>
      <c r="S15" s="865">
        <v>162.61742424242422</v>
      </c>
      <c r="T15" s="865">
        <v>140.44553846153843</v>
      </c>
      <c r="U15" s="863">
        <v>177.14400778210114</v>
      </c>
      <c r="V15" s="865">
        <v>153.94546874999989</v>
      </c>
      <c r="W15" s="865">
        <v>120.2425396825397</v>
      </c>
      <c r="X15" s="865">
        <v>113.53575757575756</v>
      </c>
      <c r="Y15" s="865">
        <v>112.97507692307691</v>
      </c>
      <c r="Z15" s="863">
        <v>125.17471073284352</v>
      </c>
      <c r="AA15" s="865">
        <v>126.40523809523812</v>
      </c>
      <c r="AB15" s="865">
        <v>133.87184615384615</v>
      </c>
      <c r="AC15" s="865">
        <f>$AE$15</f>
        <v>146.06</v>
      </c>
      <c r="AD15" s="865">
        <f>$AE$15</f>
        <v>146.06</v>
      </c>
      <c r="AE15" s="872">
        <f>'Pricing Assumptions Y'!E6</f>
        <v>146.06</v>
      </c>
      <c r="AF15" s="863">
        <f>[3]Sheet1!$AY$18</f>
        <v>145</v>
      </c>
      <c r="AG15" s="863">
        <f>[3]Sheet1!$AZ$18</f>
        <v>140</v>
      </c>
      <c r="AH15" s="863">
        <f>[3]Sheet1!$AZ$18</f>
        <v>140</v>
      </c>
      <c r="AI15" s="863">
        <f>[3]Sheet1!$BA$18</f>
        <v>140</v>
      </c>
      <c r="AJ15" s="863">
        <f>AI15</f>
        <v>140</v>
      </c>
      <c r="AK15" s="863">
        <f>AJ15</f>
        <v>140</v>
      </c>
      <c r="AL15" s="863">
        <f>AK15</f>
        <v>140</v>
      </c>
      <c r="AM15" s="855"/>
      <c r="AR15" s="78"/>
    </row>
    <row r="16" spans="1:45">
      <c r="A16" s="951" t="s">
        <v>824</v>
      </c>
      <c r="B16" s="866" t="s">
        <v>851</v>
      </c>
      <c r="D16" s="868" t="s">
        <v>622</v>
      </c>
      <c r="E16" s="868"/>
      <c r="F16" s="855"/>
      <c r="G16" s="869">
        <v>3.32</v>
      </c>
      <c r="H16" s="869">
        <v>3.11</v>
      </c>
      <c r="I16" s="869">
        <v>2.4900000000000002</v>
      </c>
      <c r="J16" s="869">
        <v>2.21</v>
      </c>
      <c r="K16" s="869">
        <v>2.8</v>
      </c>
      <c r="L16" s="870">
        <v>3.16</v>
      </c>
      <c r="M16" s="870">
        <v>3.12</v>
      </c>
      <c r="N16" s="870">
        <v>2.77</v>
      </c>
      <c r="O16" s="870">
        <v>2.8</v>
      </c>
      <c r="P16" s="869">
        <v>2.96</v>
      </c>
      <c r="Q16" s="870">
        <v>2.82</v>
      </c>
      <c r="R16" s="870">
        <v>2.77</v>
      </c>
      <c r="S16" s="870">
        <v>2.63</v>
      </c>
      <c r="T16" s="870">
        <v>2.67</v>
      </c>
      <c r="U16" s="869">
        <v>2.72</v>
      </c>
      <c r="V16" s="871">
        <v>2.5567456964982314</v>
      </c>
      <c r="W16" s="871">
        <v>2.4255515593495116</v>
      </c>
      <c r="X16" s="871">
        <v>2.953751659752748</v>
      </c>
      <c r="Y16" s="871">
        <v>3.250681813027307</v>
      </c>
      <c r="Z16" s="863">
        <v>2.7966826821569493</v>
      </c>
      <c r="AA16" s="871">
        <v>3.8572270965902482</v>
      </c>
      <c r="AB16" s="871">
        <v>4.393529804250937</v>
      </c>
      <c r="AC16" s="871">
        <f>$AE$16</f>
        <v>4.1730926245123836</v>
      </c>
      <c r="AD16" s="871">
        <f>$AE$16</f>
        <v>4.1730926245123836</v>
      </c>
      <c r="AE16" s="872">
        <f>'Pricing Assumptions Y'!E14</f>
        <v>4.1730926245123836</v>
      </c>
      <c r="AF16" s="872">
        <f>[3]Sheet1!$AH$26/2204</f>
        <v>4.3148820326678763</v>
      </c>
      <c r="AG16" s="872">
        <f>[3]Sheet1!$AY$26/2204</f>
        <v>4.3148820326678763</v>
      </c>
      <c r="AH16" s="872">
        <f>[3]Sheet1!$AZ$26/2204</f>
        <v>4.3148820326678763</v>
      </c>
      <c r="AI16" s="872">
        <f>'Pricing Assumptions Y'!I14</f>
        <v>3.8688787081556746</v>
      </c>
      <c r="AJ16" s="872">
        <f>'Pricing Assumptions Y'!J14</f>
        <v>3.8688787081556746</v>
      </c>
      <c r="AK16" s="872">
        <f>'Pricing Assumptions Y'!K14</f>
        <v>3.8688787081556746</v>
      </c>
      <c r="AL16" s="872">
        <f>'Pricing Assumptions Y'!L14</f>
        <v>3.8688787081556746</v>
      </c>
      <c r="AM16" s="855"/>
      <c r="AR16" s="78"/>
    </row>
    <row r="17" spans="1:80">
      <c r="A17" s="951" t="s">
        <v>623</v>
      </c>
      <c r="B17" s="866" t="s">
        <v>851</v>
      </c>
      <c r="D17" s="868" t="s">
        <v>624</v>
      </c>
      <c r="E17" s="868"/>
      <c r="F17" s="855"/>
      <c r="G17" s="872">
        <v>10.352399999999999</v>
      </c>
      <c r="H17" s="872">
        <v>11.447800000000001</v>
      </c>
      <c r="I17" s="872">
        <v>6.6521999999999997</v>
      </c>
      <c r="J17" s="872">
        <v>6.5213999999999999</v>
      </c>
      <c r="K17" s="872">
        <v>8.1874000000000002</v>
      </c>
      <c r="L17" s="871">
        <v>12.2052</v>
      </c>
      <c r="M17" s="871">
        <v>11.634</v>
      </c>
      <c r="N17" s="871">
        <v>11.803800000000001</v>
      </c>
      <c r="O17" s="871">
        <v>12.038500000000001</v>
      </c>
      <c r="P17" s="872">
        <v>11.9152</v>
      </c>
      <c r="Q17" s="871">
        <v>11.779199999999999</v>
      </c>
      <c r="R17" s="871">
        <v>12.199</v>
      </c>
      <c r="S17" s="871">
        <v>11.8269</v>
      </c>
      <c r="T17" s="871">
        <v>9.6753999999999998</v>
      </c>
      <c r="U17" s="872">
        <v>11.3955</v>
      </c>
      <c r="V17" s="871">
        <v>9.6760000000000002</v>
      </c>
      <c r="W17" s="871">
        <v>8.3416999999999994</v>
      </c>
      <c r="X17" s="871">
        <v>7.6525999999999996</v>
      </c>
      <c r="Y17" s="871">
        <v>8.8781999999999996</v>
      </c>
      <c r="Z17" s="863">
        <v>8.6371249999999993</v>
      </c>
      <c r="AA17" s="871">
        <v>11.369199999999999</v>
      </c>
      <c r="AB17" s="871">
        <v>14.206300000000001</v>
      </c>
      <c r="AC17" s="871">
        <f>$AE$17</f>
        <v>20</v>
      </c>
      <c r="AD17" s="871">
        <f>$AE$17</f>
        <v>20</v>
      </c>
      <c r="AE17" s="872">
        <f>'Pricing Assumptions Y'!E62</f>
        <v>20</v>
      </c>
      <c r="AF17" s="872">
        <f>'Pricing Assumptions Y'!F62</f>
        <v>20</v>
      </c>
      <c r="AG17" s="872">
        <f>'Pricing Assumptions Y'!G62</f>
        <v>20</v>
      </c>
      <c r="AH17" s="872">
        <f>'Pricing Assumptions Y'!H62</f>
        <v>20</v>
      </c>
      <c r="AI17" s="872">
        <f>'Pricing Assumptions Y'!I62</f>
        <v>20</v>
      </c>
      <c r="AJ17" s="872">
        <f>'Pricing Assumptions Y'!J62</f>
        <v>20</v>
      </c>
      <c r="AK17" s="872">
        <f>'Pricing Assumptions Y'!K62</f>
        <v>20</v>
      </c>
      <c r="AL17" s="872">
        <f>'Pricing Assumptions Y'!L62</f>
        <v>20</v>
      </c>
      <c r="AM17" s="855"/>
      <c r="AR17" s="78"/>
    </row>
    <row r="18" spans="1:80">
      <c r="A18" s="950" t="s">
        <v>835</v>
      </c>
      <c r="B18" s="866" t="s">
        <v>851</v>
      </c>
      <c r="D18" s="868" t="s">
        <v>663</v>
      </c>
      <c r="E18" s="868"/>
      <c r="F18" s="855"/>
      <c r="G18" s="869">
        <v>0.87</v>
      </c>
      <c r="H18" s="869">
        <v>0.98</v>
      </c>
      <c r="I18" s="869">
        <v>0.87</v>
      </c>
      <c r="J18" s="869">
        <v>0.95</v>
      </c>
      <c r="K18" s="869">
        <v>1.31</v>
      </c>
      <c r="L18" s="870">
        <v>1.55</v>
      </c>
      <c r="M18" s="870">
        <v>1.41</v>
      </c>
      <c r="N18" s="870">
        <v>1.1499999999999999</v>
      </c>
      <c r="O18" s="870">
        <v>1.19</v>
      </c>
      <c r="P18" s="869">
        <v>1.33</v>
      </c>
      <c r="Q18" s="870">
        <v>1.23</v>
      </c>
      <c r="R18" s="870">
        <v>1.25</v>
      </c>
      <c r="S18" s="870">
        <v>1.07</v>
      </c>
      <c r="T18" s="870">
        <v>1.08</v>
      </c>
      <c r="U18" s="869">
        <v>1.1599999999999999</v>
      </c>
      <c r="V18" s="871">
        <v>0.96526155538419667</v>
      </c>
      <c r="W18" s="871">
        <v>0.888955058777395</v>
      </c>
      <c r="X18" s="871">
        <v>1.0572625007216312</v>
      </c>
      <c r="Y18" s="871">
        <v>1.1921592919350448</v>
      </c>
      <c r="Z18" s="872">
        <v>1.025909601704567</v>
      </c>
      <c r="AA18" s="871">
        <v>1.2472190182432403</v>
      </c>
      <c r="AB18" s="871">
        <v>1.3218622060032832</v>
      </c>
      <c r="AC18" s="871">
        <f>$AE$18</f>
        <v>1.2700716683298559</v>
      </c>
      <c r="AD18" s="871">
        <f>$AE$18</f>
        <v>1.2700716683298559</v>
      </c>
      <c r="AE18" s="872">
        <f>'Pricing Assumptions Y'!E22</f>
        <v>1.2700716683298559</v>
      </c>
      <c r="AF18" s="872">
        <f>[3]Sheet1!$AH$34/2204</f>
        <v>1.4065335753176043</v>
      </c>
      <c r="AG18" s="872">
        <f>[3]Sheet1!$AY$34/2204</f>
        <v>1.4972776769509981</v>
      </c>
      <c r="AH18" s="872">
        <f>[3]Sheet1!$AZ$34/2204</f>
        <v>1.4519056261343013</v>
      </c>
      <c r="AI18" s="872">
        <f>[3]Sheet1!$BA$34/2204</f>
        <v>1.3611615245009074</v>
      </c>
      <c r="AJ18" s="872">
        <f>'Pricing Assumptions Y'!J22</f>
        <v>1.1567449877528804</v>
      </c>
      <c r="AK18" s="872">
        <f>'Pricing Assumptions Y'!K22</f>
        <v>1.1567449877528804</v>
      </c>
      <c r="AL18" s="872">
        <f>'Pricing Assumptions Y'!L22</f>
        <v>1.1567449877528804</v>
      </c>
      <c r="AM18" s="855"/>
    </row>
    <row r="19" spans="1:80" s="83" customFormat="1">
      <c r="A19" s="952" t="s">
        <v>686</v>
      </c>
      <c r="B19" s="866" t="s">
        <v>687</v>
      </c>
      <c r="D19" s="855" t="s">
        <v>688</v>
      </c>
      <c r="E19" s="855"/>
      <c r="F19" s="855"/>
      <c r="G19" s="863">
        <v>1411.2257</v>
      </c>
      <c r="H19" s="863">
        <v>1266.4023999999999</v>
      </c>
      <c r="I19" s="863">
        <v>1160.0624</v>
      </c>
      <c r="J19" s="863">
        <v>1250.798</v>
      </c>
      <c r="K19" s="863">
        <v>1257.1454000000001</v>
      </c>
      <c r="L19" s="865">
        <v>1329.2849000000001</v>
      </c>
      <c r="M19" s="865">
        <v>1305.9879000000001</v>
      </c>
      <c r="N19" s="865">
        <v>1213.1938</v>
      </c>
      <c r="O19" s="865">
        <v>1226.2831000000001</v>
      </c>
      <c r="P19" s="863">
        <v>1268.4866999999999</v>
      </c>
      <c r="Q19" s="865">
        <v>1303.7864999999999</v>
      </c>
      <c r="R19" s="865">
        <v>1309.3877</v>
      </c>
      <c r="S19" s="865">
        <v>1472.4746</v>
      </c>
      <c r="T19" s="865">
        <v>1480.9604999999999</v>
      </c>
      <c r="U19" s="863">
        <v>1392.596</v>
      </c>
      <c r="V19" s="865">
        <v>1582.8008</v>
      </c>
      <c r="W19" s="865">
        <v>1709.4774</v>
      </c>
      <c r="X19" s="865">
        <v>1906.4287999999999</v>
      </c>
      <c r="Y19" s="865">
        <v>1874.2347</v>
      </c>
      <c r="Z19" s="863">
        <v>1768.2354249999999</v>
      </c>
      <c r="AA19" s="865">
        <v>1794.0071</v>
      </c>
      <c r="AB19" s="865">
        <v>1814.4565</v>
      </c>
      <c r="AC19" s="865">
        <f>$AE$19</f>
        <v>1780</v>
      </c>
      <c r="AD19" s="865">
        <f>$AE$19</f>
        <v>1780</v>
      </c>
      <c r="AE19" s="863">
        <f>'Pricing Assumptions Y'!E54</f>
        <v>1780</v>
      </c>
      <c r="AF19" s="863">
        <f>'Pricing Assumptions Y'!F54</f>
        <v>1740</v>
      </c>
      <c r="AG19" s="863">
        <f>'Pricing Assumptions Y'!G54</f>
        <v>1690</v>
      </c>
      <c r="AH19" s="863">
        <f>'Pricing Assumptions Y'!H54</f>
        <v>1660</v>
      </c>
      <c r="AI19" s="863">
        <f>'Pricing Assumptions Y'!I54</f>
        <v>1660</v>
      </c>
      <c r="AJ19" s="863">
        <f>'Pricing Assumptions Y'!J54</f>
        <v>1660</v>
      </c>
      <c r="AK19" s="863">
        <f>'Pricing Assumptions Y'!K54</f>
        <v>1660</v>
      </c>
      <c r="AL19" s="863">
        <f>'Pricing Assumptions Y'!L54</f>
        <v>1660</v>
      </c>
      <c r="AM19" s="873"/>
      <c r="CA19" s="509"/>
      <c r="CB19" s="509"/>
    </row>
    <row r="20" spans="1:80">
      <c r="A20" s="951" t="s">
        <v>728</v>
      </c>
      <c r="B20" s="866" t="s">
        <v>687</v>
      </c>
      <c r="D20" s="868" t="s">
        <v>587</v>
      </c>
      <c r="E20" s="868"/>
      <c r="F20" s="855"/>
      <c r="G20" s="872">
        <v>23.849799999999998</v>
      </c>
      <c r="H20" s="872">
        <v>19.067299999999999</v>
      </c>
      <c r="I20" s="872">
        <v>15.707800000000001</v>
      </c>
      <c r="J20" s="872">
        <v>17.112200000000001</v>
      </c>
      <c r="K20" s="872">
        <v>17.077200000000001</v>
      </c>
      <c r="L20" s="871">
        <v>16.753499999999999</v>
      </c>
      <c r="M20" s="871">
        <v>16.536300000000001</v>
      </c>
      <c r="N20" s="871">
        <v>15.0009</v>
      </c>
      <c r="O20" s="871">
        <v>14.554</v>
      </c>
      <c r="P20" s="872">
        <v>15.7027</v>
      </c>
      <c r="Q20" s="871">
        <v>15.5662</v>
      </c>
      <c r="R20" s="871">
        <v>14.9009</v>
      </c>
      <c r="S20" s="871">
        <v>16.9999</v>
      </c>
      <c r="T20" s="871">
        <v>17.334900000000001</v>
      </c>
      <c r="U20" s="872">
        <v>16.2103</v>
      </c>
      <c r="V20" s="871">
        <v>16.8947</v>
      </c>
      <c r="W20" s="871">
        <v>16.347899999999999</v>
      </c>
      <c r="X20" s="871">
        <v>24.272500000000001</v>
      </c>
      <c r="Y20" s="871">
        <v>24.4404</v>
      </c>
      <c r="Z20" s="863">
        <v>20.488875</v>
      </c>
      <c r="AA20" s="871">
        <v>26.249600000000001</v>
      </c>
      <c r="AB20" s="871">
        <v>26.6508</v>
      </c>
      <c r="AC20" s="871">
        <f>$AE$20</f>
        <v>25.41</v>
      </c>
      <c r="AD20" s="871">
        <f>$AE$20</f>
        <v>25.41</v>
      </c>
      <c r="AE20" s="872">
        <f>'Pricing Assumptions Y'!E46</f>
        <v>25.41</v>
      </c>
      <c r="AF20" s="872">
        <f>'Pricing Assumptions Y'!F46</f>
        <v>24</v>
      </c>
      <c r="AG20" s="872">
        <f>'Pricing Assumptions Y'!G46</f>
        <v>21.2</v>
      </c>
      <c r="AH20" s="872">
        <f>'Pricing Assumptions Y'!H46</f>
        <v>21.95</v>
      </c>
      <c r="AI20" s="872">
        <f>'Pricing Assumptions Y'!I46</f>
        <v>21.95</v>
      </c>
      <c r="AJ20" s="872">
        <f>'Pricing Assumptions Y'!J46</f>
        <v>21.95</v>
      </c>
      <c r="AK20" s="872">
        <f>'Pricing Assumptions Y'!K46</f>
        <v>21.95</v>
      </c>
      <c r="AL20" s="872">
        <f>'Pricing Assumptions Y'!L46</f>
        <v>21.95</v>
      </c>
      <c r="AM20" s="855"/>
      <c r="AR20" s="78"/>
    </row>
    <row r="21" spans="1:80">
      <c r="A21" s="951" t="s">
        <v>703</v>
      </c>
      <c r="B21" s="875" t="s">
        <v>618</v>
      </c>
      <c r="D21" s="868" t="s">
        <v>704</v>
      </c>
      <c r="E21" s="868"/>
      <c r="F21" s="855"/>
      <c r="G21" s="872">
        <v>0.97012785698892701</v>
      </c>
      <c r="H21" s="872">
        <v>0.95060202903092705</v>
      </c>
      <c r="I21" s="872">
        <v>0.80965249089309843</v>
      </c>
      <c r="J21" s="872">
        <v>0.84714963574186797</v>
      </c>
      <c r="K21" s="872">
        <v>1.04994256237679</v>
      </c>
      <c r="L21" s="871">
        <v>1.142353506161</v>
      </c>
      <c r="M21" s="871">
        <v>1.0812417876990341</v>
      </c>
      <c r="N21" s="871">
        <v>0.95106892973782031</v>
      </c>
      <c r="O21" s="871">
        <v>0.89163177277057071</v>
      </c>
      <c r="P21" s="872">
        <v>1.0155656390751782</v>
      </c>
      <c r="Q21" s="871">
        <v>0.92280714638511974</v>
      </c>
      <c r="R21" s="871">
        <v>0.85434441845143461</v>
      </c>
      <c r="S21" s="871">
        <v>0.92034138409898192</v>
      </c>
      <c r="T21" s="871">
        <v>0.92625221128549395</v>
      </c>
      <c r="U21" s="872">
        <v>0.90653830528263057</v>
      </c>
      <c r="V21" s="871">
        <v>0.83585854576793994</v>
      </c>
      <c r="W21" s="871">
        <v>0.76212750173391153</v>
      </c>
      <c r="X21" s="871">
        <v>0.84873693846750187</v>
      </c>
      <c r="Y21" s="871">
        <v>0.86279668080377425</v>
      </c>
      <c r="Z21" s="872">
        <v>0.82737991669328192</v>
      </c>
      <c r="AA21" s="871">
        <v>0.91223955970848836</v>
      </c>
      <c r="AB21" s="871">
        <v>0.96461036015603763</v>
      </c>
      <c r="AC21" s="871">
        <f>$AE$21</f>
        <v>0.96389367685747984</v>
      </c>
      <c r="AD21" s="871">
        <f>$AE$21</f>
        <v>0.96389367685747984</v>
      </c>
      <c r="AE21" s="872">
        <f>'Pricing Assumptions Y'!E30</f>
        <v>0.96389367685747984</v>
      </c>
      <c r="AF21" s="872">
        <f>'Pricing Assumptions Y'!F30</f>
        <v>0.92987390002721582</v>
      </c>
      <c r="AG21" s="872">
        <f>'Pricing Assumptions Y'!G30</f>
        <v>0.9645740723940851</v>
      </c>
      <c r="AH21" s="872">
        <f>'Pricing Assumptions Y'!H30</f>
        <v>0.97523360246756785</v>
      </c>
      <c r="AI21" s="872">
        <f>'Pricing Assumptions Y'!I30</f>
        <v>0.97523360246756785</v>
      </c>
      <c r="AJ21" s="872">
        <f>'Pricing Assumptions Y'!J30</f>
        <v>0.97523360246756785</v>
      </c>
      <c r="AK21" s="872">
        <f>'Pricing Assumptions Y'!K30</f>
        <v>0.97523360246756785</v>
      </c>
      <c r="AL21" s="872">
        <f>'Pricing Assumptions Y'!L30</f>
        <v>0.97523360246756785</v>
      </c>
      <c r="AM21" s="855"/>
      <c r="AR21" s="78"/>
    </row>
    <row r="22" spans="1:80">
      <c r="A22" s="952" t="s">
        <v>813</v>
      </c>
      <c r="B22" s="866" t="s">
        <v>771</v>
      </c>
      <c r="D22" s="876" t="s">
        <v>770</v>
      </c>
      <c r="E22" s="877"/>
      <c r="F22" s="877"/>
      <c r="G22" s="878">
        <v>98.04674519841268</v>
      </c>
      <c r="H22" s="878">
        <v>92.906785079365051</v>
      </c>
      <c r="I22" s="878">
        <v>48.761349206349195</v>
      </c>
      <c r="J22" s="878">
        <v>43.467103174603196</v>
      </c>
      <c r="K22" s="878">
        <v>50.853266932270898</v>
      </c>
      <c r="L22" s="879">
        <v>62.894098360655747</v>
      </c>
      <c r="M22" s="879">
        <v>67.910000000000011</v>
      </c>
      <c r="N22" s="879">
        <v>69.432857142857145</v>
      </c>
      <c r="O22" s="879">
        <v>59.338281249999987</v>
      </c>
      <c r="P22" s="878">
        <v>64.899603174603186</v>
      </c>
      <c r="Q22" s="879">
        <v>54.897049180327862</v>
      </c>
      <c r="R22" s="879">
        <v>59.912063492063496</v>
      </c>
      <c r="S22" s="879">
        <v>56.436406250000005</v>
      </c>
      <c r="T22" s="879">
        <v>56.866093750000005</v>
      </c>
      <c r="U22" s="878">
        <v>57.041825396825423</v>
      </c>
      <c r="V22" s="879">
        <v>45.777419354838713</v>
      </c>
      <c r="W22" s="879">
        <v>27.884531250000002</v>
      </c>
      <c r="X22" s="879">
        <v>40.898615384615404</v>
      </c>
      <c r="Y22" s="879">
        <v>42.697343749999995</v>
      </c>
      <c r="Z22" s="863">
        <v>39.314477434863527</v>
      </c>
      <c r="AA22" s="879">
        <v>58.136393442622946</v>
      </c>
      <c r="AB22" s="879">
        <v>65.989076923076937</v>
      </c>
      <c r="AC22" s="879">
        <f>$AE$22</f>
        <v>65.7</v>
      </c>
      <c r="AD22" s="879">
        <f>$AE$22</f>
        <v>65.7</v>
      </c>
      <c r="AE22" s="878">
        <f>'Pricing Assumptions Y'!E38</f>
        <v>65.7</v>
      </c>
      <c r="AF22" s="878">
        <f>'Pricing Assumptions Y'!F38</f>
        <v>63.5</v>
      </c>
      <c r="AG22" s="878">
        <f>'Pricing Assumptions Y'!G38</f>
        <v>65.5</v>
      </c>
      <c r="AH22" s="878">
        <f>'Pricing Assumptions Y'!H38</f>
        <v>68.7</v>
      </c>
      <c r="AI22" s="878">
        <f>'Pricing Assumptions Y'!I38</f>
        <v>68.7</v>
      </c>
      <c r="AJ22" s="878">
        <f>'Pricing Assumptions Y'!J38</f>
        <v>68.7</v>
      </c>
      <c r="AK22" s="878">
        <f>'Pricing Assumptions Y'!K38</f>
        <v>68.7</v>
      </c>
      <c r="AL22" s="878">
        <f>'Pricing Assumptions Y'!L38</f>
        <v>68.7</v>
      </c>
      <c r="AM22" s="855"/>
      <c r="AR22" s="78"/>
    </row>
    <row r="23" spans="1:80">
      <c r="A23" s="951" t="s">
        <v>625</v>
      </c>
      <c r="B23" s="875"/>
      <c r="D23" s="868" t="s">
        <v>271</v>
      </c>
      <c r="E23" s="868"/>
      <c r="F23" s="855"/>
      <c r="G23" s="872">
        <v>1.03</v>
      </c>
      <c r="H23" s="872">
        <v>1.1046</v>
      </c>
      <c r="I23" s="872">
        <v>1.2789999999999999</v>
      </c>
      <c r="J23" s="872">
        <v>1.3248</v>
      </c>
      <c r="K23" s="872">
        <v>1.2982</v>
      </c>
      <c r="L23" s="871">
        <v>1.2647999999999999</v>
      </c>
      <c r="M23" s="871">
        <v>1.2907999999999999</v>
      </c>
      <c r="N23" s="871">
        <v>1.3068</v>
      </c>
      <c r="O23" s="871">
        <v>1.3218000000000001</v>
      </c>
      <c r="P23" s="872">
        <v>1.2961</v>
      </c>
      <c r="Q23" s="871">
        <v>1.3295999999999999</v>
      </c>
      <c r="R23" s="871">
        <v>1.3376999999999999</v>
      </c>
      <c r="S23" s="871">
        <v>1.3204</v>
      </c>
      <c r="T23" s="871">
        <v>1.3198000000000001</v>
      </c>
      <c r="U23" s="872">
        <v>1.3268</v>
      </c>
      <c r="V23" s="871">
        <v>1.3436999999999999</v>
      </c>
      <c r="W23" s="871">
        <v>1.3858999999999999</v>
      </c>
      <c r="X23" s="871">
        <v>1.3326</v>
      </c>
      <c r="Y23" s="871">
        <v>1.3027</v>
      </c>
      <c r="Z23" s="872">
        <v>1.3412249999999999</v>
      </c>
      <c r="AA23" s="871">
        <v>1.266</v>
      </c>
      <c r="AB23" s="871">
        <v>1.2287999999999999</v>
      </c>
      <c r="AC23" s="871">
        <f>$AE$23</f>
        <v>1.24</v>
      </c>
      <c r="AD23" s="871">
        <f>$AE$23</f>
        <v>1.24</v>
      </c>
      <c r="AE23" s="872">
        <f>'Pricing Assumptions Y'!E70</f>
        <v>1.24</v>
      </c>
      <c r="AF23" s="872">
        <f>'Pricing Assumptions Y'!F70</f>
        <v>1.22</v>
      </c>
      <c r="AG23" s="872">
        <f>'Pricing Assumptions Y'!G70</f>
        <v>1.22</v>
      </c>
      <c r="AH23" s="872">
        <f>'Pricing Assumptions Y'!H70</f>
        <v>1.23</v>
      </c>
      <c r="AI23" s="872">
        <f>'Pricing Assumptions Y'!I70</f>
        <v>1.23</v>
      </c>
      <c r="AJ23" s="872">
        <f>'Pricing Assumptions Y'!J70</f>
        <v>1.23</v>
      </c>
      <c r="AK23" s="872">
        <f>'Pricing Assumptions Y'!K70</f>
        <v>1.23</v>
      </c>
      <c r="AL23" s="872">
        <f>'Pricing Assumptions Y'!L70</f>
        <v>1.23</v>
      </c>
      <c r="AM23" s="855"/>
      <c r="AR23" s="78"/>
    </row>
    <row r="24" spans="1:80">
      <c r="A24" s="951"/>
      <c r="B24" s="875"/>
      <c r="D24" s="868"/>
      <c r="E24" s="868"/>
      <c r="F24" s="855"/>
      <c r="G24" s="872"/>
      <c r="H24" s="872"/>
      <c r="I24" s="872"/>
      <c r="J24" s="872"/>
      <c r="K24" s="872"/>
      <c r="L24" s="871"/>
      <c r="M24" s="871"/>
      <c r="N24" s="871"/>
      <c r="O24" s="871"/>
      <c r="P24" s="872"/>
      <c r="Q24" s="871"/>
      <c r="R24" s="871"/>
      <c r="S24" s="871"/>
      <c r="T24" s="871"/>
      <c r="U24" s="872"/>
      <c r="V24" s="871"/>
      <c r="W24" s="871"/>
      <c r="X24" s="871"/>
      <c r="Y24" s="871"/>
      <c r="Z24" s="872"/>
      <c r="AA24" s="871"/>
      <c r="AB24" s="871"/>
      <c r="AC24" s="871"/>
      <c r="AD24" s="871"/>
      <c r="AE24" s="872"/>
      <c r="AF24" s="872"/>
      <c r="AG24" s="872"/>
      <c r="AH24" s="872"/>
      <c r="AI24" s="872"/>
      <c r="AJ24" s="872"/>
      <c r="AK24" s="872"/>
      <c r="AL24" s="872"/>
      <c r="AM24" s="855"/>
      <c r="AR24" s="78"/>
    </row>
    <row r="25" spans="1:80">
      <c r="A25" s="951"/>
      <c r="B25" s="875"/>
      <c r="D25" s="868" t="s">
        <v>951</v>
      </c>
      <c r="E25" s="868"/>
      <c r="F25" s="855"/>
      <c r="G25" s="872"/>
      <c r="H25" s="872"/>
      <c r="I25" s="872"/>
      <c r="J25" s="872"/>
      <c r="K25" s="872"/>
      <c r="L25" s="871"/>
      <c r="M25" s="871"/>
      <c r="N25" s="871"/>
      <c r="O25" s="871"/>
      <c r="P25" s="872"/>
      <c r="Q25" s="871"/>
      <c r="R25" s="871"/>
      <c r="S25" s="871"/>
      <c r="T25" s="871"/>
      <c r="U25" s="872"/>
      <c r="V25" s="871"/>
      <c r="W25" s="871"/>
      <c r="X25" s="871"/>
      <c r="Y25" s="871"/>
      <c r="Z25" s="872"/>
      <c r="AA25" s="871"/>
      <c r="AB25" s="871"/>
      <c r="AC25" s="871"/>
      <c r="AD25" s="871"/>
      <c r="AE25" s="872"/>
      <c r="AF25" s="872"/>
      <c r="AG25" s="872"/>
      <c r="AH25" s="872"/>
      <c r="AI25" s="872"/>
      <c r="AJ25" s="872"/>
      <c r="AK25" s="872"/>
      <c r="AL25" s="872"/>
      <c r="AM25" s="855"/>
      <c r="AR25" s="78"/>
    </row>
    <row r="26" spans="1:80">
      <c r="A26" s="951"/>
      <c r="B26" s="875" t="s">
        <v>64</v>
      </c>
      <c r="D26" s="868" t="s">
        <v>952</v>
      </c>
      <c r="E26" s="868"/>
      <c r="F26" s="855"/>
      <c r="G26" s="872"/>
      <c r="H26" s="872"/>
      <c r="I26" s="872"/>
      <c r="J26" s="872"/>
      <c r="K26" s="872"/>
      <c r="L26" s="871"/>
      <c r="M26" s="871"/>
      <c r="N26" s="871"/>
      <c r="O26" s="871"/>
      <c r="P26" s="872"/>
      <c r="Q26" s="871"/>
      <c r="R26" s="871"/>
      <c r="S26" s="871"/>
      <c r="T26" s="871"/>
      <c r="U26" s="872"/>
      <c r="V26" s="871"/>
      <c r="W26" s="871"/>
      <c r="X26" s="871"/>
      <c r="Y26" s="871"/>
      <c r="Z26" s="872"/>
      <c r="AA26" s="871"/>
      <c r="AB26" s="871"/>
      <c r="AC26" s="871"/>
      <c r="AD26" s="871"/>
      <c r="AE26" s="872">
        <f>AE15/$AV$1700</f>
        <v>186.82527500639549</v>
      </c>
      <c r="AF26" s="872"/>
      <c r="AG26" s="872"/>
      <c r="AH26" s="872"/>
      <c r="AI26" s="872"/>
      <c r="AJ26" s="872"/>
      <c r="AK26" s="872"/>
      <c r="AL26" s="872"/>
      <c r="AM26" s="855"/>
      <c r="AR26" s="78"/>
    </row>
    <row r="27" spans="1:80">
      <c r="A27" s="951"/>
      <c r="B27" s="875" t="s">
        <v>64</v>
      </c>
      <c r="D27" s="868" t="s">
        <v>537</v>
      </c>
      <c r="E27" s="868"/>
      <c r="F27" s="855"/>
      <c r="G27" s="872"/>
      <c r="H27" s="872"/>
      <c r="I27" s="872"/>
      <c r="J27" s="872"/>
      <c r="K27" s="872"/>
      <c r="L27" s="871"/>
      <c r="M27" s="871"/>
      <c r="N27" s="871"/>
      <c r="O27" s="871"/>
      <c r="P27" s="872"/>
      <c r="Q27" s="871"/>
      <c r="R27" s="871"/>
      <c r="S27" s="871"/>
      <c r="T27" s="871"/>
      <c r="U27" s="872"/>
      <c r="V27" s="871"/>
      <c r="W27" s="871"/>
      <c r="X27" s="871"/>
      <c r="Y27" s="871"/>
      <c r="Z27" s="872"/>
      <c r="AA27" s="871"/>
      <c r="AB27" s="871"/>
      <c r="AC27" s="871"/>
      <c r="AD27" s="871"/>
      <c r="AE27" s="872">
        <f>(AE16*2204.6)/$AV$1700</f>
        <v>11767.715528268098</v>
      </c>
      <c r="AF27" s="872"/>
      <c r="AG27" s="872"/>
      <c r="AH27" s="872"/>
      <c r="AI27" s="872"/>
      <c r="AJ27" s="872"/>
      <c r="AK27" s="872"/>
      <c r="AL27" s="872"/>
      <c r="AM27" s="855"/>
      <c r="AR27" s="78"/>
    </row>
    <row r="28" spans="1:80">
      <c r="B28" s="875"/>
      <c r="C28" s="867"/>
      <c r="D28" s="868"/>
      <c r="E28" s="868"/>
      <c r="F28" s="855"/>
      <c r="G28" s="869"/>
      <c r="H28" s="869"/>
      <c r="I28" s="869"/>
      <c r="J28" s="869"/>
      <c r="K28" s="869"/>
      <c r="L28" s="870"/>
      <c r="M28" s="870"/>
      <c r="N28" s="870"/>
      <c r="O28" s="870"/>
      <c r="P28" s="869"/>
      <c r="Q28" s="870"/>
      <c r="R28" s="870"/>
      <c r="S28" s="870"/>
      <c r="T28" s="870"/>
      <c r="U28" s="869"/>
      <c r="V28" s="870"/>
      <c r="W28" s="858"/>
      <c r="X28" s="858"/>
      <c r="Y28" s="858"/>
      <c r="Z28" s="880"/>
      <c r="AA28" s="900"/>
      <c r="AB28" s="900"/>
      <c r="AC28" s="900"/>
      <c r="AD28" s="900"/>
      <c r="AE28" s="880"/>
      <c r="AF28" s="880"/>
      <c r="AG28" s="880"/>
      <c r="AH28" s="880"/>
      <c r="AI28" s="880"/>
      <c r="AJ28" s="859"/>
      <c r="AK28" s="859"/>
      <c r="AL28" s="859"/>
      <c r="AM28" s="855"/>
      <c r="AR28" s="78"/>
    </row>
    <row r="29" spans="1:80">
      <c r="B29" s="875"/>
      <c r="C29" s="867"/>
      <c r="D29" s="881" t="s">
        <v>825</v>
      </c>
      <c r="E29" s="868"/>
      <c r="F29" s="855"/>
      <c r="G29" s="855"/>
      <c r="H29" s="855"/>
      <c r="I29" s="855"/>
      <c r="J29" s="855"/>
      <c r="K29" s="855"/>
      <c r="L29" s="953"/>
      <c r="M29" s="953"/>
      <c r="N29" s="953"/>
      <c r="O29" s="953"/>
      <c r="P29" s="855"/>
      <c r="Q29" s="874"/>
      <c r="R29" s="874"/>
      <c r="S29" s="874"/>
      <c r="T29" s="874"/>
      <c r="U29" s="855"/>
      <c r="V29" s="874"/>
      <c r="W29" s="858"/>
      <c r="X29" s="858"/>
      <c r="Y29" s="858"/>
      <c r="Z29" s="880"/>
      <c r="AA29" s="900"/>
      <c r="AB29" s="900"/>
      <c r="AC29" s="900"/>
      <c r="AD29" s="900"/>
      <c r="AE29" s="880"/>
      <c r="AF29" s="880"/>
      <c r="AG29" s="880"/>
      <c r="AH29" s="880"/>
      <c r="AI29" s="880"/>
      <c r="AJ29" s="859"/>
      <c r="AK29" s="859"/>
      <c r="AL29" s="859"/>
      <c r="AM29" s="855"/>
      <c r="AR29" s="78"/>
    </row>
    <row r="30" spans="1:80">
      <c r="B30" s="875"/>
      <c r="C30" s="867"/>
      <c r="D30" s="868" t="s">
        <v>696</v>
      </c>
      <c r="E30" s="868"/>
      <c r="F30" s="855"/>
      <c r="G30" s="882">
        <v>0.96499999999999997</v>
      </c>
      <c r="H30" s="882">
        <v>0.96499999999999997</v>
      </c>
      <c r="I30" s="882">
        <v>0.96499999999999997</v>
      </c>
      <c r="J30" s="882">
        <v>0.96499999999999997</v>
      </c>
      <c r="K30" s="882">
        <v>0.96499999999999997</v>
      </c>
      <c r="L30" s="937">
        <f>P30</f>
        <v>0.96499999999999997</v>
      </c>
      <c r="M30" s="938">
        <f>P30</f>
        <v>0.96499999999999997</v>
      </c>
      <c r="N30" s="938">
        <f>P30</f>
        <v>0.96499999999999997</v>
      </c>
      <c r="O30" s="938">
        <f>P30</f>
        <v>0.96499999999999997</v>
      </c>
      <c r="P30" s="882">
        <v>0.96499999999999997</v>
      </c>
      <c r="Q30" s="937">
        <f>U30</f>
        <v>0.96499999999999997</v>
      </c>
      <c r="R30" s="938">
        <f>U30</f>
        <v>0.96499999999999997</v>
      </c>
      <c r="S30" s="938">
        <f>U30</f>
        <v>0.96499999999999997</v>
      </c>
      <c r="T30" s="938">
        <f>U30</f>
        <v>0.96499999999999997</v>
      </c>
      <c r="U30" s="882">
        <v>0.96499999999999997</v>
      </c>
      <c r="V30" s="937">
        <f>Z30</f>
        <v>0.96499999999999997</v>
      </c>
      <c r="W30" s="938">
        <f>Z30</f>
        <v>0.96499999999999997</v>
      </c>
      <c r="X30" s="938">
        <f>Z30</f>
        <v>0.96499999999999997</v>
      </c>
      <c r="Y30" s="938">
        <f>Z30</f>
        <v>0.96499999999999997</v>
      </c>
      <c r="Z30" s="882">
        <v>0.96499999999999997</v>
      </c>
      <c r="AA30" s="937">
        <f>AE30</f>
        <v>0.96499999999999997</v>
      </c>
      <c r="AB30" s="938">
        <f>AE30</f>
        <v>0.96499999999999997</v>
      </c>
      <c r="AC30" s="938">
        <f>AE30</f>
        <v>0.96499999999999997</v>
      </c>
      <c r="AD30" s="938">
        <f>AE30</f>
        <v>0.96499999999999997</v>
      </c>
      <c r="AE30" s="935">
        <v>0.96499999999999997</v>
      </c>
      <c r="AF30" s="935">
        <v>0.96499999999999997</v>
      </c>
      <c r="AG30" s="935">
        <v>0.96499999999999997</v>
      </c>
      <c r="AH30" s="935">
        <v>0.96499999999999997</v>
      </c>
      <c r="AI30" s="935">
        <v>0.96499999999999997</v>
      </c>
      <c r="AJ30" s="935">
        <v>0.96499999999999997</v>
      </c>
      <c r="AK30" s="935">
        <v>0.96499999999999997</v>
      </c>
      <c r="AL30" s="935">
        <v>0.96499999999999997</v>
      </c>
      <c r="AM30" s="855"/>
      <c r="AR30" s="78"/>
    </row>
    <row r="31" spans="1:80">
      <c r="B31" s="855"/>
      <c r="C31" s="855"/>
      <c r="D31" s="855" t="s">
        <v>697</v>
      </c>
      <c r="E31" s="855"/>
      <c r="F31" s="855"/>
      <c r="G31" s="883">
        <v>0.18719999999999998</v>
      </c>
      <c r="H31" s="883">
        <v>0.23600000000000002</v>
      </c>
      <c r="I31" s="883">
        <v>0.27440000000000003</v>
      </c>
      <c r="J31" s="883">
        <v>0.24960000000000002</v>
      </c>
      <c r="K31" s="883">
        <v>0.23719999999999999</v>
      </c>
      <c r="L31" s="884">
        <f>$P$31</f>
        <v>0.2109</v>
      </c>
      <c r="M31" s="884">
        <f>$P$31</f>
        <v>0.2109</v>
      </c>
      <c r="N31" s="884">
        <f>$P$31</f>
        <v>0.2109</v>
      </c>
      <c r="O31" s="884">
        <f>$P$31</f>
        <v>0.2109</v>
      </c>
      <c r="P31" s="883">
        <v>0.2109</v>
      </c>
      <c r="Q31" s="884">
        <f>$U$31</f>
        <v>0.2072</v>
      </c>
      <c r="R31" s="884">
        <f>$U$173</f>
        <v>0.2072</v>
      </c>
      <c r="S31" s="884">
        <f>$U$173</f>
        <v>0.2072</v>
      </c>
      <c r="T31" s="884">
        <f>$U$173</f>
        <v>0.2072</v>
      </c>
      <c r="U31" s="883">
        <v>0.2072</v>
      </c>
      <c r="V31" s="884">
        <f>Z31</f>
        <v>0.16700000000000001</v>
      </c>
      <c r="W31" s="884">
        <f>Z31</f>
        <v>0.16700000000000001</v>
      </c>
      <c r="X31" s="939">
        <f>Z31</f>
        <v>0.16700000000000001</v>
      </c>
      <c r="Y31" s="939">
        <f>Z31</f>
        <v>0.16700000000000001</v>
      </c>
      <c r="Z31" s="936">
        <v>0.16700000000000001</v>
      </c>
      <c r="AA31" s="884">
        <f>AE31</f>
        <v>0.16700000000000001</v>
      </c>
      <c r="AB31" s="884">
        <f>AE31</f>
        <v>0.16700000000000001</v>
      </c>
      <c r="AC31" s="939">
        <f>AE31</f>
        <v>0.16700000000000001</v>
      </c>
      <c r="AD31" s="939">
        <f>AE31</f>
        <v>0.16700000000000001</v>
      </c>
      <c r="AE31" s="936">
        <v>0.16700000000000001</v>
      </c>
      <c r="AF31" s="936">
        <v>0.16700000000000001</v>
      </c>
      <c r="AG31" s="936">
        <v>0.16700000000000001</v>
      </c>
      <c r="AH31" s="936">
        <v>0.16700000000000001</v>
      </c>
      <c r="AI31" s="936">
        <v>0.16700000000000001</v>
      </c>
      <c r="AJ31" s="936">
        <v>0.16700000000000001</v>
      </c>
      <c r="AK31" s="936">
        <v>0.16700000000000001</v>
      </c>
      <c r="AL31" s="936">
        <v>0.16700000000000001</v>
      </c>
      <c r="AM31" s="855"/>
      <c r="AR31" s="78"/>
    </row>
    <row r="32" spans="1:80">
      <c r="B32" s="855"/>
      <c r="C32" s="855"/>
      <c r="D32" s="855"/>
      <c r="E32" s="855"/>
      <c r="F32" s="855"/>
      <c r="G32" s="883"/>
      <c r="H32" s="883"/>
      <c r="I32" s="883"/>
      <c r="J32" s="883"/>
      <c r="K32" s="883"/>
      <c r="L32" s="884"/>
      <c r="M32" s="884"/>
      <c r="N32" s="884"/>
      <c r="O32" s="884"/>
      <c r="P32" s="883"/>
      <c r="Q32" s="884"/>
      <c r="R32" s="884"/>
      <c r="S32" s="884"/>
      <c r="T32" s="884"/>
      <c r="U32" s="883"/>
      <c r="V32" s="885"/>
      <c r="W32" s="886"/>
      <c r="X32" s="858"/>
      <c r="Y32" s="858"/>
      <c r="Z32" s="859"/>
      <c r="AA32" s="982"/>
      <c r="AB32" s="982"/>
      <c r="AC32" s="982"/>
      <c r="AD32" s="982"/>
      <c r="AE32" s="859"/>
      <c r="AF32" s="859"/>
      <c r="AG32" s="859"/>
      <c r="AH32" s="859"/>
      <c r="AI32" s="859"/>
      <c r="AJ32" s="859"/>
      <c r="AK32" s="859"/>
      <c r="AL32" s="859"/>
      <c r="AM32" s="855"/>
      <c r="AR32" s="78"/>
    </row>
    <row r="33" spans="1:80">
      <c r="B33" s="855"/>
      <c r="C33" s="855"/>
      <c r="D33" s="881" t="s">
        <v>853</v>
      </c>
      <c r="E33" s="855"/>
      <c r="F33" s="855"/>
      <c r="G33" s="883"/>
      <c r="H33" s="883"/>
      <c r="I33" s="883"/>
      <c r="J33" s="883"/>
      <c r="K33" s="883"/>
      <c r="L33" s="884"/>
      <c r="M33" s="884"/>
      <c r="N33" s="884"/>
      <c r="O33" s="884"/>
      <c r="P33" s="883"/>
      <c r="Q33" s="884"/>
      <c r="R33" s="884"/>
      <c r="S33" s="884"/>
      <c r="T33" s="884"/>
      <c r="U33" s="883"/>
      <c r="V33" s="885"/>
      <c r="W33" s="886"/>
      <c r="X33" s="858"/>
      <c r="Y33" s="858"/>
      <c r="Z33" s="859"/>
      <c r="AA33" s="982"/>
      <c r="AB33" s="982"/>
      <c r="AC33" s="982"/>
      <c r="AD33" s="982"/>
      <c r="AE33" s="859"/>
      <c r="AF33" s="859"/>
      <c r="AG33" s="859"/>
      <c r="AH33" s="859"/>
      <c r="AI33" s="859"/>
      <c r="AJ33" s="859"/>
      <c r="AK33" s="859"/>
      <c r="AL33" s="859"/>
      <c r="AM33" s="855"/>
      <c r="AR33" s="78"/>
    </row>
    <row r="34" spans="1:80">
      <c r="B34" s="855"/>
      <c r="C34" s="855"/>
      <c r="D34" s="868" t="s">
        <v>698</v>
      </c>
      <c r="E34" s="868"/>
      <c r="F34" s="866"/>
      <c r="G34" s="946">
        <v>0.85</v>
      </c>
      <c r="H34" s="947">
        <v>0.85</v>
      </c>
      <c r="I34" s="947">
        <v>0.85</v>
      </c>
      <c r="J34" s="947">
        <v>0.85</v>
      </c>
      <c r="K34" s="947">
        <v>0.85</v>
      </c>
      <c r="L34" s="944">
        <v>0.85</v>
      </c>
      <c r="M34" s="944">
        <v>0.85</v>
      </c>
      <c r="N34" s="944">
        <v>0.85</v>
      </c>
      <c r="O34" s="944">
        <v>0.85</v>
      </c>
      <c r="P34" s="947">
        <v>0.85</v>
      </c>
      <c r="Q34" s="944">
        <v>0.85</v>
      </c>
      <c r="R34" s="944">
        <v>0.85</v>
      </c>
      <c r="S34" s="944">
        <v>0.85</v>
      </c>
      <c r="T34" s="944">
        <v>0.85</v>
      </c>
      <c r="U34" s="947">
        <v>0.85</v>
      </c>
      <c r="V34" s="941">
        <f>Z34</f>
        <v>0.85</v>
      </c>
      <c r="W34" s="943">
        <f>Z34</f>
        <v>0.85</v>
      </c>
      <c r="X34" s="943">
        <f>Z34</f>
        <v>0.85</v>
      </c>
      <c r="Y34" s="943">
        <f>Z34</f>
        <v>0.85</v>
      </c>
      <c r="Z34" s="947">
        <v>0.85</v>
      </c>
      <c r="AA34" s="941">
        <f>AE34</f>
        <v>0.85</v>
      </c>
      <c r="AB34" s="943">
        <f>AE34</f>
        <v>0.85</v>
      </c>
      <c r="AC34" s="943">
        <f>AE34</f>
        <v>0.85</v>
      </c>
      <c r="AD34" s="943">
        <f>AE34</f>
        <v>0.85</v>
      </c>
      <c r="AE34" s="935">
        <v>0.85</v>
      </c>
      <c r="AF34" s="935">
        <v>0.85</v>
      </c>
      <c r="AG34" s="935">
        <v>0.85</v>
      </c>
      <c r="AH34" s="935">
        <v>0.85</v>
      </c>
      <c r="AI34" s="935">
        <v>0.85</v>
      </c>
      <c r="AJ34" s="935">
        <v>0.85</v>
      </c>
      <c r="AK34" s="935">
        <v>0.85</v>
      </c>
      <c r="AL34" s="935">
        <v>0.85</v>
      </c>
      <c r="AM34" s="855"/>
      <c r="AR34" s="78"/>
    </row>
    <row r="35" spans="1:80">
      <c r="B35" s="855"/>
      <c r="C35" s="855"/>
      <c r="D35" s="868" t="s">
        <v>856</v>
      </c>
      <c r="E35" s="868"/>
      <c r="F35" s="866"/>
      <c r="G35" s="889">
        <v>211</v>
      </c>
      <c r="H35" s="889">
        <v>223</v>
      </c>
      <c r="I35" s="889">
        <v>245</v>
      </c>
      <c r="J35" s="889">
        <v>203</v>
      </c>
      <c r="K35" s="889">
        <v>172</v>
      </c>
      <c r="L35" s="890">
        <f>$P$35</f>
        <v>147</v>
      </c>
      <c r="M35" s="890">
        <f>$P$35</f>
        <v>147</v>
      </c>
      <c r="N35" s="890">
        <f>$P$35</f>
        <v>147</v>
      </c>
      <c r="O35" s="890">
        <f>$P$35</f>
        <v>147</v>
      </c>
      <c r="P35" s="889">
        <v>147</v>
      </c>
      <c r="Q35" s="890">
        <f>$U$35</f>
        <v>245</v>
      </c>
      <c r="R35" s="890">
        <f>$U$35</f>
        <v>245</v>
      </c>
      <c r="S35" s="890">
        <f>$U$35</f>
        <v>245</v>
      </c>
      <c r="T35" s="890">
        <f>$U$35</f>
        <v>245</v>
      </c>
      <c r="U35" s="891">
        <v>245</v>
      </c>
      <c r="V35" s="890">
        <f>Z35</f>
        <v>299.75</v>
      </c>
      <c r="W35" s="892">
        <f>Z35</f>
        <v>299.75</v>
      </c>
      <c r="X35" s="892">
        <f>Z35</f>
        <v>299.75</v>
      </c>
      <c r="Y35" s="892">
        <f>Z35</f>
        <v>299.75</v>
      </c>
      <c r="Z35" s="891">
        <v>299.75</v>
      </c>
      <c r="AA35" s="890">
        <f>AE35</f>
        <v>298</v>
      </c>
      <c r="AB35" s="892">
        <f>AE35</f>
        <v>298</v>
      </c>
      <c r="AC35" s="892">
        <f>AE35</f>
        <v>298</v>
      </c>
      <c r="AD35" s="892">
        <f>AE35</f>
        <v>298</v>
      </c>
      <c r="AE35" s="940">
        <f>'Pricing Assumptions Y'!E86</f>
        <v>298</v>
      </c>
      <c r="AF35" s="940">
        <f>'Pricing Assumptions Y'!F86</f>
        <v>298</v>
      </c>
      <c r="AG35" s="940">
        <f>'Pricing Assumptions Y'!G86</f>
        <v>298</v>
      </c>
      <c r="AH35" s="940">
        <f>'Pricing Assumptions Y'!H86</f>
        <v>298</v>
      </c>
      <c r="AI35" s="940">
        <f>'Pricing Assumptions Y'!I86</f>
        <v>298</v>
      </c>
      <c r="AJ35" s="940">
        <f>'Pricing Assumptions Y'!J86</f>
        <v>298</v>
      </c>
      <c r="AK35" s="940">
        <f>'Pricing Assumptions Y'!K86</f>
        <v>298</v>
      </c>
      <c r="AL35" s="940">
        <f>'Pricing Assumptions Y'!L86</f>
        <v>298</v>
      </c>
      <c r="AM35" s="855"/>
      <c r="AR35" s="78"/>
    </row>
    <row r="36" spans="1:80">
      <c r="B36" s="855"/>
      <c r="C36" s="855"/>
      <c r="D36" s="868" t="s">
        <v>666</v>
      </c>
      <c r="E36" s="868"/>
      <c r="F36" s="866"/>
      <c r="G36" s="889">
        <v>2000</v>
      </c>
      <c r="H36" s="889">
        <v>2000</v>
      </c>
      <c r="I36" s="889">
        <v>2000</v>
      </c>
      <c r="J36" s="889">
        <v>2000</v>
      </c>
      <c r="K36" s="889">
        <v>2800</v>
      </c>
      <c r="L36" s="890">
        <f>$P$36</f>
        <v>3300</v>
      </c>
      <c r="M36" s="890">
        <f>$P$36</f>
        <v>3300</v>
      </c>
      <c r="N36" s="890">
        <f>$P$36</f>
        <v>3300</v>
      </c>
      <c r="O36" s="890">
        <f>$P$36</f>
        <v>3300</v>
      </c>
      <c r="P36" s="889">
        <v>3300</v>
      </c>
      <c r="Q36" s="890">
        <f>$U$36</f>
        <v>2700</v>
      </c>
      <c r="R36" s="890">
        <f>$U$36</f>
        <v>2700</v>
      </c>
      <c r="S36" s="890">
        <f>$U$36</f>
        <v>2700</v>
      </c>
      <c r="T36" s="890">
        <f>$U$36</f>
        <v>2700</v>
      </c>
      <c r="U36" s="893">
        <v>2700</v>
      </c>
      <c r="V36" s="890">
        <f>Z36</f>
        <v>2200</v>
      </c>
      <c r="W36" s="892">
        <f>Z36</f>
        <v>2200</v>
      </c>
      <c r="X36" s="892">
        <f>Z36</f>
        <v>2200</v>
      </c>
      <c r="Y36" s="892">
        <f>Z36</f>
        <v>2200</v>
      </c>
      <c r="Z36" s="893">
        <f>'Pricing Assumptions Y'!D82</f>
        <v>2200</v>
      </c>
      <c r="AA36" s="890">
        <f>AE36</f>
        <v>2200</v>
      </c>
      <c r="AB36" s="892">
        <f>AE36</f>
        <v>2200</v>
      </c>
      <c r="AC36" s="892">
        <f>AE36</f>
        <v>2200</v>
      </c>
      <c r="AD36" s="892">
        <f>AE36</f>
        <v>2200</v>
      </c>
      <c r="AE36" s="893">
        <f>'Pricing Assumptions Y'!E82</f>
        <v>2200</v>
      </c>
      <c r="AF36" s="893">
        <f>'Pricing Assumptions Y'!F82</f>
        <v>2200</v>
      </c>
      <c r="AG36" s="893">
        <f>'Pricing Assumptions Y'!G82</f>
        <v>2200</v>
      </c>
      <c r="AH36" s="893">
        <f>'Pricing Assumptions Y'!H82</f>
        <v>2200</v>
      </c>
      <c r="AI36" s="893">
        <f>'Pricing Assumptions Y'!I82</f>
        <v>2200</v>
      </c>
      <c r="AJ36" s="893">
        <f>'Pricing Assumptions Y'!J82</f>
        <v>2200</v>
      </c>
      <c r="AK36" s="893">
        <f>'Pricing Assumptions Y'!K82</f>
        <v>2200</v>
      </c>
      <c r="AL36" s="893">
        <f>'Pricing Assumptions Y'!L82</f>
        <v>2200</v>
      </c>
      <c r="AM36" s="855"/>
      <c r="AR36" s="78"/>
    </row>
    <row r="37" spans="1:80">
      <c r="B37" s="855"/>
      <c r="C37" s="855"/>
      <c r="D37" s="868" t="s">
        <v>678</v>
      </c>
      <c r="E37" s="868"/>
      <c r="F37" s="866"/>
      <c r="G37" s="872">
        <f>'Zinc TC Escalator'!Y14</f>
        <v>209.85666666666665</v>
      </c>
      <c r="H37" s="872">
        <f>'Zinc TC Escalator'!Z14</f>
        <v>0</v>
      </c>
      <c r="I37" s="875">
        <f>'Zinc TC Escalator'!AK14</f>
        <v>245.30999999999995</v>
      </c>
      <c r="J37" s="875">
        <f>'Zinc TC Escalator'!AW14</f>
        <v>212.83208333333334</v>
      </c>
      <c r="K37" s="875">
        <f>'Zinc TC Escalator'!BI14</f>
        <v>180.54624999999999</v>
      </c>
      <c r="L37" s="894">
        <f>'Zinc TC Escalator'!BJ13</f>
        <v>154.76833333333335</v>
      </c>
      <c r="M37" s="894">
        <f>'Zinc TC Escalator'!BM13</f>
        <v>141.86333333333332</v>
      </c>
      <c r="N37" s="894">
        <f>'Zinc TC Escalator'!BP13</f>
        <v>132.97499999999999</v>
      </c>
      <c r="O37" s="894">
        <f>'Zinc TC Escalator'!BS13</f>
        <v>132.50166666666667</v>
      </c>
      <c r="P37" s="875">
        <f>'Zinc TC Escalator'!BU14</f>
        <v>140.52708333333331</v>
      </c>
      <c r="Q37" s="894">
        <f>'Zinc TC Escalator'!BV13</f>
        <v>252.38750000000002</v>
      </c>
      <c r="R37" s="894">
        <f>'Zinc TC Escalator'!BY13</f>
        <v>248.22000000000003</v>
      </c>
      <c r="S37" s="894">
        <f>'Zinc TC Escalator'!CB13</f>
        <v>238.21333333333337</v>
      </c>
      <c r="T37" s="894">
        <f>'Zinc TC Escalator'!CE13</f>
        <v>238.36</v>
      </c>
      <c r="U37" s="895">
        <f>'Zinc TC Escalator'!CG14</f>
        <v>244.29520833333336</v>
      </c>
      <c r="V37" s="890">
        <f>Z37</f>
        <v>299.69849999999997</v>
      </c>
      <c r="W37" s="942">
        <f>Z37</f>
        <v>299.69849999999997</v>
      </c>
      <c r="X37" s="942">
        <f>Z37</f>
        <v>299.69849999999997</v>
      </c>
      <c r="Y37" s="942">
        <f>Z37</f>
        <v>299.69849999999997</v>
      </c>
      <c r="Z37" s="897">
        <f>'Pricing Assumptions Y'!D87</f>
        <v>299.69849999999997</v>
      </c>
      <c r="AA37" s="890">
        <f>AE37</f>
        <v>328</v>
      </c>
      <c r="AB37" s="942">
        <f>AE37</f>
        <v>328</v>
      </c>
      <c r="AC37" s="942">
        <f>AE37</f>
        <v>328</v>
      </c>
      <c r="AD37" s="942">
        <f>AE37</f>
        <v>328</v>
      </c>
      <c r="AE37" s="897">
        <f>'Pricing Assumptions Y'!E87</f>
        <v>328</v>
      </c>
      <c r="AF37" s="897">
        <f>'Pricing Assumptions Y'!F87</f>
        <v>325.5</v>
      </c>
      <c r="AG37" s="897">
        <f>'Pricing Assumptions Y'!G87</f>
        <v>323</v>
      </c>
      <c r="AH37" s="897">
        <f>'Pricing Assumptions Y'!H87</f>
        <v>315.50799999999998</v>
      </c>
      <c r="AI37" s="897">
        <f>'Pricing Assumptions Y'!I87</f>
        <v>315.50799999999998</v>
      </c>
      <c r="AJ37" s="897">
        <f>'Pricing Assumptions Y'!J87</f>
        <v>315.50799999999998</v>
      </c>
      <c r="AK37" s="897">
        <f>'Pricing Assumptions Y'!K87</f>
        <v>315.50799999999998</v>
      </c>
      <c r="AL37" s="897">
        <f>'Pricing Assumptions Y'!L87</f>
        <v>315.50799999999998</v>
      </c>
      <c r="AM37" s="855"/>
      <c r="AR37" s="78"/>
    </row>
    <row r="38" spans="1:80">
      <c r="B38" s="855"/>
      <c r="C38" s="855"/>
      <c r="D38" s="855"/>
      <c r="E38" s="855"/>
      <c r="F38" s="855"/>
      <c r="G38" s="855"/>
      <c r="H38" s="855"/>
      <c r="I38" s="855"/>
      <c r="J38" s="855"/>
      <c r="K38" s="855"/>
      <c r="L38" s="953"/>
      <c r="M38" s="953"/>
      <c r="N38" s="953"/>
      <c r="O38" s="953"/>
      <c r="P38" s="855"/>
      <c r="Q38" s="874"/>
      <c r="R38" s="874"/>
      <c r="S38" s="874"/>
      <c r="T38" s="874"/>
      <c r="U38" s="855"/>
      <c r="V38" s="874"/>
      <c r="W38" s="874"/>
      <c r="X38" s="874"/>
      <c r="Y38" s="874"/>
      <c r="Z38" s="855"/>
      <c r="AA38" s="874"/>
      <c r="AB38" s="874"/>
      <c r="AC38" s="874"/>
      <c r="AD38" s="874"/>
      <c r="AE38" s="859"/>
      <c r="AF38" s="859"/>
      <c r="AG38" s="859"/>
      <c r="AH38" s="859"/>
      <c r="AI38" s="859"/>
      <c r="AJ38" s="859"/>
      <c r="AK38" s="859"/>
      <c r="AL38" s="859"/>
      <c r="AM38" s="855"/>
      <c r="AR38" s="78"/>
    </row>
    <row r="39" spans="1:80">
      <c r="B39" s="866"/>
      <c r="C39" s="855"/>
      <c r="D39" s="881" t="s">
        <v>826</v>
      </c>
      <c r="E39" s="868"/>
      <c r="F39" s="866"/>
      <c r="G39" s="887"/>
      <c r="H39" s="887"/>
      <c r="I39" s="887"/>
      <c r="J39" s="887"/>
      <c r="K39" s="887"/>
      <c r="L39" s="888"/>
      <c r="M39" s="888"/>
      <c r="N39" s="888"/>
      <c r="O39" s="888"/>
      <c r="P39" s="887"/>
      <c r="Q39" s="888"/>
      <c r="R39" s="888"/>
      <c r="S39" s="888"/>
      <c r="T39" s="888"/>
      <c r="U39" s="887"/>
      <c r="V39" s="888"/>
      <c r="W39" s="858"/>
      <c r="X39" s="858"/>
      <c r="Y39" s="858"/>
      <c r="Z39" s="859"/>
      <c r="AA39" s="858"/>
      <c r="AB39" s="858"/>
      <c r="AC39" s="858"/>
      <c r="AD39" s="858"/>
      <c r="AE39" s="859"/>
      <c r="AF39" s="859"/>
      <c r="AG39" s="859"/>
      <c r="AH39" s="859"/>
      <c r="AI39" s="859"/>
      <c r="AJ39" s="859"/>
      <c r="AK39" s="859"/>
      <c r="AL39" s="859"/>
      <c r="AM39" s="855"/>
      <c r="AR39" s="78"/>
    </row>
    <row r="40" spans="1:80">
      <c r="B40" s="866"/>
      <c r="C40" s="855"/>
      <c r="D40" s="868" t="s">
        <v>709</v>
      </c>
      <c r="E40" s="868"/>
      <c r="F40" s="866"/>
      <c r="G40" s="947">
        <v>0.95</v>
      </c>
      <c r="H40" s="947">
        <v>0.95</v>
      </c>
      <c r="I40" s="947">
        <v>0.95</v>
      </c>
      <c r="J40" s="947">
        <v>0.95</v>
      </c>
      <c r="K40" s="947">
        <v>0.95</v>
      </c>
      <c r="L40" s="944">
        <v>0.95</v>
      </c>
      <c r="M40" s="944">
        <v>0.95</v>
      </c>
      <c r="N40" s="944">
        <v>0.95</v>
      </c>
      <c r="O40" s="944">
        <v>0.95</v>
      </c>
      <c r="P40" s="947">
        <v>0.95</v>
      </c>
      <c r="Q40" s="944">
        <v>0.95</v>
      </c>
      <c r="R40" s="944">
        <v>0.95</v>
      </c>
      <c r="S40" s="944">
        <v>0.95</v>
      </c>
      <c r="T40" s="944">
        <v>0.95</v>
      </c>
      <c r="U40" s="947">
        <v>0.95</v>
      </c>
      <c r="V40" s="941">
        <f>$Z$40</f>
        <v>0.95</v>
      </c>
      <c r="W40" s="941">
        <f>$Z$40</f>
        <v>0.95</v>
      </c>
      <c r="X40" s="941">
        <f>$Z$40</f>
        <v>0.95</v>
      </c>
      <c r="Y40" s="941">
        <f>$Z$40</f>
        <v>0.95</v>
      </c>
      <c r="Z40" s="947">
        <v>0.95</v>
      </c>
      <c r="AA40" s="941">
        <f>$Z$40</f>
        <v>0.95</v>
      </c>
      <c r="AB40" s="941">
        <f>$Z$40</f>
        <v>0.95</v>
      </c>
      <c r="AC40" s="941">
        <f>$Z$40</f>
        <v>0.95</v>
      </c>
      <c r="AD40" s="941">
        <f>$Z$40</f>
        <v>0.95</v>
      </c>
      <c r="AE40" s="945">
        <v>0.95</v>
      </c>
      <c r="AF40" s="945">
        <v>0.95</v>
      </c>
      <c r="AG40" s="945">
        <v>0.95</v>
      </c>
      <c r="AH40" s="945">
        <v>0.95</v>
      </c>
      <c r="AI40" s="945">
        <v>0.95</v>
      </c>
      <c r="AJ40" s="945">
        <v>0.95</v>
      </c>
      <c r="AK40" s="945">
        <v>0.95</v>
      </c>
      <c r="AL40" s="945">
        <v>0.95</v>
      </c>
      <c r="AM40" s="855"/>
      <c r="AR40" s="78"/>
    </row>
    <row r="41" spans="1:80">
      <c r="B41" s="866" t="s">
        <v>712</v>
      </c>
      <c r="C41" s="855"/>
      <c r="D41" s="868" t="s">
        <v>710</v>
      </c>
      <c r="E41" s="868"/>
      <c r="F41" s="866"/>
      <c r="G41" s="889">
        <v>215</v>
      </c>
      <c r="H41" s="889">
        <v>215</v>
      </c>
      <c r="I41" s="889">
        <v>215</v>
      </c>
      <c r="J41" s="889">
        <v>175</v>
      </c>
      <c r="K41" s="889">
        <v>130</v>
      </c>
      <c r="L41" s="890">
        <f>$P$41</f>
        <v>99</v>
      </c>
      <c r="M41" s="890">
        <f>$P$41</f>
        <v>99</v>
      </c>
      <c r="N41" s="890">
        <f>$P$41</f>
        <v>99</v>
      </c>
      <c r="O41" s="890">
        <f>$P$41</f>
        <v>99</v>
      </c>
      <c r="P41" s="889">
        <v>99</v>
      </c>
      <c r="Q41" s="890">
        <f>$U$41</f>
        <v>99</v>
      </c>
      <c r="R41" s="890">
        <f>$U$41</f>
        <v>99</v>
      </c>
      <c r="S41" s="890">
        <f>$U$41</f>
        <v>99</v>
      </c>
      <c r="T41" s="890">
        <f>$U$41</f>
        <v>99</v>
      </c>
      <c r="U41" s="891">
        <v>99</v>
      </c>
      <c r="V41" s="890">
        <f>$Z$41</f>
        <v>175</v>
      </c>
      <c r="W41" s="890">
        <f>$Z$41</f>
        <v>175</v>
      </c>
      <c r="X41" s="890">
        <f>$Z$41</f>
        <v>175</v>
      </c>
      <c r="Y41" s="890">
        <f>$Z$41</f>
        <v>175</v>
      </c>
      <c r="Z41" s="891">
        <v>175</v>
      </c>
      <c r="AA41" s="890">
        <f>$Z$41</f>
        <v>175</v>
      </c>
      <c r="AB41" s="890">
        <f>$Z$41</f>
        <v>175</v>
      </c>
      <c r="AC41" s="890">
        <f>$Z$41</f>
        <v>175</v>
      </c>
      <c r="AD41" s="890">
        <f>$Z$41</f>
        <v>175</v>
      </c>
      <c r="AE41" s="948">
        <v>180</v>
      </c>
      <c r="AF41" s="948">
        <v>180</v>
      </c>
      <c r="AG41" s="948">
        <v>180</v>
      </c>
      <c r="AH41" s="948">
        <v>180</v>
      </c>
      <c r="AI41" s="948">
        <v>180</v>
      </c>
      <c r="AJ41" s="948">
        <v>180</v>
      </c>
      <c r="AK41" s="948">
        <v>180</v>
      </c>
      <c r="AL41" s="948">
        <v>180</v>
      </c>
      <c r="AM41" s="855"/>
      <c r="AR41" s="78"/>
    </row>
    <row r="42" spans="1:80">
      <c r="B42" s="866" t="s">
        <v>705</v>
      </c>
      <c r="C42" s="855"/>
      <c r="D42" s="868" t="s">
        <v>711</v>
      </c>
      <c r="E42" s="868"/>
      <c r="F42" s="866"/>
      <c r="G42" s="889">
        <v>2000</v>
      </c>
      <c r="H42" s="889">
        <v>2000</v>
      </c>
      <c r="I42" s="889">
        <v>2000</v>
      </c>
      <c r="J42" s="889">
        <v>2000</v>
      </c>
      <c r="K42" s="889">
        <v>2000</v>
      </c>
      <c r="L42" s="890">
        <f>$P$42</f>
        <v>2000</v>
      </c>
      <c r="M42" s="890">
        <f>$P$42</f>
        <v>2000</v>
      </c>
      <c r="N42" s="890">
        <f>$P$42</f>
        <v>2000</v>
      </c>
      <c r="O42" s="890">
        <f>$P$42</f>
        <v>2000</v>
      </c>
      <c r="P42" s="889">
        <v>2000</v>
      </c>
      <c r="Q42" s="890">
        <f>$U$42</f>
        <v>2000</v>
      </c>
      <c r="R42" s="890">
        <f>$U$42</f>
        <v>2000</v>
      </c>
      <c r="S42" s="890">
        <f>$U$42</f>
        <v>2000</v>
      </c>
      <c r="T42" s="890">
        <f>$U$42</f>
        <v>2000</v>
      </c>
      <c r="U42" s="893">
        <v>2000</v>
      </c>
      <c r="V42" s="890">
        <f>$Z$42</f>
        <v>1800</v>
      </c>
      <c r="W42" s="890">
        <f>$Z$42</f>
        <v>1800</v>
      </c>
      <c r="X42" s="890">
        <f>$Z$42</f>
        <v>1800</v>
      </c>
      <c r="Y42" s="890">
        <f>$Z$42</f>
        <v>1800</v>
      </c>
      <c r="Z42" s="948">
        <v>1800</v>
      </c>
      <c r="AA42" s="890">
        <f>$Z$42</f>
        <v>1800</v>
      </c>
      <c r="AB42" s="890">
        <f>$Z$42</f>
        <v>1800</v>
      </c>
      <c r="AC42" s="890">
        <f>$Z$42</f>
        <v>1800</v>
      </c>
      <c r="AD42" s="890">
        <f>$Z$42</f>
        <v>1800</v>
      </c>
      <c r="AE42" s="948">
        <v>1800</v>
      </c>
      <c r="AF42" s="948">
        <v>1800</v>
      </c>
      <c r="AG42" s="948">
        <v>1800</v>
      </c>
      <c r="AH42" s="948">
        <v>1800</v>
      </c>
      <c r="AI42" s="948">
        <v>1800</v>
      </c>
      <c r="AJ42" s="948">
        <v>1800</v>
      </c>
      <c r="AK42" s="948">
        <v>1800</v>
      </c>
      <c r="AL42" s="948">
        <v>1800</v>
      </c>
      <c r="AM42" s="855"/>
      <c r="AR42" s="78"/>
    </row>
    <row r="43" spans="1:80">
      <c r="B43" s="866"/>
      <c r="C43" s="855"/>
      <c r="D43" s="868"/>
      <c r="E43" s="868"/>
      <c r="F43" s="866"/>
      <c r="G43" s="898"/>
      <c r="H43" s="898"/>
      <c r="I43" s="898"/>
      <c r="J43" s="898"/>
      <c r="K43" s="898"/>
      <c r="L43" s="899"/>
      <c r="M43" s="899"/>
      <c r="N43" s="899"/>
      <c r="O43" s="899"/>
      <c r="P43" s="898"/>
      <c r="Q43" s="899"/>
      <c r="R43" s="899"/>
      <c r="S43" s="899"/>
      <c r="T43" s="899"/>
      <c r="U43" s="898"/>
      <c r="V43" s="899"/>
      <c r="W43" s="900"/>
      <c r="X43" s="900"/>
      <c r="Y43" s="900"/>
      <c r="Z43" s="880"/>
      <c r="AA43" s="900"/>
      <c r="AB43" s="900"/>
      <c r="AC43" s="900"/>
      <c r="AD43" s="900"/>
      <c r="AE43" s="880"/>
      <c r="AF43" s="880"/>
      <c r="AG43" s="880"/>
      <c r="AH43" s="859"/>
      <c r="AI43" s="859"/>
      <c r="AJ43" s="859"/>
      <c r="AK43" s="859"/>
      <c r="AL43" s="859"/>
      <c r="AM43" s="855"/>
      <c r="AR43" s="78"/>
    </row>
    <row r="44" spans="1:80" ht="16" thickBot="1">
      <c r="G44" s="77"/>
      <c r="H44" s="77"/>
      <c r="I44" s="77"/>
      <c r="J44" s="77"/>
      <c r="K44" s="77"/>
      <c r="L44" s="851"/>
      <c r="M44" s="851"/>
      <c r="N44" s="851"/>
      <c r="O44" s="851"/>
      <c r="P44" s="77"/>
      <c r="Q44" s="851"/>
      <c r="R44" s="851"/>
      <c r="S44" s="851"/>
      <c r="T44" s="851"/>
      <c r="U44" s="78"/>
      <c r="V44" s="851"/>
      <c r="W44" s="851"/>
      <c r="X44" s="851"/>
      <c r="Y44" s="851"/>
      <c r="Z44" s="78"/>
      <c r="AA44" s="851"/>
      <c r="AB44" s="851"/>
      <c r="AC44" s="851"/>
      <c r="AD44" s="851"/>
      <c r="AE44" s="78"/>
      <c r="AF44" s="78"/>
      <c r="AG44" s="78"/>
      <c r="AH44" s="78"/>
      <c r="AI44" s="78"/>
      <c r="AJ44" s="78"/>
      <c r="AK44" s="78"/>
      <c r="AL44" s="78"/>
      <c r="AR44" s="78"/>
    </row>
    <row r="45" spans="1:80">
      <c r="A45" s="79" t="s">
        <v>40</v>
      </c>
      <c r="B45" s="79"/>
      <c r="C45" s="80"/>
      <c r="D45" s="81" t="s">
        <v>272</v>
      </c>
      <c r="E45" s="81"/>
      <c r="F45" s="82" t="s">
        <v>0</v>
      </c>
      <c r="G45" s="82" t="s">
        <v>0</v>
      </c>
      <c r="H45" s="82" t="s">
        <v>0</v>
      </c>
      <c r="I45" s="82" t="s">
        <v>0</v>
      </c>
      <c r="J45" s="82" t="s">
        <v>0</v>
      </c>
      <c r="K45" s="82" t="s">
        <v>0</v>
      </c>
      <c r="L45" s="82"/>
      <c r="M45" s="82"/>
      <c r="N45" s="82"/>
      <c r="O45" s="82"/>
      <c r="P45" s="82" t="s">
        <v>0</v>
      </c>
      <c r="Q45" s="82"/>
      <c r="R45" s="82"/>
      <c r="S45" s="82"/>
      <c r="T45" s="82"/>
      <c r="U45" s="82" t="s">
        <v>0</v>
      </c>
      <c r="V45" s="82"/>
      <c r="W45" s="82"/>
      <c r="X45" s="82"/>
      <c r="Y45" s="82"/>
      <c r="Z45" s="82" t="s">
        <v>0</v>
      </c>
      <c r="AA45" s="82"/>
      <c r="AB45" s="82"/>
      <c r="AC45" s="82"/>
      <c r="AD45" s="82"/>
      <c r="AE45" s="82" t="s">
        <v>0</v>
      </c>
      <c r="AF45" s="82" t="s">
        <v>0</v>
      </c>
      <c r="AG45" s="82" t="s">
        <v>0</v>
      </c>
      <c r="AH45" s="82" t="s">
        <v>0</v>
      </c>
      <c r="AI45" s="82" t="s">
        <v>0</v>
      </c>
      <c r="AJ45" s="82" t="s">
        <v>0</v>
      </c>
      <c r="AK45" s="82" t="s">
        <v>0</v>
      </c>
      <c r="AL45" s="82" t="s">
        <v>0</v>
      </c>
      <c r="CA45" s="474"/>
      <c r="CB45" s="475"/>
    </row>
    <row r="46" spans="1:80">
      <c r="B46" s="83"/>
      <c r="C46" s="83"/>
      <c r="D46" s="84"/>
      <c r="E46" s="84"/>
      <c r="F46" s="83"/>
      <c r="G46" s="85"/>
      <c r="H46" s="85"/>
      <c r="I46" s="85"/>
      <c r="J46" s="85"/>
      <c r="K46" s="85"/>
      <c r="L46" s="86"/>
      <c r="M46" s="86"/>
      <c r="N46" s="86"/>
      <c r="O46" s="86"/>
      <c r="P46" s="85"/>
      <c r="Q46" s="86"/>
      <c r="R46" s="86"/>
      <c r="S46" s="86"/>
      <c r="T46" s="86"/>
      <c r="U46" s="85"/>
      <c r="V46" s="86"/>
      <c r="W46" s="959"/>
      <c r="X46" s="959"/>
      <c r="Y46" s="960"/>
      <c r="Z46" s="577"/>
      <c r="AA46" s="967"/>
      <c r="AB46" s="967"/>
      <c r="AC46" s="967"/>
      <c r="AD46" s="967"/>
      <c r="AE46" s="196"/>
      <c r="AF46" s="196"/>
      <c r="AG46" s="88"/>
      <c r="AH46" s="88"/>
      <c r="AI46" s="88"/>
      <c r="AJ46" s="83"/>
      <c r="AK46" s="83"/>
      <c r="AL46" s="83"/>
      <c r="AM46" s="83"/>
      <c r="AN46" s="83"/>
      <c r="AO46" s="83"/>
      <c r="CA46" s="477"/>
      <c r="CB46" s="478"/>
    </row>
    <row r="47" spans="1:80">
      <c r="B47" s="92" t="s">
        <v>705</v>
      </c>
      <c r="C47" s="83" t="s">
        <v>762</v>
      </c>
      <c r="D47" s="84" t="s">
        <v>758</v>
      </c>
      <c r="E47" s="89"/>
      <c r="F47" s="83"/>
      <c r="G47" s="90"/>
      <c r="H47" s="90"/>
      <c r="I47" s="90"/>
      <c r="J47" s="90"/>
      <c r="K47" s="90">
        <v>210</v>
      </c>
      <c r="L47" s="91">
        <v>237</v>
      </c>
      <c r="M47" s="91">
        <v>197</v>
      </c>
      <c r="N47" s="91">
        <v>188</v>
      </c>
      <c r="O47" s="91">
        <v>213</v>
      </c>
      <c r="P47" s="90">
        <v>209</v>
      </c>
      <c r="Q47" s="91">
        <v>210</v>
      </c>
      <c r="R47" s="91">
        <v>208</v>
      </c>
      <c r="S47" s="91">
        <v>178</v>
      </c>
      <c r="T47" s="91">
        <v>142</v>
      </c>
      <c r="U47" s="90">
        <v>185</v>
      </c>
      <c r="V47" s="969">
        <v>150</v>
      </c>
      <c r="W47" s="961">
        <f>W49/W48</f>
        <v>128.08988764044943</v>
      </c>
      <c r="X47" s="961">
        <f>X49/X48</f>
        <v>114.6067415730337</v>
      </c>
      <c r="Y47" s="961">
        <f>Y49/Y48</f>
        <v>120.2247191011236</v>
      </c>
      <c r="Z47" s="167">
        <f>Z15</f>
        <v>125.17471073284352</v>
      </c>
      <c r="AA47" s="961">
        <f>AA15</f>
        <v>126.40523809523812</v>
      </c>
      <c r="AB47" s="961">
        <f>AB15</f>
        <v>133.87184615384615</v>
      </c>
      <c r="AC47" s="961">
        <f>AC15</f>
        <v>146.06</v>
      </c>
      <c r="AD47" s="961">
        <f t="shared" ref="AD47" si="0">AD15</f>
        <v>146.06</v>
      </c>
      <c r="AE47" s="167">
        <f>AE15</f>
        <v>146.06</v>
      </c>
      <c r="AF47" s="167">
        <f t="shared" ref="AF47:AL47" si="1">AF15</f>
        <v>145</v>
      </c>
      <c r="AG47" s="167">
        <f t="shared" si="1"/>
        <v>140</v>
      </c>
      <c r="AH47" s="167">
        <f t="shared" si="1"/>
        <v>140</v>
      </c>
      <c r="AI47" s="167">
        <f t="shared" si="1"/>
        <v>140</v>
      </c>
      <c r="AJ47" s="167">
        <f t="shared" si="1"/>
        <v>140</v>
      </c>
      <c r="AK47" s="167">
        <f t="shared" si="1"/>
        <v>140</v>
      </c>
      <c r="AL47" s="167">
        <f t="shared" si="1"/>
        <v>140</v>
      </c>
      <c r="AM47" s="83"/>
      <c r="AN47" s="83"/>
      <c r="AO47" s="83"/>
      <c r="CA47" s="477"/>
      <c r="CB47" s="478"/>
    </row>
    <row r="48" spans="1:80">
      <c r="B48" s="92"/>
      <c r="C48" s="83"/>
      <c r="D48" s="84" t="s">
        <v>759</v>
      </c>
      <c r="E48" s="84"/>
      <c r="F48" s="83"/>
      <c r="G48" s="85"/>
      <c r="H48" s="85"/>
      <c r="I48" s="85"/>
      <c r="J48" s="85"/>
      <c r="K48" s="742">
        <v>0.83</v>
      </c>
      <c r="L48" s="743">
        <v>0.89</v>
      </c>
      <c r="M48" s="743">
        <v>0.89</v>
      </c>
      <c r="N48" s="743">
        <v>0.89</v>
      </c>
      <c r="O48" s="743">
        <v>0.89</v>
      </c>
      <c r="P48" s="742">
        <v>0.89</v>
      </c>
      <c r="Q48" s="743">
        <v>0.89</v>
      </c>
      <c r="R48" s="743">
        <v>0.89</v>
      </c>
      <c r="S48" s="743">
        <v>0.89</v>
      </c>
      <c r="T48" s="743">
        <v>0.89</v>
      </c>
      <c r="U48" s="742">
        <v>0.89</v>
      </c>
      <c r="V48" s="954">
        <f>Z48</f>
        <v>0.89</v>
      </c>
      <c r="W48" s="954">
        <f>Z48</f>
        <v>0.89</v>
      </c>
      <c r="X48" s="954">
        <f>Z48</f>
        <v>0.89</v>
      </c>
      <c r="Y48" s="954">
        <f>Z48</f>
        <v>0.89</v>
      </c>
      <c r="Z48" s="742">
        <v>0.89</v>
      </c>
      <c r="AA48" s="954">
        <f>AE48</f>
        <v>0.89</v>
      </c>
      <c r="AB48" s="954">
        <f>AF48</f>
        <v>0.89</v>
      </c>
      <c r="AC48" s="954">
        <f>AG48</f>
        <v>0.89</v>
      </c>
      <c r="AD48" s="954">
        <f>AH48</f>
        <v>0.89</v>
      </c>
      <c r="AE48" s="945">
        <v>0.89</v>
      </c>
      <c r="AF48" s="972">
        <f>AE48</f>
        <v>0.89</v>
      </c>
      <c r="AG48" s="972">
        <f t="shared" ref="AG48:AL48" si="2">AF48</f>
        <v>0.89</v>
      </c>
      <c r="AH48" s="972">
        <f t="shared" si="2"/>
        <v>0.89</v>
      </c>
      <c r="AI48" s="972">
        <f t="shared" si="2"/>
        <v>0.89</v>
      </c>
      <c r="AJ48" s="972">
        <f t="shared" si="2"/>
        <v>0.89</v>
      </c>
      <c r="AK48" s="972">
        <f t="shared" si="2"/>
        <v>0.89</v>
      </c>
      <c r="AL48" s="972">
        <f t="shared" si="2"/>
        <v>0.89</v>
      </c>
      <c r="AM48" s="83"/>
      <c r="AN48" s="83"/>
      <c r="AO48" s="83"/>
      <c r="CA48" s="477"/>
      <c r="CB48" s="478"/>
    </row>
    <row r="49" spans="2:80">
      <c r="B49" s="92" t="s">
        <v>705</v>
      </c>
      <c r="C49" s="83"/>
      <c r="D49" s="84" t="s">
        <v>760</v>
      </c>
      <c r="E49" s="84"/>
      <c r="F49" s="83"/>
      <c r="G49" s="85"/>
      <c r="H49" s="85"/>
      <c r="I49" s="85"/>
      <c r="J49" s="85"/>
      <c r="K49" s="130">
        <f t="shared" ref="K49:T49" si="3">K47*K48</f>
        <v>174.29999999999998</v>
      </c>
      <c r="L49" s="97">
        <f t="shared" si="3"/>
        <v>210.93</v>
      </c>
      <c r="M49" s="97">
        <f t="shared" si="3"/>
        <v>175.33</v>
      </c>
      <c r="N49" s="97">
        <f t="shared" si="3"/>
        <v>167.32</v>
      </c>
      <c r="O49" s="97">
        <f t="shared" si="3"/>
        <v>189.57</v>
      </c>
      <c r="P49" s="130">
        <f t="shared" si="3"/>
        <v>186.01</v>
      </c>
      <c r="Q49" s="97">
        <f t="shared" si="3"/>
        <v>186.9</v>
      </c>
      <c r="R49" s="97">
        <f t="shared" si="3"/>
        <v>185.12</v>
      </c>
      <c r="S49" s="97">
        <f t="shared" si="3"/>
        <v>158.42000000000002</v>
      </c>
      <c r="T49" s="97">
        <f t="shared" si="3"/>
        <v>126.38</v>
      </c>
      <c r="U49" s="130">
        <f>U47*U48</f>
        <v>164.65</v>
      </c>
      <c r="V49" s="1189">
        <v>131</v>
      </c>
      <c r="W49" s="91">
        <v>114</v>
      </c>
      <c r="X49" s="91">
        <v>102</v>
      </c>
      <c r="Y49" s="91">
        <v>107</v>
      </c>
      <c r="Z49" s="90">
        <v>113</v>
      </c>
      <c r="AA49" s="91">
        <v>131</v>
      </c>
      <c r="AB49" s="91">
        <v>144</v>
      </c>
      <c r="AC49" s="97">
        <f>AC47*AC48</f>
        <v>129.99340000000001</v>
      </c>
      <c r="AD49" s="97">
        <f>AD47*AD48</f>
        <v>129.99340000000001</v>
      </c>
      <c r="AE49" s="130">
        <f>AE47*AE48</f>
        <v>129.99340000000001</v>
      </c>
      <c r="AF49" s="130">
        <f t="shared" ref="AF49:AL49" si="4">AF47*AF48</f>
        <v>129.05000000000001</v>
      </c>
      <c r="AG49" s="130">
        <f t="shared" si="4"/>
        <v>124.60000000000001</v>
      </c>
      <c r="AH49" s="130">
        <f t="shared" si="4"/>
        <v>124.60000000000001</v>
      </c>
      <c r="AI49" s="130">
        <f t="shared" si="4"/>
        <v>124.60000000000001</v>
      </c>
      <c r="AJ49" s="130">
        <f t="shared" si="4"/>
        <v>124.60000000000001</v>
      </c>
      <c r="AK49" s="130">
        <f t="shared" si="4"/>
        <v>124.60000000000001</v>
      </c>
      <c r="AL49" s="130">
        <f t="shared" si="4"/>
        <v>124.60000000000001</v>
      </c>
      <c r="AM49" s="83"/>
      <c r="AN49" s="83"/>
      <c r="AO49" s="83"/>
      <c r="CA49" s="477"/>
      <c r="CB49" s="478"/>
    </row>
    <row r="50" spans="2:80">
      <c r="B50" s="92"/>
      <c r="C50" s="83"/>
      <c r="D50" s="163" t="s">
        <v>271</v>
      </c>
      <c r="E50" s="84"/>
      <c r="F50" s="83"/>
      <c r="G50" s="85"/>
      <c r="H50" s="85"/>
      <c r="I50" s="85"/>
      <c r="J50" s="85"/>
      <c r="K50" s="414">
        <f t="shared" ref="K50:T50" si="5">K23</f>
        <v>1.2982</v>
      </c>
      <c r="L50" s="415">
        <f t="shared" si="5"/>
        <v>1.2647999999999999</v>
      </c>
      <c r="M50" s="415">
        <f t="shared" si="5"/>
        <v>1.2907999999999999</v>
      </c>
      <c r="N50" s="415">
        <f t="shared" si="5"/>
        <v>1.3068</v>
      </c>
      <c r="O50" s="415">
        <f t="shared" si="5"/>
        <v>1.3218000000000001</v>
      </c>
      <c r="P50" s="414">
        <f t="shared" si="5"/>
        <v>1.2961</v>
      </c>
      <c r="Q50" s="415">
        <f t="shared" si="5"/>
        <v>1.3295999999999999</v>
      </c>
      <c r="R50" s="415">
        <f t="shared" si="5"/>
        <v>1.3376999999999999</v>
      </c>
      <c r="S50" s="415">
        <f t="shared" si="5"/>
        <v>1.3204</v>
      </c>
      <c r="T50" s="415">
        <f t="shared" si="5"/>
        <v>1.3198000000000001</v>
      </c>
      <c r="U50" s="414">
        <f t="shared" ref="U50:Z50" si="6">U23</f>
        <v>1.3268</v>
      </c>
      <c r="V50" s="415">
        <f>V23</f>
        <v>1.3436999999999999</v>
      </c>
      <c r="W50" s="551">
        <f>W23</f>
        <v>1.3858999999999999</v>
      </c>
      <c r="X50" s="551">
        <v>1.33</v>
      </c>
      <c r="Y50" s="415">
        <f>Y23</f>
        <v>1.3027</v>
      </c>
      <c r="Z50" s="414">
        <f t="shared" si="6"/>
        <v>1.3412249999999999</v>
      </c>
      <c r="AA50" s="415">
        <f>AA23</f>
        <v>1.266</v>
      </c>
      <c r="AB50" s="415">
        <f>AB23</f>
        <v>1.2287999999999999</v>
      </c>
      <c r="AC50" s="415">
        <f>AC23</f>
        <v>1.24</v>
      </c>
      <c r="AD50" s="415">
        <f>AD23</f>
        <v>1.24</v>
      </c>
      <c r="AE50" s="414">
        <f>AE23</f>
        <v>1.24</v>
      </c>
      <c r="AF50" s="414">
        <f t="shared" ref="AF50:AL50" si="7">AF23</f>
        <v>1.22</v>
      </c>
      <c r="AG50" s="414">
        <f t="shared" si="7"/>
        <v>1.22</v>
      </c>
      <c r="AH50" s="414">
        <f t="shared" si="7"/>
        <v>1.23</v>
      </c>
      <c r="AI50" s="414">
        <f t="shared" si="7"/>
        <v>1.23</v>
      </c>
      <c r="AJ50" s="414">
        <f t="shared" si="7"/>
        <v>1.23</v>
      </c>
      <c r="AK50" s="414">
        <f t="shared" si="7"/>
        <v>1.23</v>
      </c>
      <c r="AL50" s="414">
        <f t="shared" si="7"/>
        <v>1.23</v>
      </c>
      <c r="AM50" s="83"/>
      <c r="AN50" s="83"/>
      <c r="AO50" s="83"/>
      <c r="CA50" s="477"/>
      <c r="CB50" s="478"/>
    </row>
    <row r="51" spans="2:80">
      <c r="B51" s="92" t="s">
        <v>761</v>
      </c>
      <c r="C51" s="83"/>
      <c r="D51" s="84" t="s">
        <v>760</v>
      </c>
      <c r="E51" s="84"/>
      <c r="F51" s="83"/>
      <c r="G51" s="85"/>
      <c r="H51" s="85"/>
      <c r="I51" s="85"/>
      <c r="J51" s="85"/>
      <c r="K51" s="130">
        <f t="shared" ref="K51:T51" si="8">K49*K50</f>
        <v>226.27625999999998</v>
      </c>
      <c r="L51" s="97">
        <f t="shared" si="8"/>
        <v>266.78426400000001</v>
      </c>
      <c r="M51" s="97">
        <f t="shared" si="8"/>
        <v>226.31596400000001</v>
      </c>
      <c r="N51" s="97">
        <f t="shared" si="8"/>
        <v>218.65377599999999</v>
      </c>
      <c r="O51" s="97">
        <f t="shared" si="8"/>
        <v>250.57362600000002</v>
      </c>
      <c r="P51" s="130">
        <f t="shared" si="8"/>
        <v>241.08756099999999</v>
      </c>
      <c r="Q51" s="97">
        <f t="shared" si="8"/>
        <v>248.50224</v>
      </c>
      <c r="R51" s="97">
        <f t="shared" si="8"/>
        <v>247.63502399999999</v>
      </c>
      <c r="S51" s="97">
        <f t="shared" si="8"/>
        <v>209.17776800000001</v>
      </c>
      <c r="T51" s="97">
        <f t="shared" si="8"/>
        <v>166.796324</v>
      </c>
      <c r="U51" s="130">
        <f t="shared" ref="U51:X51" si="9">U49*U50</f>
        <v>218.45761999999999</v>
      </c>
      <c r="V51" s="1189">
        <f>V49*V50</f>
        <v>176.0247</v>
      </c>
      <c r="W51" s="97">
        <f>W49*W50</f>
        <v>157.99259999999998</v>
      </c>
      <c r="X51" s="97">
        <f t="shared" si="9"/>
        <v>135.66</v>
      </c>
      <c r="Y51" s="91">
        <v>140</v>
      </c>
      <c r="Z51" s="90">
        <v>152</v>
      </c>
      <c r="AA51" s="91">
        <v>166</v>
      </c>
      <c r="AB51" s="97">
        <f>AB49*AB50</f>
        <v>176.94719999999998</v>
      </c>
      <c r="AC51" s="97">
        <f>AC49*AC50</f>
        <v>161.19181600000002</v>
      </c>
      <c r="AD51" s="97">
        <f>AD49*AD50</f>
        <v>161.19181600000002</v>
      </c>
      <c r="AE51" s="130">
        <f>AE49*AE50</f>
        <v>161.19181600000002</v>
      </c>
      <c r="AF51" s="130">
        <f t="shared" ref="AF51" si="10">AF49*AF50</f>
        <v>157.441</v>
      </c>
      <c r="AG51" s="130">
        <f t="shared" ref="AG51:AL51" si="11">AG49*AG50</f>
        <v>152.012</v>
      </c>
      <c r="AH51" s="130">
        <f t="shared" si="11"/>
        <v>153.25800000000001</v>
      </c>
      <c r="AI51" s="130">
        <f t="shared" si="11"/>
        <v>153.25800000000001</v>
      </c>
      <c r="AJ51" s="130">
        <f t="shared" si="11"/>
        <v>153.25800000000001</v>
      </c>
      <c r="AK51" s="130">
        <f t="shared" si="11"/>
        <v>153.25800000000001</v>
      </c>
      <c r="AL51" s="130">
        <f t="shared" si="11"/>
        <v>153.25800000000001</v>
      </c>
      <c r="AM51" s="83"/>
      <c r="AN51" s="83"/>
      <c r="AO51" s="83"/>
      <c r="CA51" s="477"/>
      <c r="CB51" s="478"/>
    </row>
    <row r="52" spans="2:80">
      <c r="B52" s="92"/>
      <c r="C52" s="83"/>
      <c r="D52" s="84"/>
      <c r="E52" s="84"/>
      <c r="F52" s="83"/>
      <c r="G52" s="85"/>
      <c r="H52" s="85"/>
      <c r="I52" s="85"/>
      <c r="J52" s="85"/>
      <c r="K52" s="93"/>
      <c r="L52" s="87"/>
      <c r="M52" s="87"/>
      <c r="N52" s="87"/>
      <c r="O52" s="87"/>
      <c r="P52" s="93"/>
      <c r="Q52" s="87"/>
      <c r="R52" s="87"/>
      <c r="S52" s="87"/>
      <c r="T52" s="87"/>
      <c r="U52" s="93"/>
      <c r="V52" s="86"/>
      <c r="W52" s="959"/>
      <c r="X52" s="959"/>
      <c r="Y52" s="960"/>
      <c r="Z52" s="577"/>
      <c r="AA52" s="967"/>
      <c r="AB52" s="967"/>
      <c r="AC52" s="967"/>
      <c r="AD52" s="967"/>
      <c r="AE52" s="196"/>
      <c r="AF52" s="196"/>
      <c r="AG52" s="88"/>
      <c r="AH52" s="88"/>
      <c r="AI52" s="88"/>
      <c r="AJ52" s="83"/>
      <c r="AK52" s="83"/>
      <c r="AL52" s="83"/>
      <c r="AM52" s="83"/>
      <c r="AN52" s="83"/>
      <c r="AO52" s="83"/>
      <c r="CA52" s="477"/>
      <c r="CB52" s="478"/>
    </row>
    <row r="53" spans="2:80">
      <c r="B53" s="92"/>
      <c r="C53" s="83"/>
      <c r="D53" s="757" t="s">
        <v>641</v>
      </c>
      <c r="E53" s="757"/>
      <c r="F53" s="174"/>
      <c r="G53" s="454"/>
      <c r="H53" s="454"/>
      <c r="I53" s="454"/>
      <c r="J53" s="454"/>
      <c r="K53" s="454"/>
      <c r="L53" s="455"/>
      <c r="M53" s="455"/>
      <c r="N53" s="455"/>
      <c r="O53" s="455"/>
      <c r="P53" s="454"/>
      <c r="Q53" s="455"/>
      <c r="R53" s="455"/>
      <c r="S53" s="455"/>
      <c r="T53" s="455"/>
      <c r="U53" s="454"/>
      <c r="V53" s="455"/>
      <c r="W53" s="455"/>
      <c r="X53" s="455"/>
      <c r="Y53" s="455"/>
      <c r="Z53" s="748"/>
      <c r="AA53" s="749"/>
      <c r="AB53" s="749"/>
      <c r="AC53" s="749"/>
      <c r="AD53" s="749"/>
      <c r="AE53" s="748"/>
      <c r="AF53" s="748"/>
      <c r="AG53" s="974"/>
      <c r="AH53" s="974"/>
      <c r="AI53" s="974"/>
      <c r="AJ53" s="136"/>
      <c r="AK53" s="136"/>
      <c r="AL53" s="136"/>
      <c r="AM53" s="174"/>
      <c r="AN53" s="174"/>
      <c r="AO53" s="174"/>
      <c r="AP53" s="454"/>
      <c r="CA53" s="477"/>
      <c r="CB53" s="478"/>
    </row>
    <row r="54" spans="2:80">
      <c r="B54" s="92" t="s">
        <v>858</v>
      </c>
      <c r="C54" s="83"/>
      <c r="D54" s="84" t="s">
        <v>269</v>
      </c>
      <c r="E54" s="84"/>
      <c r="F54" s="83"/>
      <c r="G54" s="85">
        <v>25.622</v>
      </c>
      <c r="H54" s="85">
        <v>26.7</v>
      </c>
      <c r="I54" s="85">
        <v>25.3</v>
      </c>
      <c r="J54" s="85">
        <v>27.6</v>
      </c>
      <c r="K54" s="85">
        <v>26.6</v>
      </c>
      <c r="L54" s="86">
        <v>6.2</v>
      </c>
      <c r="M54" s="86">
        <v>6.3</v>
      </c>
      <c r="N54" s="86">
        <v>6.4</v>
      </c>
      <c r="O54" s="86">
        <v>7.3</v>
      </c>
      <c r="P54" s="85">
        <v>26.2</v>
      </c>
      <c r="Q54" s="86">
        <v>6.1</v>
      </c>
      <c r="R54" s="86">
        <v>6.4000000000000012</v>
      </c>
      <c r="S54" s="86">
        <v>6.5</v>
      </c>
      <c r="T54" s="86">
        <v>6.7</v>
      </c>
      <c r="U54" s="85">
        <v>25.7</v>
      </c>
      <c r="V54" s="86">
        <v>4.9000000000000004</v>
      </c>
      <c r="W54" s="86">
        <v>5.0999999999999996</v>
      </c>
      <c r="X54" s="86">
        <v>5.0999999999999996</v>
      </c>
      <c r="Y54" s="86">
        <v>6</v>
      </c>
      <c r="Z54" s="1177">
        <v>21.1</v>
      </c>
      <c r="AA54" s="1022">
        <v>5.9</v>
      </c>
      <c r="AB54" s="1022">
        <v>6.2</v>
      </c>
      <c r="AC54" s="1178">
        <f>AE54*AC87</f>
        <v>6.375</v>
      </c>
      <c r="AD54" s="1178">
        <f>AE54*AD87</f>
        <v>7.0249999999999977</v>
      </c>
      <c r="AE54" s="1171">
        <v>25.5</v>
      </c>
      <c r="AF54" s="1171">
        <v>26.5</v>
      </c>
      <c r="AG54" s="1171">
        <v>26.5</v>
      </c>
      <c r="AH54" s="1171">
        <v>26.5</v>
      </c>
      <c r="AI54" s="1171">
        <v>26.5</v>
      </c>
      <c r="AJ54" s="1171">
        <v>26.5</v>
      </c>
      <c r="AK54" s="1171">
        <v>26.5</v>
      </c>
      <c r="AL54" s="1171">
        <v>26.5</v>
      </c>
      <c r="AM54" s="83"/>
      <c r="AN54" s="83"/>
      <c r="AO54" s="83"/>
      <c r="CA54" s="477"/>
      <c r="CB54" s="478"/>
    </row>
    <row r="55" spans="2:80">
      <c r="E55" s="84"/>
      <c r="F55" s="83"/>
      <c r="G55" s="85"/>
      <c r="H55" s="85"/>
      <c r="I55" s="85"/>
      <c r="J55" s="85"/>
      <c r="K55" s="93"/>
      <c r="L55" s="87"/>
      <c r="M55" s="87"/>
      <c r="N55" s="87"/>
      <c r="O55" s="87"/>
      <c r="P55" s="93"/>
      <c r="Q55" s="87"/>
      <c r="R55" s="87"/>
      <c r="S55" s="87"/>
      <c r="T55" s="87"/>
      <c r="U55" s="93"/>
      <c r="V55" s="86"/>
      <c r="W55" s="87"/>
      <c r="X55" s="87"/>
      <c r="Y55" s="87"/>
      <c r="Z55" s="93"/>
      <c r="AA55" s="87"/>
      <c r="AB55" s="87"/>
      <c r="AC55" s="87"/>
      <c r="AD55" s="962"/>
      <c r="AE55" s="196"/>
      <c r="AF55" s="196"/>
      <c r="AG55" s="88"/>
      <c r="AH55" s="88"/>
      <c r="AI55" s="88"/>
      <c r="AJ55" s="83"/>
      <c r="AK55" s="83"/>
      <c r="AL55" s="83"/>
      <c r="AM55" s="83"/>
      <c r="AN55" s="83"/>
      <c r="AO55" s="83"/>
      <c r="CA55" s="477"/>
      <c r="CB55" s="478"/>
    </row>
    <row r="56" spans="2:80">
      <c r="B56" s="92"/>
      <c r="C56" s="83"/>
      <c r="D56" s="84"/>
      <c r="E56" s="84"/>
      <c r="F56" s="83"/>
      <c r="G56" s="85"/>
      <c r="H56" s="85"/>
      <c r="I56" s="85"/>
      <c r="J56" s="85"/>
      <c r="K56" s="93"/>
      <c r="L56" s="87"/>
      <c r="M56" s="87"/>
      <c r="N56" s="87"/>
      <c r="O56" s="87"/>
      <c r="P56" s="93"/>
      <c r="Q56" s="87"/>
      <c r="R56" s="87"/>
      <c r="S56" s="87"/>
      <c r="T56" s="87"/>
      <c r="U56" s="93"/>
      <c r="V56" s="86"/>
      <c r="W56" s="87"/>
      <c r="X56" s="87"/>
      <c r="Y56" s="87"/>
      <c r="Z56" s="93"/>
      <c r="AA56" s="87"/>
      <c r="AB56" s="87"/>
      <c r="AC56" s="87"/>
      <c r="AD56" s="962"/>
      <c r="AE56" s="196"/>
      <c r="AF56" s="196"/>
      <c r="AG56" s="88"/>
      <c r="AH56" s="88"/>
      <c r="AI56" s="88"/>
      <c r="AJ56" s="83"/>
      <c r="AK56" s="83"/>
      <c r="AL56" s="83"/>
      <c r="AM56" s="83"/>
      <c r="AN56" s="83"/>
      <c r="AO56" s="83"/>
      <c r="CA56" s="477"/>
      <c r="CB56" s="478"/>
    </row>
    <row r="57" spans="2:80">
      <c r="B57" s="92"/>
      <c r="C57" s="83"/>
      <c r="D57" s="757" t="s">
        <v>617</v>
      </c>
      <c r="E57" s="757"/>
      <c r="F57" s="174"/>
      <c r="G57" s="454"/>
      <c r="H57" s="454"/>
      <c r="I57" s="454"/>
      <c r="J57" s="454"/>
      <c r="K57" s="454"/>
      <c r="L57" s="455"/>
      <c r="M57" s="455"/>
      <c r="N57" s="455"/>
      <c r="O57" s="455"/>
      <c r="P57" s="454"/>
      <c r="Q57" s="455"/>
      <c r="R57" s="455"/>
      <c r="S57" s="455"/>
      <c r="T57" s="455"/>
      <c r="U57" s="454"/>
      <c r="V57" s="455"/>
      <c r="W57" s="963"/>
      <c r="X57" s="963"/>
      <c r="Y57" s="963"/>
      <c r="Z57" s="454"/>
      <c r="AA57" s="963"/>
      <c r="AB57" s="963"/>
      <c r="AC57" s="963"/>
      <c r="AD57" s="963"/>
      <c r="AE57" s="454"/>
      <c r="AF57" s="454"/>
      <c r="AG57" s="758"/>
      <c r="AH57" s="758"/>
      <c r="AI57" s="758"/>
      <c r="AJ57" s="174"/>
      <c r="AK57" s="174"/>
      <c r="AL57" s="174"/>
      <c r="AM57" s="174"/>
      <c r="AN57" s="174"/>
      <c r="AO57" s="174"/>
      <c r="AP57" s="454"/>
      <c r="CA57" s="477"/>
      <c r="CB57" s="478"/>
    </row>
    <row r="58" spans="2:80">
      <c r="B58" s="92" t="s">
        <v>858</v>
      </c>
      <c r="C58" s="83"/>
      <c r="D58" s="84" t="s">
        <v>269</v>
      </c>
      <c r="E58" s="84"/>
      <c r="F58" s="83"/>
      <c r="G58" s="85">
        <v>26.911000000000001</v>
      </c>
      <c r="H58" s="85">
        <v>26.2</v>
      </c>
      <c r="I58" s="85">
        <v>26</v>
      </c>
      <c r="J58" s="85">
        <v>27</v>
      </c>
      <c r="K58" s="85">
        <v>26.5</v>
      </c>
      <c r="L58" s="86">
        <v>6.1</v>
      </c>
      <c r="M58" s="86">
        <v>6.6</v>
      </c>
      <c r="N58" s="86">
        <v>6.7</v>
      </c>
      <c r="O58" s="86">
        <v>6.6</v>
      </c>
      <c r="P58" s="85">
        <v>26</v>
      </c>
      <c r="Q58" s="86">
        <v>6.2</v>
      </c>
      <c r="R58" s="86">
        <v>6.4000000000000012</v>
      </c>
      <c r="S58" s="86">
        <v>6.1</v>
      </c>
      <c r="T58" s="86">
        <v>6.3</v>
      </c>
      <c r="U58" s="85">
        <v>25</v>
      </c>
      <c r="V58" s="86">
        <v>5.7</v>
      </c>
      <c r="W58" s="1106">
        <v>5</v>
      </c>
      <c r="X58" s="1106">
        <v>5.0999999999999996</v>
      </c>
      <c r="Y58" s="1106">
        <v>6.1</v>
      </c>
      <c r="Z58" s="85">
        <v>21.9</v>
      </c>
      <c r="AA58" s="1106">
        <v>6.2</v>
      </c>
      <c r="AB58" s="1106">
        <v>6.2</v>
      </c>
      <c r="AC58" s="964">
        <f t="shared" ref="AC58:AF58" si="12">AC54</f>
        <v>6.375</v>
      </c>
      <c r="AD58" s="964">
        <f t="shared" si="12"/>
        <v>7.0249999999999977</v>
      </c>
      <c r="AE58" s="92">
        <f t="shared" si="12"/>
        <v>25.5</v>
      </c>
      <c r="AF58" s="92">
        <f t="shared" si="12"/>
        <v>26.5</v>
      </c>
      <c r="AG58" s="92">
        <f t="shared" ref="AG58:AL58" si="13">AG54</f>
        <v>26.5</v>
      </c>
      <c r="AH58" s="92">
        <f t="shared" si="13"/>
        <v>26.5</v>
      </c>
      <c r="AI58" s="92">
        <f t="shared" si="13"/>
        <v>26.5</v>
      </c>
      <c r="AJ58" s="92">
        <f t="shared" si="13"/>
        <v>26.5</v>
      </c>
      <c r="AK58" s="92">
        <f t="shared" si="13"/>
        <v>26.5</v>
      </c>
      <c r="AL58" s="92">
        <f t="shared" si="13"/>
        <v>26.5</v>
      </c>
      <c r="AM58" s="83"/>
      <c r="AN58" s="83"/>
      <c r="AO58" s="83"/>
      <c r="CA58" s="477"/>
      <c r="CB58" s="478"/>
    </row>
    <row r="59" spans="2:80">
      <c r="B59" s="92"/>
      <c r="C59" s="83"/>
      <c r="D59" s="84"/>
      <c r="E59" s="84"/>
      <c r="F59" s="83"/>
      <c r="G59" s="85"/>
      <c r="H59" s="85"/>
      <c r="I59" s="85"/>
      <c r="J59" s="85"/>
      <c r="K59" s="93"/>
      <c r="L59" s="87"/>
      <c r="M59" s="87"/>
      <c r="N59" s="87"/>
      <c r="O59" s="87"/>
      <c r="P59" s="93"/>
      <c r="Q59" s="87"/>
      <c r="R59" s="87"/>
      <c r="S59" s="87"/>
      <c r="T59" s="87"/>
      <c r="U59" s="93"/>
      <c r="V59" s="86"/>
      <c r="W59" s="87"/>
      <c r="X59" s="87"/>
      <c r="Y59" s="962"/>
      <c r="Z59" s="577"/>
      <c r="AA59" s="967"/>
      <c r="AB59" s="87"/>
      <c r="AC59" s="87"/>
      <c r="AD59" s="962"/>
      <c r="AE59" s="196"/>
      <c r="AF59" s="196"/>
      <c r="AG59" s="88"/>
      <c r="AH59" s="88"/>
      <c r="AI59" s="88"/>
      <c r="AJ59" s="83"/>
      <c r="AK59" s="83"/>
      <c r="AL59" s="83"/>
      <c r="AM59" s="83"/>
      <c r="AN59" s="83"/>
      <c r="AO59" s="83"/>
      <c r="CA59" s="477"/>
      <c r="CB59" s="478"/>
    </row>
    <row r="60" spans="2:80">
      <c r="B60" s="92"/>
      <c r="C60" s="83"/>
      <c r="D60" s="84"/>
      <c r="E60" s="84"/>
      <c r="F60" s="83"/>
      <c r="G60" s="85"/>
      <c r="H60" s="85"/>
      <c r="I60" s="85"/>
      <c r="J60" s="85"/>
      <c r="K60" s="93"/>
      <c r="L60" s="87"/>
      <c r="M60" s="87"/>
      <c r="N60" s="87"/>
      <c r="O60" s="87"/>
      <c r="P60" s="93"/>
      <c r="Q60" s="87"/>
      <c r="R60" s="87"/>
      <c r="S60" s="87"/>
      <c r="T60" s="87"/>
      <c r="U60" s="93"/>
      <c r="V60" s="86"/>
      <c r="W60" s="959"/>
      <c r="X60" s="959"/>
      <c r="Y60" s="960"/>
      <c r="Z60" s="577"/>
      <c r="AA60" s="967"/>
      <c r="AB60" s="959"/>
      <c r="AC60" s="959"/>
      <c r="AD60" s="960"/>
      <c r="AE60" s="196">
        <f>AE54/Z54-1</f>
        <v>0.20853080568720372</v>
      </c>
      <c r="AF60" s="196"/>
      <c r="AG60" s="88"/>
      <c r="AH60" s="88"/>
      <c r="AI60" s="88"/>
      <c r="AJ60" s="83"/>
      <c r="AK60" s="83"/>
      <c r="AL60" s="83"/>
      <c r="AM60" s="83"/>
      <c r="AN60" s="83"/>
      <c r="AO60" s="83"/>
      <c r="CA60" s="477"/>
      <c r="CB60" s="478"/>
    </row>
    <row r="61" spans="2:80">
      <c r="B61" s="92"/>
      <c r="C61" s="83"/>
      <c r="D61" s="84"/>
      <c r="E61" s="84"/>
      <c r="F61" s="83"/>
      <c r="G61" s="85"/>
      <c r="H61" s="85"/>
      <c r="I61" s="85"/>
      <c r="J61" s="85"/>
      <c r="K61" s="93"/>
      <c r="L61" s="87"/>
      <c r="M61" s="87"/>
      <c r="N61" s="87"/>
      <c r="O61" s="87"/>
      <c r="P61" s="93"/>
      <c r="Q61" s="87"/>
      <c r="R61" s="87"/>
      <c r="S61" s="87"/>
      <c r="T61" s="87"/>
      <c r="U61" s="93"/>
      <c r="V61" s="86"/>
      <c r="W61" s="959"/>
      <c r="X61" s="959"/>
      <c r="Y61" s="960"/>
      <c r="Z61" s="577"/>
      <c r="AA61" s="967"/>
      <c r="AB61" s="959"/>
      <c r="AC61" s="959"/>
      <c r="AD61" s="960"/>
      <c r="AE61" s="196">
        <f>AE64/Z64-1</f>
        <v>0.2796949138962963</v>
      </c>
      <c r="AF61" s="196"/>
      <c r="AG61" s="88"/>
      <c r="AH61" s="88"/>
      <c r="AI61" s="88"/>
      <c r="AJ61" s="83"/>
      <c r="AK61" s="83"/>
      <c r="AL61" s="83"/>
      <c r="AM61" s="83"/>
      <c r="AN61" s="83"/>
      <c r="AO61" s="83"/>
      <c r="CA61" s="477"/>
      <c r="CB61" s="478"/>
    </row>
    <row r="62" spans="2:80">
      <c r="B62" s="95" t="s">
        <v>633</v>
      </c>
      <c r="C62" s="96" t="s">
        <v>225</v>
      </c>
      <c r="D62" s="164" t="s">
        <v>636</v>
      </c>
      <c r="E62" s="84"/>
      <c r="F62" s="83"/>
      <c r="G62" s="85"/>
      <c r="H62" s="85"/>
      <c r="I62" s="85"/>
      <c r="J62" s="85"/>
      <c r="K62" s="93">
        <f>K58*K51</f>
        <v>5996.3208899999991</v>
      </c>
      <c r="L62" s="87">
        <f t="shared" ref="L62:T62" si="14">L58*L51</f>
        <v>1627.3840103999999</v>
      </c>
      <c r="M62" s="87">
        <f t="shared" si="14"/>
        <v>1493.6853624</v>
      </c>
      <c r="N62" s="87">
        <f t="shared" si="14"/>
        <v>1464.9802992</v>
      </c>
      <c r="O62" s="87">
        <f t="shared" si="14"/>
        <v>1653.7859316000001</v>
      </c>
      <c r="P62" s="93">
        <f>P58*P51</f>
        <v>6268.276586</v>
      </c>
      <c r="Q62" s="87">
        <f t="shared" si="14"/>
        <v>1540.713888</v>
      </c>
      <c r="R62" s="87">
        <f>R58*R51</f>
        <v>1584.8641536000002</v>
      </c>
      <c r="S62" s="87">
        <f t="shared" si="14"/>
        <v>1275.9843848</v>
      </c>
      <c r="T62" s="87">
        <f t="shared" si="14"/>
        <v>1050.8168412</v>
      </c>
      <c r="U62" s="93">
        <f t="shared" ref="U62:AB62" si="15">U58*U51</f>
        <v>5461.4404999999997</v>
      </c>
      <c r="V62" s="87">
        <f>V58*V51</f>
        <v>1003.34079</v>
      </c>
      <c r="W62" s="97">
        <f>W58*W51</f>
        <v>789.96299999999997</v>
      </c>
      <c r="X62" s="97">
        <f>X58*X51</f>
        <v>691.86599999999999</v>
      </c>
      <c r="Y62" s="97">
        <f t="shared" si="15"/>
        <v>854</v>
      </c>
      <c r="Z62" s="130">
        <f t="shared" ref="Z62:Z76" si="16">SUM(V62:Y62)</f>
        <v>3339.1697899999999</v>
      </c>
      <c r="AA62" s="97">
        <f>AA58*AA51</f>
        <v>1029.2</v>
      </c>
      <c r="AB62" s="97">
        <f t="shared" si="15"/>
        <v>1097.0726399999999</v>
      </c>
      <c r="AC62" s="97">
        <f>AC58*AC51</f>
        <v>1027.5978270000001</v>
      </c>
      <c r="AD62" s="97">
        <f>AD58*AD51</f>
        <v>1132.3725073999997</v>
      </c>
      <c r="AE62" s="130">
        <f>SUM(AA62:AD62)</f>
        <v>4286.2429744000001</v>
      </c>
      <c r="AF62" s="130">
        <f>AF58*AF51</f>
        <v>4172.1864999999998</v>
      </c>
      <c r="AG62" s="130">
        <f t="shared" ref="AG62:AL62" si="17">AG58*AG51</f>
        <v>4028.3180000000002</v>
      </c>
      <c r="AH62" s="130">
        <f t="shared" si="17"/>
        <v>4061.3370000000004</v>
      </c>
      <c r="AI62" s="130">
        <f t="shared" si="17"/>
        <v>4061.3370000000004</v>
      </c>
      <c r="AJ62" s="130">
        <f t="shared" si="17"/>
        <v>4061.3370000000004</v>
      </c>
      <c r="AK62" s="130">
        <f t="shared" si="17"/>
        <v>4061.3370000000004</v>
      </c>
      <c r="AL62" s="130">
        <f t="shared" si="17"/>
        <v>4061.3370000000004</v>
      </c>
      <c r="AM62" s="83"/>
      <c r="AN62" s="83"/>
      <c r="AO62" s="83"/>
      <c r="CA62" s="477"/>
      <c r="CB62" s="478"/>
    </row>
    <row r="63" spans="2:80">
      <c r="B63" s="95" t="s">
        <v>633</v>
      </c>
      <c r="C63" s="96" t="s">
        <v>225</v>
      </c>
      <c r="D63" s="164" t="s">
        <v>763</v>
      </c>
      <c r="E63" s="84"/>
      <c r="F63" s="83"/>
      <c r="G63" s="85"/>
      <c r="H63" s="85"/>
      <c r="I63" s="85"/>
      <c r="J63" s="85"/>
      <c r="K63" s="93">
        <f>K64-K62</f>
        <v>17.679110000000946</v>
      </c>
      <c r="L63" s="87">
        <f t="shared" ref="L63:T63" si="18">L64-L62</f>
        <v>-39.384010399999852</v>
      </c>
      <c r="M63" s="87">
        <f t="shared" si="18"/>
        <v>88.314637599999969</v>
      </c>
      <c r="N63" s="87">
        <f t="shared" si="18"/>
        <v>40.01970080000001</v>
      </c>
      <c r="O63" s="87">
        <f t="shared" si="18"/>
        <v>20.21406839999986</v>
      </c>
      <c r="P63" s="93">
        <f t="shared" si="18"/>
        <v>80.723414000000048</v>
      </c>
      <c r="Q63" s="87">
        <f t="shared" si="18"/>
        <v>11.286112000000003</v>
      </c>
      <c r="R63" s="87">
        <f t="shared" si="18"/>
        <v>3.1358463999997639</v>
      </c>
      <c r="S63" s="87">
        <f t="shared" si="18"/>
        <v>1.0156151999999565</v>
      </c>
      <c r="T63" s="87">
        <f t="shared" si="18"/>
        <v>54.183158800000001</v>
      </c>
      <c r="U63" s="93">
        <f>U64-U62</f>
        <v>60.559500000000298</v>
      </c>
      <c r="V63" s="87">
        <f>V64-V62</f>
        <v>19.65921000000003</v>
      </c>
      <c r="W63" s="87">
        <f>W64-W62</f>
        <v>2.0370000000000346</v>
      </c>
      <c r="X63" s="87">
        <f>X64-X62</f>
        <v>7.1340000000000146</v>
      </c>
      <c r="Y63" s="87">
        <f>Y64-Y62</f>
        <v>7</v>
      </c>
      <c r="Z63" s="130">
        <f t="shared" si="16"/>
        <v>35.830210000000079</v>
      </c>
      <c r="AA63" s="87">
        <f>AA64-AA62</f>
        <v>17.799999999999955</v>
      </c>
      <c r="AB63" s="87">
        <f>AB64-AB62</f>
        <v>14.927360000000135</v>
      </c>
      <c r="AC63" s="967"/>
      <c r="AD63" s="967"/>
      <c r="AE63" s="577"/>
      <c r="AF63" s="577"/>
      <c r="AG63" s="577"/>
      <c r="AH63" s="577"/>
      <c r="AI63" s="577"/>
      <c r="AJ63" s="577"/>
      <c r="AK63" s="577"/>
      <c r="AL63" s="577"/>
      <c r="AM63" s="83"/>
      <c r="AN63" s="83"/>
      <c r="AO63" s="83"/>
      <c r="CA63" s="477"/>
      <c r="CB63" s="478"/>
    </row>
    <row r="64" spans="2:80">
      <c r="B64" s="95" t="s">
        <v>633</v>
      </c>
      <c r="C64" s="96" t="s">
        <v>225</v>
      </c>
      <c r="D64" s="594" t="s">
        <v>104</v>
      </c>
      <c r="E64" s="766"/>
      <c r="F64" s="595"/>
      <c r="G64" s="596">
        <v>4113</v>
      </c>
      <c r="H64" s="596">
        <v>3335</v>
      </c>
      <c r="I64" s="596">
        <v>3049</v>
      </c>
      <c r="J64" s="596">
        <v>4144</v>
      </c>
      <c r="K64" s="596">
        <v>6014</v>
      </c>
      <c r="L64" s="597">
        <v>1588</v>
      </c>
      <c r="M64" s="597">
        <v>1582</v>
      </c>
      <c r="N64" s="597">
        <v>1505</v>
      </c>
      <c r="O64" s="597">
        <v>1674</v>
      </c>
      <c r="P64" s="596">
        <v>6349</v>
      </c>
      <c r="Q64" s="597">
        <v>1552</v>
      </c>
      <c r="R64" s="597">
        <v>1588</v>
      </c>
      <c r="S64" s="597">
        <v>1277</v>
      </c>
      <c r="T64" s="597">
        <v>1105</v>
      </c>
      <c r="U64" s="596">
        <v>5522</v>
      </c>
      <c r="V64" s="597">
        <v>1023</v>
      </c>
      <c r="W64" s="597">
        <v>792</v>
      </c>
      <c r="X64" s="597">
        <v>699</v>
      </c>
      <c r="Y64" s="597">
        <v>861</v>
      </c>
      <c r="Z64" s="767">
        <f>SUM(V64:Y64)</f>
        <v>3375</v>
      </c>
      <c r="AA64" s="597">
        <v>1047</v>
      </c>
      <c r="AB64" s="597">
        <v>1112</v>
      </c>
      <c r="AC64" s="966">
        <f>AC62+AC63</f>
        <v>1027.5978270000001</v>
      </c>
      <c r="AD64" s="966">
        <f>AD62+AD63</f>
        <v>1132.3725073999997</v>
      </c>
      <c r="AE64" s="767">
        <f>SUM(AA64:AD64)</f>
        <v>4318.9703344</v>
      </c>
      <c r="AF64" s="956">
        <f>AF62+AF63</f>
        <v>4172.1864999999998</v>
      </c>
      <c r="AG64" s="956">
        <f t="shared" ref="AG64:AL64" si="19">AG62+AG63</f>
        <v>4028.3180000000002</v>
      </c>
      <c r="AH64" s="956">
        <f t="shared" si="19"/>
        <v>4061.3370000000004</v>
      </c>
      <c r="AI64" s="956">
        <f t="shared" si="19"/>
        <v>4061.3370000000004</v>
      </c>
      <c r="AJ64" s="956">
        <f t="shared" si="19"/>
        <v>4061.3370000000004</v>
      </c>
      <c r="AK64" s="956">
        <f t="shared" si="19"/>
        <v>4061.3370000000004</v>
      </c>
      <c r="AL64" s="956">
        <f t="shared" si="19"/>
        <v>4061.3370000000004</v>
      </c>
      <c r="AM64" s="595"/>
      <c r="AN64" s="595"/>
      <c r="AO64" s="595"/>
      <c r="AP64" s="768"/>
      <c r="CA64" s="477"/>
      <c r="CB64" s="478"/>
    </row>
    <row r="65" spans="2:80">
      <c r="B65" s="95" t="s">
        <v>633</v>
      </c>
      <c r="C65" s="96" t="s">
        <v>225</v>
      </c>
      <c r="D65" s="599" t="s">
        <v>642</v>
      </c>
      <c r="E65" s="89"/>
      <c r="F65" s="83"/>
      <c r="G65" s="90">
        <v>-1346</v>
      </c>
      <c r="H65" s="90">
        <v>-1409</v>
      </c>
      <c r="I65" s="90">
        <v>-1204</v>
      </c>
      <c r="J65" s="90">
        <v>-1205</v>
      </c>
      <c r="K65" s="90">
        <v>-1377</v>
      </c>
      <c r="L65" s="91">
        <v>-349</v>
      </c>
      <c r="M65" s="91">
        <v>-384</v>
      </c>
      <c r="N65" s="91">
        <v>-440</v>
      </c>
      <c r="O65" s="91">
        <v>-414</v>
      </c>
      <c r="P65" s="90">
        <v>-1587</v>
      </c>
      <c r="Q65" s="91">
        <v>-396</v>
      </c>
      <c r="R65" s="91">
        <v>-413</v>
      </c>
      <c r="S65" s="91">
        <v>-408</v>
      </c>
      <c r="T65" s="91">
        <v>-405</v>
      </c>
      <c r="U65" s="90">
        <v>-1622</v>
      </c>
      <c r="V65" s="91">
        <v>-356</v>
      </c>
      <c r="W65" s="91">
        <f>-373</f>
        <v>-373</v>
      </c>
      <c r="X65" s="91">
        <v>-357</v>
      </c>
      <c r="Y65" s="91">
        <v>-367</v>
      </c>
      <c r="Z65" s="94">
        <f t="shared" si="16"/>
        <v>-1453</v>
      </c>
      <c r="AA65" s="91">
        <v>-379</v>
      </c>
      <c r="AB65" s="91">
        <v>-397</v>
      </c>
      <c r="AC65" s="97">
        <f>AC58*-AC125</f>
        <v>-401.625</v>
      </c>
      <c r="AD65" s="97">
        <f>AD58*-AD125</f>
        <v>-442.57499999999987</v>
      </c>
      <c r="AE65" s="94">
        <f>SUM(AA65:AD65)</f>
        <v>-1620.1999999999998</v>
      </c>
      <c r="AF65" s="130">
        <f>AF58*-AF125</f>
        <v>-1669.5</v>
      </c>
      <c r="AG65" s="130">
        <f>AG58*-AG125</f>
        <v>-1669.5</v>
      </c>
      <c r="AH65" s="130">
        <f t="shared" ref="AH65:AL65" si="20">AH58*-AH125</f>
        <v>-1669.5</v>
      </c>
      <c r="AI65" s="130">
        <f t="shared" si="20"/>
        <v>-1669.5</v>
      </c>
      <c r="AJ65" s="130">
        <f t="shared" si="20"/>
        <v>-1669.5</v>
      </c>
      <c r="AK65" s="130">
        <f t="shared" si="20"/>
        <v>-1669.5</v>
      </c>
      <c r="AL65" s="130">
        <f t="shared" si="20"/>
        <v>-1669.5</v>
      </c>
      <c r="AM65" s="83"/>
      <c r="AN65" s="83"/>
      <c r="AO65" s="83"/>
      <c r="CA65" s="477"/>
      <c r="CB65" s="478"/>
    </row>
    <row r="66" spans="2:80">
      <c r="B66" s="95" t="s">
        <v>633</v>
      </c>
      <c r="C66" s="96" t="s">
        <v>225</v>
      </c>
      <c r="D66" s="599" t="s">
        <v>643</v>
      </c>
      <c r="E66" s="89"/>
      <c r="F66" s="83"/>
      <c r="G66" s="90">
        <v>-1025</v>
      </c>
      <c r="H66" s="90">
        <v>-996</v>
      </c>
      <c r="I66" s="90">
        <v>-931</v>
      </c>
      <c r="J66" s="90">
        <v>-919</v>
      </c>
      <c r="K66" s="90">
        <v>-892</v>
      </c>
      <c r="L66" s="91">
        <v>-232</v>
      </c>
      <c r="M66" s="91">
        <v>-238</v>
      </c>
      <c r="N66" s="91">
        <v>-250</v>
      </c>
      <c r="O66" s="91">
        <v>-255</v>
      </c>
      <c r="P66" s="90">
        <v>-975</v>
      </c>
      <c r="Q66" s="91">
        <v>-240</v>
      </c>
      <c r="R66" s="91">
        <v>-250</v>
      </c>
      <c r="S66" s="91">
        <v>-237</v>
      </c>
      <c r="T66" s="91">
        <v>-249</v>
      </c>
      <c r="U66" s="90">
        <v>-976</v>
      </c>
      <c r="V66" s="91">
        <v>-242</v>
      </c>
      <c r="W66" s="91">
        <v>-197</v>
      </c>
      <c r="X66" s="91">
        <v>-221</v>
      </c>
      <c r="Y66" s="91">
        <v>-245</v>
      </c>
      <c r="Z66" s="94">
        <f t="shared" si="16"/>
        <v>-905</v>
      </c>
      <c r="AA66" s="91">
        <v>-256</v>
      </c>
      <c r="AB66" s="91">
        <v>-258</v>
      </c>
      <c r="AC66" s="97">
        <f>AC58*-AC126</f>
        <v>-258.1875</v>
      </c>
      <c r="AD66" s="97">
        <f>AD58*-AD126</f>
        <v>-284.51249999999993</v>
      </c>
      <c r="AE66" s="94">
        <f>SUM(AA66:AD66)</f>
        <v>-1056.6999999999998</v>
      </c>
      <c r="AF66" s="130">
        <f>AF58*-AF126</f>
        <v>-1073.25</v>
      </c>
      <c r="AG66" s="130">
        <f>AG58*-AG126</f>
        <v>-1073.25</v>
      </c>
      <c r="AH66" s="130">
        <f t="shared" ref="AH66:AL66" si="21">AH58*-AH126</f>
        <v>-1073.25</v>
      </c>
      <c r="AI66" s="130">
        <f t="shared" si="21"/>
        <v>-1073.25</v>
      </c>
      <c r="AJ66" s="130">
        <f t="shared" si="21"/>
        <v>-1073.25</v>
      </c>
      <c r="AK66" s="130">
        <f t="shared" si="21"/>
        <v>-1073.25</v>
      </c>
      <c r="AL66" s="130">
        <f t="shared" si="21"/>
        <v>-1073.25</v>
      </c>
      <c r="AM66" s="83"/>
      <c r="AN66" s="83"/>
      <c r="AO66" s="83"/>
      <c r="CA66" s="477"/>
      <c r="CB66" s="478"/>
    </row>
    <row r="67" spans="2:80">
      <c r="B67" s="95" t="s">
        <v>633</v>
      </c>
      <c r="C67" s="96" t="s">
        <v>225</v>
      </c>
      <c r="D67" s="599" t="s">
        <v>527</v>
      </c>
      <c r="E67" s="89"/>
      <c r="F67" s="83"/>
      <c r="G67" s="90">
        <v>-13</v>
      </c>
      <c r="H67" s="90">
        <v>-10</v>
      </c>
      <c r="I67" s="90">
        <v>-8</v>
      </c>
      <c r="J67" s="90">
        <v>-13</v>
      </c>
      <c r="K67" s="90">
        <v>-13</v>
      </c>
      <c r="L67" s="91">
        <v>-4</v>
      </c>
      <c r="M67" s="91">
        <v>-3</v>
      </c>
      <c r="N67" s="91">
        <v>-5</v>
      </c>
      <c r="O67" s="91">
        <v>-5</v>
      </c>
      <c r="P67" s="90">
        <v>-17</v>
      </c>
      <c r="Q67" s="91">
        <v>-7</v>
      </c>
      <c r="R67" s="91">
        <v>-6</v>
      </c>
      <c r="S67" s="91">
        <v>-4</v>
      </c>
      <c r="T67" s="91">
        <v>-3</v>
      </c>
      <c r="U67" s="90">
        <v>-20</v>
      </c>
      <c r="V67" s="91">
        <v>-4</v>
      </c>
      <c r="W67" s="91">
        <v>-2</v>
      </c>
      <c r="X67" s="91">
        <v>-1</v>
      </c>
      <c r="Y67" s="91">
        <v>-1</v>
      </c>
      <c r="Z67" s="94">
        <f t="shared" si="16"/>
        <v>-8</v>
      </c>
      <c r="AA67" s="91">
        <v>0</v>
      </c>
      <c r="AB67" s="91">
        <v>0</v>
      </c>
      <c r="AC67" s="97"/>
      <c r="AD67" s="97"/>
      <c r="AE67" s="92"/>
      <c r="AF67" s="130"/>
      <c r="AG67" s="130"/>
      <c r="AH67" s="130"/>
      <c r="AI67" s="130"/>
      <c r="AJ67" s="130"/>
      <c r="AK67" s="130"/>
      <c r="AL67" s="130"/>
      <c r="AM67" s="83"/>
      <c r="AN67" s="83"/>
      <c r="AO67" s="83"/>
      <c r="CA67" s="477"/>
      <c r="CB67" s="478"/>
    </row>
    <row r="68" spans="2:80">
      <c r="B68" s="95" t="s">
        <v>633</v>
      </c>
      <c r="C68" s="96" t="s">
        <v>225</v>
      </c>
      <c r="D68" s="599" t="s">
        <v>644</v>
      </c>
      <c r="E68" s="89"/>
      <c r="F68" s="83"/>
      <c r="G68" s="90">
        <v>-722</v>
      </c>
      <c r="H68" s="90">
        <v>-712</v>
      </c>
      <c r="I68" s="90">
        <v>-706</v>
      </c>
      <c r="J68" s="90">
        <v>-628</v>
      </c>
      <c r="K68" s="90">
        <v>-718</v>
      </c>
      <c r="L68" s="91">
        <v>-187</v>
      </c>
      <c r="M68" s="91">
        <v>-186</v>
      </c>
      <c r="N68" s="91">
        <v>-176</v>
      </c>
      <c r="O68" s="91">
        <v>-181</v>
      </c>
      <c r="P68" s="90">
        <v>-730</v>
      </c>
      <c r="Q68" s="91">
        <v>-183</v>
      </c>
      <c r="R68" s="91">
        <v>-199</v>
      </c>
      <c r="S68" s="91">
        <v>-203</v>
      </c>
      <c r="T68" s="91">
        <v>-207</v>
      </c>
      <c r="U68" s="90">
        <v>-792</v>
      </c>
      <c r="V68" s="91">
        <v>-175</v>
      </c>
      <c r="W68" s="91">
        <v>-162</v>
      </c>
      <c r="X68" s="91">
        <v>-183</v>
      </c>
      <c r="Y68" s="91">
        <v>-212</v>
      </c>
      <c r="Z68" s="94">
        <f t="shared" si="16"/>
        <v>-732</v>
      </c>
      <c r="AA68" s="91">
        <v>-216</v>
      </c>
      <c r="AB68" s="91">
        <v>-224</v>
      </c>
      <c r="AC68" s="97">
        <f>AC58*-AC130</f>
        <v>-184.875</v>
      </c>
      <c r="AD68" s="97">
        <f>AD58*-AD130</f>
        <v>-203.72499999999994</v>
      </c>
      <c r="AE68" s="94">
        <f>SUM(AA68:AD68)</f>
        <v>-828.59999999999991</v>
      </c>
      <c r="AF68" s="130">
        <f>AF58*-AF130</f>
        <v>-768.5</v>
      </c>
      <c r="AG68" s="130">
        <f t="shared" ref="AG68:AL68" si="22">AG58*-AG130</f>
        <v>-768.5</v>
      </c>
      <c r="AH68" s="130">
        <f>AH58*-AH130</f>
        <v>-768.5</v>
      </c>
      <c r="AI68" s="130">
        <f t="shared" si="22"/>
        <v>-768.5</v>
      </c>
      <c r="AJ68" s="130">
        <f t="shared" si="22"/>
        <v>-768.5</v>
      </c>
      <c r="AK68" s="130">
        <f t="shared" si="22"/>
        <v>-768.5</v>
      </c>
      <c r="AL68" s="130">
        <f t="shared" si="22"/>
        <v>-768.5</v>
      </c>
      <c r="AM68" s="83"/>
      <c r="AN68" s="83"/>
      <c r="AO68" s="83"/>
      <c r="CA68" s="477"/>
      <c r="CB68" s="478"/>
    </row>
    <row r="69" spans="2:80">
      <c r="B69" s="95" t="s">
        <v>633</v>
      </c>
      <c r="C69" s="96" t="s">
        <v>225</v>
      </c>
      <c r="D69" s="134" t="s">
        <v>645</v>
      </c>
      <c r="E69" s="89"/>
      <c r="F69" s="83"/>
      <c r="G69" s="130">
        <f>SUM(G65:G68)</f>
        <v>-3106</v>
      </c>
      <c r="H69" s="130">
        <f t="shared" ref="H69:U69" si="23">SUM(H65:H68)</f>
        <v>-3127</v>
      </c>
      <c r="I69" s="130">
        <f t="shared" si="23"/>
        <v>-2849</v>
      </c>
      <c r="J69" s="130">
        <f t="shared" si="23"/>
        <v>-2765</v>
      </c>
      <c r="K69" s="130">
        <f t="shared" si="23"/>
        <v>-3000</v>
      </c>
      <c r="L69" s="97">
        <f t="shared" si="23"/>
        <v>-772</v>
      </c>
      <c r="M69" s="97">
        <f t="shared" si="23"/>
        <v>-811</v>
      </c>
      <c r="N69" s="97">
        <f t="shared" si="23"/>
        <v>-871</v>
      </c>
      <c r="O69" s="97">
        <f t="shared" si="23"/>
        <v>-855</v>
      </c>
      <c r="P69" s="130">
        <f t="shared" si="23"/>
        <v>-3309</v>
      </c>
      <c r="Q69" s="97">
        <f t="shared" si="23"/>
        <v>-826</v>
      </c>
      <c r="R69" s="97">
        <f t="shared" si="23"/>
        <v>-868</v>
      </c>
      <c r="S69" s="97">
        <f t="shared" si="23"/>
        <v>-852</v>
      </c>
      <c r="T69" s="97">
        <f t="shared" si="23"/>
        <v>-864</v>
      </c>
      <c r="U69" s="130">
        <f t="shared" si="23"/>
        <v>-3410</v>
      </c>
      <c r="V69" s="97">
        <f>SUM(V65:V68)</f>
        <v>-777</v>
      </c>
      <c r="W69" s="97">
        <f>SUM(W65:W68)</f>
        <v>-734</v>
      </c>
      <c r="X69" s="97">
        <f>SUM(X65:X68)</f>
        <v>-762</v>
      </c>
      <c r="Y69" s="97">
        <f>SUM(Y65:Y68)</f>
        <v>-825</v>
      </c>
      <c r="Z69" s="94">
        <f t="shared" si="16"/>
        <v>-3098</v>
      </c>
      <c r="AA69" s="97">
        <f>SUM(AA65:AA68)</f>
        <v>-851</v>
      </c>
      <c r="AB69" s="97">
        <f>SUM(AB65:AB68)</f>
        <v>-879</v>
      </c>
      <c r="AC69" s="97">
        <f>SUM(AC65:AC68)</f>
        <v>-844.6875</v>
      </c>
      <c r="AD69" s="97">
        <f>SUM(AD65:AD68)</f>
        <v>-930.81249999999977</v>
      </c>
      <c r="AE69" s="94">
        <f>SUM(AA69:AD69)</f>
        <v>-3505.5</v>
      </c>
      <c r="AF69" s="130">
        <f>SUM(AF65:AF68)</f>
        <v>-3511.25</v>
      </c>
      <c r="AG69" s="130">
        <f t="shared" ref="AG69:AL69" si="24">SUM(AG65:AG68)</f>
        <v>-3511.25</v>
      </c>
      <c r="AH69" s="130">
        <f t="shared" si="24"/>
        <v>-3511.25</v>
      </c>
      <c r="AI69" s="130">
        <f t="shared" si="24"/>
        <v>-3511.25</v>
      </c>
      <c r="AJ69" s="130">
        <f t="shared" si="24"/>
        <v>-3511.25</v>
      </c>
      <c r="AK69" s="130">
        <f t="shared" si="24"/>
        <v>-3511.25</v>
      </c>
      <c r="AL69" s="130">
        <f t="shared" si="24"/>
        <v>-3511.25</v>
      </c>
      <c r="AM69" s="83"/>
      <c r="AN69" s="83"/>
      <c r="AO69" s="83"/>
      <c r="CA69" s="477"/>
      <c r="CB69" s="478"/>
    </row>
    <row r="70" spans="2:80">
      <c r="B70" s="95" t="s">
        <v>633</v>
      </c>
      <c r="C70" s="96" t="s">
        <v>225</v>
      </c>
      <c r="D70" s="203" t="s">
        <v>226</v>
      </c>
      <c r="E70" s="89"/>
      <c r="F70" s="83"/>
      <c r="G70" s="130">
        <f>G64+G65+G66+G67</f>
        <v>1729</v>
      </c>
      <c r="H70" s="130">
        <f t="shared" ref="H70:Y70" si="25">H64+H65+H66+H67</f>
        <v>920</v>
      </c>
      <c r="I70" s="130">
        <f t="shared" si="25"/>
        <v>906</v>
      </c>
      <c r="J70" s="130">
        <f t="shared" si="25"/>
        <v>2007</v>
      </c>
      <c r="K70" s="130">
        <f t="shared" si="25"/>
        <v>3732</v>
      </c>
      <c r="L70" s="97">
        <f t="shared" si="25"/>
        <v>1003</v>
      </c>
      <c r="M70" s="97">
        <f t="shared" si="25"/>
        <v>957</v>
      </c>
      <c r="N70" s="97">
        <f t="shared" si="25"/>
        <v>810</v>
      </c>
      <c r="O70" s="97">
        <f t="shared" si="25"/>
        <v>1000</v>
      </c>
      <c r="P70" s="130">
        <f t="shared" si="25"/>
        <v>3770</v>
      </c>
      <c r="Q70" s="97">
        <f t="shared" si="25"/>
        <v>909</v>
      </c>
      <c r="R70" s="97">
        <f t="shared" si="25"/>
        <v>919</v>
      </c>
      <c r="S70" s="97">
        <f t="shared" si="25"/>
        <v>628</v>
      </c>
      <c r="T70" s="97">
        <f t="shared" si="25"/>
        <v>448</v>
      </c>
      <c r="U70" s="130">
        <f t="shared" si="25"/>
        <v>2904</v>
      </c>
      <c r="V70" s="97">
        <f>V64+V65+V66+V67</f>
        <v>421</v>
      </c>
      <c r="W70" s="97">
        <f t="shared" si="25"/>
        <v>220</v>
      </c>
      <c r="X70" s="97">
        <f>X64+X65+X66+X67</f>
        <v>120</v>
      </c>
      <c r="Y70" s="97">
        <f t="shared" si="25"/>
        <v>248</v>
      </c>
      <c r="Z70" s="94">
        <f t="shared" si="16"/>
        <v>1009</v>
      </c>
      <c r="AA70" s="97">
        <f>AA64+AA65+AA66+AA67</f>
        <v>412</v>
      </c>
      <c r="AB70" s="97">
        <f>AB64+AB65+AB66+AB67</f>
        <v>457</v>
      </c>
      <c r="AC70" s="97">
        <f>AC64+AC65+AC66+AC67</f>
        <v>367.78532700000005</v>
      </c>
      <c r="AD70" s="97">
        <f>AD64+AD65+AD66+AD67</f>
        <v>405.28500739999993</v>
      </c>
      <c r="AE70" s="94">
        <f>SUM(AA70:AD70)</f>
        <v>1642.0703343999999</v>
      </c>
      <c r="AF70" s="130">
        <f t="shared" ref="AF70:AL70" si="26">AF64+AF65+AF66+AF67</f>
        <v>1429.4364999999998</v>
      </c>
      <c r="AG70" s="130">
        <f>AG64+AG65+AG66+AG67</f>
        <v>1285.5680000000002</v>
      </c>
      <c r="AH70" s="130">
        <f t="shared" si="26"/>
        <v>1318.5870000000004</v>
      </c>
      <c r="AI70" s="130">
        <f t="shared" si="26"/>
        <v>1318.5870000000004</v>
      </c>
      <c r="AJ70" s="130">
        <f t="shared" si="26"/>
        <v>1318.5870000000004</v>
      </c>
      <c r="AK70" s="130">
        <f t="shared" si="26"/>
        <v>1318.5870000000004</v>
      </c>
      <c r="AL70" s="130">
        <f t="shared" si="26"/>
        <v>1318.5870000000004</v>
      </c>
      <c r="AM70" s="83"/>
      <c r="AN70" s="83"/>
      <c r="AO70" s="83"/>
      <c r="CA70" s="477"/>
      <c r="CB70" s="478"/>
    </row>
    <row r="71" spans="2:80">
      <c r="B71" s="95" t="s">
        <v>633</v>
      </c>
      <c r="C71" s="96" t="s">
        <v>225</v>
      </c>
      <c r="D71" s="183" t="s">
        <v>178</v>
      </c>
      <c r="E71" s="747"/>
      <c r="F71" s="103"/>
      <c r="G71" s="184">
        <f>G70+G68</f>
        <v>1007</v>
      </c>
      <c r="H71" s="184">
        <f t="shared" ref="H71:Y71" si="27">H70+H68</f>
        <v>208</v>
      </c>
      <c r="I71" s="184">
        <f t="shared" si="27"/>
        <v>200</v>
      </c>
      <c r="J71" s="184">
        <f t="shared" si="27"/>
        <v>1379</v>
      </c>
      <c r="K71" s="184">
        <f t="shared" si="27"/>
        <v>3014</v>
      </c>
      <c r="L71" s="106">
        <f t="shared" si="27"/>
        <v>816</v>
      </c>
      <c r="M71" s="106">
        <f t="shared" si="27"/>
        <v>771</v>
      </c>
      <c r="N71" s="106">
        <f t="shared" si="27"/>
        <v>634</v>
      </c>
      <c r="O71" s="106">
        <f t="shared" si="27"/>
        <v>819</v>
      </c>
      <c r="P71" s="184">
        <f t="shared" si="27"/>
        <v>3040</v>
      </c>
      <c r="Q71" s="106">
        <f t="shared" si="27"/>
        <v>726</v>
      </c>
      <c r="R71" s="106">
        <f t="shared" si="27"/>
        <v>720</v>
      </c>
      <c r="S71" s="106">
        <f t="shared" si="27"/>
        <v>425</v>
      </c>
      <c r="T71" s="106">
        <f t="shared" si="27"/>
        <v>241</v>
      </c>
      <c r="U71" s="184">
        <f t="shared" si="27"/>
        <v>2112</v>
      </c>
      <c r="V71" s="106">
        <f t="shared" si="27"/>
        <v>246</v>
      </c>
      <c r="W71" s="106">
        <f t="shared" si="27"/>
        <v>58</v>
      </c>
      <c r="X71" s="106">
        <f t="shared" si="27"/>
        <v>-63</v>
      </c>
      <c r="Y71" s="106">
        <f t="shared" si="27"/>
        <v>36</v>
      </c>
      <c r="Z71" s="116">
        <f t="shared" si="16"/>
        <v>277</v>
      </c>
      <c r="AA71" s="106">
        <f>AA70+AA68</f>
        <v>196</v>
      </c>
      <c r="AB71" s="106">
        <f>AB70+AB68</f>
        <v>233</v>
      </c>
      <c r="AC71" s="106">
        <f>AC70+AC68</f>
        <v>182.91032700000005</v>
      </c>
      <c r="AD71" s="106">
        <f>AD70+AD68</f>
        <v>201.56000739999999</v>
      </c>
      <c r="AE71" s="116">
        <f>SUM(AA71:AD71)</f>
        <v>813.47033440000007</v>
      </c>
      <c r="AF71" s="184">
        <f>AF70+AF68</f>
        <v>660.9364999999998</v>
      </c>
      <c r="AG71" s="184">
        <f t="shared" ref="AG71:AL71" si="28">AG70+AG68</f>
        <v>517.06800000000021</v>
      </c>
      <c r="AH71" s="184">
        <f t="shared" si="28"/>
        <v>550.08700000000044</v>
      </c>
      <c r="AI71" s="184">
        <f t="shared" si="28"/>
        <v>550.08700000000044</v>
      </c>
      <c r="AJ71" s="184">
        <f t="shared" si="28"/>
        <v>550.08700000000044</v>
      </c>
      <c r="AK71" s="184">
        <f t="shared" si="28"/>
        <v>550.08700000000044</v>
      </c>
      <c r="AL71" s="184">
        <f t="shared" si="28"/>
        <v>550.08700000000044</v>
      </c>
      <c r="AM71" s="103"/>
      <c r="AN71" s="103"/>
      <c r="AO71" s="103"/>
      <c r="AP71" s="746"/>
      <c r="CA71" s="477"/>
      <c r="CB71" s="478"/>
    </row>
    <row r="72" spans="2:80">
      <c r="B72" s="95" t="s">
        <v>64</v>
      </c>
      <c r="C72" s="96" t="s">
        <v>65</v>
      </c>
      <c r="D72" s="84" t="s">
        <v>190</v>
      </c>
      <c r="E72" s="84"/>
      <c r="F72" s="83"/>
      <c r="G72" s="90"/>
      <c r="H72" s="90"/>
      <c r="I72" s="90">
        <v>-2032</v>
      </c>
      <c r="J72" s="90">
        <v>0</v>
      </c>
      <c r="K72" s="90">
        <v>207</v>
      </c>
      <c r="L72" s="91"/>
      <c r="M72" s="91"/>
      <c r="N72" s="91"/>
      <c r="O72" s="91"/>
      <c r="P72" s="90">
        <v>0</v>
      </c>
      <c r="Q72" s="91"/>
      <c r="R72" s="91">
        <v>-171</v>
      </c>
      <c r="S72" s="91"/>
      <c r="T72" s="91">
        <v>-118</v>
      </c>
      <c r="U72" s="90">
        <v>-289</v>
      </c>
      <c r="V72" s="91">
        <v>0</v>
      </c>
      <c r="W72" s="91">
        <v>0</v>
      </c>
      <c r="X72" s="91">
        <v>0</v>
      </c>
      <c r="Y72" s="91">
        <v>0</v>
      </c>
      <c r="Z72" s="94">
        <f t="shared" si="16"/>
        <v>0</v>
      </c>
      <c r="AA72" s="91">
        <v>0</v>
      </c>
      <c r="AB72" s="91">
        <v>0</v>
      </c>
      <c r="AC72" s="91">
        <v>0</v>
      </c>
      <c r="AD72" s="91">
        <v>0</v>
      </c>
      <c r="AE72" s="90">
        <f>Z72</f>
        <v>0</v>
      </c>
      <c r="AF72" s="90">
        <f>AE72</f>
        <v>0</v>
      </c>
      <c r="AG72" s="90">
        <f t="shared" ref="AG72:AL72" si="29">AF72</f>
        <v>0</v>
      </c>
      <c r="AH72" s="90">
        <f t="shared" si="29"/>
        <v>0</v>
      </c>
      <c r="AI72" s="90">
        <f t="shared" si="29"/>
        <v>0</v>
      </c>
      <c r="AJ72" s="90">
        <f t="shared" si="29"/>
        <v>0</v>
      </c>
      <c r="AK72" s="90">
        <f t="shared" si="29"/>
        <v>0</v>
      </c>
      <c r="AL72" s="90">
        <f t="shared" si="29"/>
        <v>0</v>
      </c>
      <c r="AM72" s="83"/>
      <c r="AN72" s="83"/>
      <c r="AO72" s="83"/>
      <c r="CA72" s="477"/>
      <c r="CB72" s="478"/>
    </row>
    <row r="73" spans="2:80">
      <c r="B73" s="95" t="s">
        <v>64</v>
      </c>
      <c r="C73" s="96" t="s">
        <v>65</v>
      </c>
      <c r="D73" s="108" t="s">
        <v>162</v>
      </c>
      <c r="E73" s="108"/>
      <c r="F73" s="83"/>
      <c r="G73" s="90">
        <v>-39</v>
      </c>
      <c r="H73" s="90">
        <v>-34</v>
      </c>
      <c r="I73" s="90">
        <v>-56</v>
      </c>
      <c r="J73" s="90">
        <v>-74</v>
      </c>
      <c r="K73" s="90">
        <v>-99</v>
      </c>
      <c r="L73" s="91">
        <v>-7</v>
      </c>
      <c r="M73" s="91">
        <v>-26</v>
      </c>
      <c r="N73" s="91">
        <v>-10</v>
      </c>
      <c r="O73" s="91">
        <v>-36</v>
      </c>
      <c r="P73" s="90">
        <v>-79</v>
      </c>
      <c r="Q73" s="91">
        <v>-18</v>
      </c>
      <c r="R73" s="86">
        <v>-46</v>
      </c>
      <c r="S73" s="86">
        <v>-23</v>
      </c>
      <c r="T73" s="91">
        <v>-49</v>
      </c>
      <c r="U73" s="90">
        <v>-136</v>
      </c>
      <c r="V73" s="91">
        <v>24</v>
      </c>
      <c r="W73" s="91">
        <v>-55</v>
      </c>
      <c r="X73" s="91">
        <v>-35</v>
      </c>
      <c r="Y73" s="91">
        <v>-127</v>
      </c>
      <c r="Z73" s="94">
        <f t="shared" si="16"/>
        <v>-193</v>
      </c>
      <c r="AA73" s="97">
        <f>AE73/4</f>
        <v>-48.25</v>
      </c>
      <c r="AB73" s="97">
        <f>(AE73-AA73)/3</f>
        <v>-48.25</v>
      </c>
      <c r="AC73" s="97">
        <f>(AE73-AA73-AB73)/2</f>
        <v>-48.25</v>
      </c>
      <c r="AD73" s="97">
        <f>AE73-AA73-AB73-AC73</f>
        <v>-48.25</v>
      </c>
      <c r="AE73" s="130">
        <f>Z73</f>
        <v>-193</v>
      </c>
      <c r="AF73" s="130">
        <f>AE73</f>
        <v>-193</v>
      </c>
      <c r="AG73" s="130">
        <f>AF73</f>
        <v>-193</v>
      </c>
      <c r="AH73" s="130">
        <f t="shared" ref="AH73:AL73" si="30">AG73</f>
        <v>-193</v>
      </c>
      <c r="AI73" s="130">
        <f t="shared" si="30"/>
        <v>-193</v>
      </c>
      <c r="AJ73" s="130">
        <f t="shared" si="30"/>
        <v>-193</v>
      </c>
      <c r="AK73" s="130">
        <f t="shared" si="30"/>
        <v>-193</v>
      </c>
      <c r="AL73" s="130">
        <f t="shared" si="30"/>
        <v>-193</v>
      </c>
      <c r="AM73" s="83"/>
      <c r="AN73" s="83"/>
      <c r="AO73" s="83"/>
      <c r="CA73" s="477"/>
      <c r="CB73" s="478"/>
    </row>
    <row r="74" spans="2:80">
      <c r="B74" s="95" t="s">
        <v>64</v>
      </c>
      <c r="C74" s="96" t="s">
        <v>65</v>
      </c>
      <c r="D74" s="183" t="s">
        <v>164</v>
      </c>
      <c r="E74" s="747"/>
      <c r="F74" s="103"/>
      <c r="G74" s="184">
        <f>G71+G72+G73</f>
        <v>968</v>
      </c>
      <c r="H74" s="184">
        <f t="shared" ref="H74:U74" si="31">H71+H72+H73</f>
        <v>174</v>
      </c>
      <c r="I74" s="184">
        <f t="shared" si="31"/>
        <v>-1888</v>
      </c>
      <c r="J74" s="184">
        <f t="shared" si="31"/>
        <v>1305</v>
      </c>
      <c r="K74" s="184">
        <f t="shared" si="31"/>
        <v>3122</v>
      </c>
      <c r="L74" s="106">
        <f t="shared" si="31"/>
        <v>809</v>
      </c>
      <c r="M74" s="106">
        <f t="shared" si="31"/>
        <v>745</v>
      </c>
      <c r="N74" s="106">
        <f t="shared" si="31"/>
        <v>624</v>
      </c>
      <c r="O74" s="106">
        <f t="shared" si="31"/>
        <v>783</v>
      </c>
      <c r="P74" s="184">
        <f t="shared" si="31"/>
        <v>2961</v>
      </c>
      <c r="Q74" s="106">
        <f t="shared" si="31"/>
        <v>708</v>
      </c>
      <c r="R74" s="106">
        <f t="shared" si="31"/>
        <v>503</v>
      </c>
      <c r="S74" s="106">
        <f t="shared" si="31"/>
        <v>402</v>
      </c>
      <c r="T74" s="106">
        <f t="shared" si="31"/>
        <v>74</v>
      </c>
      <c r="U74" s="184">
        <f t="shared" si="31"/>
        <v>1687</v>
      </c>
      <c r="V74" s="106">
        <f>V71+V72+V73</f>
        <v>270</v>
      </c>
      <c r="W74" s="106">
        <f>W71+W72+W73</f>
        <v>3</v>
      </c>
      <c r="X74" s="106">
        <f>X71+X72+X73</f>
        <v>-98</v>
      </c>
      <c r="Y74" s="106">
        <f>Y71+Y72+Y73</f>
        <v>-91</v>
      </c>
      <c r="Z74" s="116">
        <f t="shared" si="16"/>
        <v>84</v>
      </c>
      <c r="AA74" s="106">
        <f>AA71+AA72+AA73</f>
        <v>147.75</v>
      </c>
      <c r="AB74" s="106">
        <f>AB71+AB72+AB73</f>
        <v>184.75</v>
      </c>
      <c r="AC74" s="106">
        <f>AC71+AC72+AC73</f>
        <v>134.66032700000005</v>
      </c>
      <c r="AD74" s="106">
        <f>AD71+AD72+AD73</f>
        <v>153.31000739999999</v>
      </c>
      <c r="AE74" s="116">
        <f>SUM(AA74:AD74)</f>
        <v>620.47033440000007</v>
      </c>
      <c r="AF74" s="184">
        <f>AF71+AF72+AF73</f>
        <v>467.9364999999998</v>
      </c>
      <c r="AG74" s="184">
        <f t="shared" ref="AG74:AL74" si="32">AG71+AG72+AG73</f>
        <v>324.06800000000021</v>
      </c>
      <c r="AH74" s="184">
        <f t="shared" si="32"/>
        <v>357.08700000000044</v>
      </c>
      <c r="AI74" s="184">
        <f t="shared" si="32"/>
        <v>357.08700000000044</v>
      </c>
      <c r="AJ74" s="184">
        <f t="shared" si="32"/>
        <v>357.08700000000044</v>
      </c>
      <c r="AK74" s="184">
        <f t="shared" si="32"/>
        <v>357.08700000000044</v>
      </c>
      <c r="AL74" s="184">
        <f t="shared" si="32"/>
        <v>357.08700000000044</v>
      </c>
      <c r="AM74" s="103"/>
      <c r="AN74" s="103"/>
      <c r="AO74" s="103"/>
      <c r="AP74" s="746"/>
      <c r="CA74" s="477"/>
      <c r="CB74" s="478"/>
    </row>
    <row r="75" spans="2:80">
      <c r="B75" s="95" t="s">
        <v>64</v>
      </c>
      <c r="C75" s="96" t="s">
        <v>65</v>
      </c>
      <c r="D75" s="83" t="s">
        <v>165</v>
      </c>
      <c r="E75" s="83"/>
      <c r="F75" s="83"/>
      <c r="G75" s="111">
        <v>-48</v>
      </c>
      <c r="H75" s="111">
        <v>-40</v>
      </c>
      <c r="I75" s="111">
        <v>-26</v>
      </c>
      <c r="J75" s="111">
        <v>-21</v>
      </c>
      <c r="K75" s="111">
        <v>-5</v>
      </c>
      <c r="L75" s="112">
        <v>-16</v>
      </c>
      <c r="M75" s="112">
        <v>-11</v>
      </c>
      <c r="N75" s="112">
        <v>-10</v>
      </c>
      <c r="O75" s="112">
        <v>-10</v>
      </c>
      <c r="P75" s="111">
        <v>-47</v>
      </c>
      <c r="Q75" s="112">
        <v>-14</v>
      </c>
      <c r="R75" s="86">
        <v>-15</v>
      </c>
      <c r="S75" s="86">
        <v>-15</v>
      </c>
      <c r="T75" s="112">
        <v>-16</v>
      </c>
      <c r="U75" s="111">
        <v>-60</v>
      </c>
      <c r="V75" s="112">
        <v>-15</v>
      </c>
      <c r="W75" s="112">
        <v>-13</v>
      </c>
      <c r="X75" s="112">
        <v>-15</v>
      </c>
      <c r="Y75" s="112">
        <v>-13</v>
      </c>
      <c r="Z75" s="94">
        <f t="shared" si="16"/>
        <v>-56</v>
      </c>
      <c r="AA75" s="232">
        <f>AE75/4</f>
        <v>-14</v>
      </c>
      <c r="AB75" s="232">
        <f>(AE75-AA75)/3</f>
        <v>-14</v>
      </c>
      <c r="AC75" s="97">
        <f>(AE75-AA75-AB75)/2</f>
        <v>-14</v>
      </c>
      <c r="AD75" s="97">
        <f>AE75-AA75-AB75-AC75</f>
        <v>-14</v>
      </c>
      <c r="AE75" s="231">
        <f>$Z$75</f>
        <v>-56</v>
      </c>
      <c r="AF75" s="231">
        <f>AE75</f>
        <v>-56</v>
      </c>
      <c r="AG75" s="231">
        <f t="shared" ref="AG75:AL75" si="33">AF75</f>
        <v>-56</v>
      </c>
      <c r="AH75" s="231">
        <f t="shared" si="33"/>
        <v>-56</v>
      </c>
      <c r="AI75" s="231">
        <f t="shared" si="33"/>
        <v>-56</v>
      </c>
      <c r="AJ75" s="231">
        <f t="shared" si="33"/>
        <v>-56</v>
      </c>
      <c r="AK75" s="231">
        <f t="shared" si="33"/>
        <v>-56</v>
      </c>
      <c r="AL75" s="231">
        <f t="shared" si="33"/>
        <v>-56</v>
      </c>
      <c r="AM75" s="83"/>
      <c r="AN75" s="83"/>
      <c r="AO75" s="83"/>
      <c r="CA75" s="477"/>
      <c r="CB75" s="478"/>
    </row>
    <row r="76" spans="2:80">
      <c r="B76" s="95" t="s">
        <v>64</v>
      </c>
      <c r="C76" s="96" t="s">
        <v>65</v>
      </c>
      <c r="D76" s="83" t="s">
        <v>174</v>
      </c>
      <c r="E76" s="83"/>
      <c r="F76" s="83"/>
      <c r="G76" s="111">
        <v>16</v>
      </c>
      <c r="H76" s="113">
        <v>17</v>
      </c>
      <c r="I76" s="113">
        <v>39</v>
      </c>
      <c r="J76" s="113">
        <v>6</v>
      </c>
      <c r="K76" s="111">
        <v>-29</v>
      </c>
      <c r="L76" s="112">
        <v>14</v>
      </c>
      <c r="M76" s="112">
        <v>5</v>
      </c>
      <c r="N76" s="112">
        <v>-3</v>
      </c>
      <c r="O76" s="112">
        <v>21</v>
      </c>
      <c r="P76" s="113">
        <v>37</v>
      </c>
      <c r="Q76" s="112">
        <v>-7</v>
      </c>
      <c r="R76" s="86">
        <v>-7</v>
      </c>
      <c r="S76" s="86">
        <v>3</v>
      </c>
      <c r="T76" s="112">
        <v>-4</v>
      </c>
      <c r="U76" s="113">
        <v>-15</v>
      </c>
      <c r="V76" s="112">
        <v>18</v>
      </c>
      <c r="W76" s="112">
        <v>-2</v>
      </c>
      <c r="X76" s="112">
        <v>0</v>
      </c>
      <c r="Y76" s="112">
        <v>-3</v>
      </c>
      <c r="Z76" s="94">
        <f t="shared" si="16"/>
        <v>13</v>
      </c>
      <c r="AA76" s="232">
        <f>AE76/4</f>
        <v>3.25</v>
      </c>
      <c r="AB76" s="232">
        <f>(AE76-AA76)/3</f>
        <v>3.25</v>
      </c>
      <c r="AC76" s="97">
        <f>(AE76-AA76-AB76)/2</f>
        <v>3.25</v>
      </c>
      <c r="AD76" s="97">
        <f>AE76-AA76-AB76-AC76</f>
        <v>3.25</v>
      </c>
      <c r="AE76" s="231">
        <f>Z76</f>
        <v>13</v>
      </c>
      <c r="AF76" s="231">
        <f>AE76</f>
        <v>13</v>
      </c>
      <c r="AG76" s="231">
        <f t="shared" ref="AG76:AL76" si="34">AF76</f>
        <v>13</v>
      </c>
      <c r="AH76" s="231">
        <f t="shared" si="34"/>
        <v>13</v>
      </c>
      <c r="AI76" s="231">
        <f t="shared" si="34"/>
        <v>13</v>
      </c>
      <c r="AJ76" s="231">
        <f t="shared" si="34"/>
        <v>13</v>
      </c>
      <c r="AK76" s="231">
        <f t="shared" si="34"/>
        <v>13</v>
      </c>
      <c r="AL76" s="231">
        <f t="shared" si="34"/>
        <v>13</v>
      </c>
      <c r="AM76" s="83"/>
      <c r="AN76" s="83"/>
      <c r="AO76" s="83"/>
      <c r="CA76" s="477"/>
      <c r="CB76" s="478"/>
    </row>
    <row r="77" spans="2:80">
      <c r="B77" s="95" t="s">
        <v>64</v>
      </c>
      <c r="C77" s="96" t="s">
        <v>65</v>
      </c>
      <c r="D77" s="183" t="s">
        <v>166</v>
      </c>
      <c r="E77" s="747"/>
      <c r="F77" s="103"/>
      <c r="G77" s="184">
        <f t="shared" ref="G77:AF77" si="35">G74+G75+G76</f>
        <v>936</v>
      </c>
      <c r="H77" s="184">
        <f t="shared" si="35"/>
        <v>151</v>
      </c>
      <c r="I77" s="184">
        <f t="shared" si="35"/>
        <v>-1875</v>
      </c>
      <c r="J77" s="184">
        <f t="shared" si="35"/>
        <v>1290</v>
      </c>
      <c r="K77" s="184">
        <f t="shared" si="35"/>
        <v>3088</v>
      </c>
      <c r="L77" s="106">
        <f t="shared" si="35"/>
        <v>807</v>
      </c>
      <c r="M77" s="106">
        <f t="shared" si="35"/>
        <v>739</v>
      </c>
      <c r="N77" s="106">
        <f t="shared" si="35"/>
        <v>611</v>
      </c>
      <c r="O77" s="106">
        <f t="shared" si="35"/>
        <v>794</v>
      </c>
      <c r="P77" s="184">
        <f t="shared" si="35"/>
        <v>2951</v>
      </c>
      <c r="Q77" s="106">
        <f t="shared" si="35"/>
        <v>687</v>
      </c>
      <c r="R77" s="106">
        <f t="shared" si="35"/>
        <v>481</v>
      </c>
      <c r="S77" s="106">
        <f t="shared" si="35"/>
        <v>390</v>
      </c>
      <c r="T77" s="106">
        <f t="shared" si="35"/>
        <v>54</v>
      </c>
      <c r="U77" s="184">
        <f t="shared" si="35"/>
        <v>1612</v>
      </c>
      <c r="V77" s="106">
        <f t="shared" si="35"/>
        <v>273</v>
      </c>
      <c r="W77" s="106">
        <f t="shared" si="35"/>
        <v>-12</v>
      </c>
      <c r="X77" s="106">
        <f t="shared" si="35"/>
        <v>-113</v>
      </c>
      <c r="Y77" s="106">
        <f t="shared" si="35"/>
        <v>-107</v>
      </c>
      <c r="Z77" s="971">
        <f>Z74+Z75+Z76</f>
        <v>41</v>
      </c>
      <c r="AA77" s="106">
        <f t="shared" si="35"/>
        <v>137</v>
      </c>
      <c r="AB77" s="106">
        <f t="shared" si="35"/>
        <v>174</v>
      </c>
      <c r="AC77" s="106">
        <f t="shared" si="35"/>
        <v>123.91032700000005</v>
      </c>
      <c r="AD77" s="106">
        <f t="shared" si="35"/>
        <v>142.56000739999999</v>
      </c>
      <c r="AE77" s="971">
        <f t="shared" si="35"/>
        <v>577.47033440000007</v>
      </c>
      <c r="AF77" s="971">
        <f t="shared" si="35"/>
        <v>424.9364999999998</v>
      </c>
      <c r="AG77" s="971">
        <f t="shared" ref="AG77:AL77" si="36">AG74+AG75+AG76</f>
        <v>281.06800000000021</v>
      </c>
      <c r="AH77" s="971">
        <f t="shared" si="36"/>
        <v>314.08700000000044</v>
      </c>
      <c r="AI77" s="971">
        <f t="shared" si="36"/>
        <v>314.08700000000044</v>
      </c>
      <c r="AJ77" s="971">
        <f t="shared" si="36"/>
        <v>314.08700000000044</v>
      </c>
      <c r="AK77" s="971">
        <f t="shared" si="36"/>
        <v>314.08700000000044</v>
      </c>
      <c r="AL77" s="971">
        <f t="shared" si="36"/>
        <v>314.08700000000044</v>
      </c>
      <c r="AM77" s="103"/>
      <c r="AN77" s="103"/>
      <c r="AO77" s="103"/>
      <c r="AP77" s="746"/>
      <c r="CA77" s="477"/>
      <c r="CB77" s="478"/>
    </row>
    <row r="78" spans="2:80">
      <c r="B78" s="95" t="s">
        <v>221</v>
      </c>
      <c r="C78" s="96" t="s">
        <v>103</v>
      </c>
      <c r="D78" s="83" t="s">
        <v>173</v>
      </c>
      <c r="E78" s="83"/>
      <c r="F78" s="83"/>
      <c r="G78" s="114">
        <v>0.3</v>
      </c>
      <c r="H78" s="114">
        <v>0.3</v>
      </c>
      <c r="I78" s="114">
        <v>0.3</v>
      </c>
      <c r="J78" s="114">
        <v>0.3</v>
      </c>
      <c r="K78" s="114">
        <v>0.3</v>
      </c>
      <c r="L78" s="115">
        <v>0.3</v>
      </c>
      <c r="M78" s="115">
        <v>0.3</v>
      </c>
      <c r="N78" s="115">
        <v>0.3</v>
      </c>
      <c r="O78" s="115">
        <v>0.3</v>
      </c>
      <c r="P78" s="114">
        <v>0.3</v>
      </c>
      <c r="Q78" s="115">
        <v>0.3</v>
      </c>
      <c r="R78" s="115">
        <v>0.3</v>
      </c>
      <c r="S78" s="115">
        <v>0.3</v>
      </c>
      <c r="T78" s="115">
        <v>0.3</v>
      </c>
      <c r="U78" s="114">
        <v>0.3</v>
      </c>
      <c r="V78" s="115">
        <v>0.3</v>
      </c>
      <c r="W78" s="968">
        <f>Z78</f>
        <v>0.3</v>
      </c>
      <c r="X78" s="968">
        <f>Z78</f>
        <v>0.3</v>
      </c>
      <c r="Y78" s="968">
        <f>Z78</f>
        <v>0.3</v>
      </c>
      <c r="Z78" s="114">
        <v>0.3</v>
      </c>
      <c r="AA78" s="115">
        <v>0.3</v>
      </c>
      <c r="AB78" s="115">
        <v>0.3</v>
      </c>
      <c r="AC78" s="981">
        <f>$AE$78</f>
        <v>0.3</v>
      </c>
      <c r="AD78" s="981">
        <f>$AE$78</f>
        <v>0.3</v>
      </c>
      <c r="AE78" s="970">
        <f>$Z$78</f>
        <v>0.3</v>
      </c>
      <c r="AF78" s="980">
        <f>AE78</f>
        <v>0.3</v>
      </c>
      <c r="AG78" s="980">
        <f t="shared" ref="AG78:AL78" si="37">AF78</f>
        <v>0.3</v>
      </c>
      <c r="AH78" s="980">
        <f t="shared" si="37"/>
        <v>0.3</v>
      </c>
      <c r="AI78" s="980">
        <f t="shared" si="37"/>
        <v>0.3</v>
      </c>
      <c r="AJ78" s="980">
        <f t="shared" si="37"/>
        <v>0.3</v>
      </c>
      <c r="AK78" s="980">
        <f t="shared" si="37"/>
        <v>0.3</v>
      </c>
      <c r="AL78" s="980">
        <f t="shared" si="37"/>
        <v>0.3</v>
      </c>
      <c r="AM78" s="83"/>
      <c r="AN78" s="83"/>
      <c r="AO78" s="83"/>
      <c r="CA78" s="477"/>
      <c r="CB78" s="478"/>
    </row>
    <row r="79" spans="2:80">
      <c r="B79" s="95" t="s">
        <v>64</v>
      </c>
      <c r="C79" s="96" t="s">
        <v>65</v>
      </c>
      <c r="D79" s="83" t="s">
        <v>167</v>
      </c>
      <c r="E79" s="83"/>
      <c r="F79" s="83"/>
      <c r="G79" s="312">
        <f>IF(G77*G78&lt;0,0,(G77*G78))</f>
        <v>280.8</v>
      </c>
      <c r="H79" s="312">
        <f>IF(H77*H78&lt;0,0,(H77*H78))</f>
        <v>45.3</v>
      </c>
      <c r="I79" s="312">
        <f>IF(I77*I78&lt;0,0,(I77*I78))</f>
        <v>0</v>
      </c>
      <c r="J79" s="312">
        <f>IF(J77*J78&lt;0,0,(J77*J78))</f>
        <v>387</v>
      </c>
      <c r="K79" s="312">
        <f>IF(K77*K78&lt;0,0,(K77*K78))</f>
        <v>926.4</v>
      </c>
      <c r="L79" s="761">
        <f t="shared" ref="L79:U79" si="38">IF(L77*L78&lt;0,0,(L77*L78))</f>
        <v>242.1</v>
      </c>
      <c r="M79" s="761">
        <f t="shared" si="38"/>
        <v>221.7</v>
      </c>
      <c r="N79" s="761">
        <f t="shared" si="38"/>
        <v>183.29999999999998</v>
      </c>
      <c r="O79" s="761">
        <f t="shared" si="38"/>
        <v>238.2</v>
      </c>
      <c r="P79" s="312">
        <f t="shared" si="38"/>
        <v>885.3</v>
      </c>
      <c r="Q79" s="761">
        <f t="shared" si="38"/>
        <v>206.1</v>
      </c>
      <c r="R79" s="761">
        <f t="shared" si="38"/>
        <v>144.29999999999998</v>
      </c>
      <c r="S79" s="761">
        <f t="shared" si="38"/>
        <v>117</v>
      </c>
      <c r="T79" s="761">
        <f t="shared" si="38"/>
        <v>16.2</v>
      </c>
      <c r="U79" s="312">
        <f t="shared" si="38"/>
        <v>483.59999999999997</v>
      </c>
      <c r="V79" s="761">
        <f>IF(V77*V78&lt;0,0,(V77*V78))</f>
        <v>81.899999999999991</v>
      </c>
      <c r="W79" s="761">
        <f>IF(W77*W78&lt;0,0,(W77*W78))</f>
        <v>0</v>
      </c>
      <c r="X79" s="761">
        <f>IF(X77*X78&lt;0,0,(X77*X78))</f>
        <v>0</v>
      </c>
      <c r="Y79" s="761">
        <f>IF(Y77*Y78&lt;0,0,(Y77*Y78))</f>
        <v>0</v>
      </c>
      <c r="Z79" s="94">
        <f>SUM(V79:Y79)</f>
        <v>81.899999999999991</v>
      </c>
      <c r="AA79" s="761">
        <f>IF(AA77*AA78&lt;0,0,(AA77*AA78))</f>
        <v>41.1</v>
      </c>
      <c r="AB79" s="761">
        <f>IF(AB77*AB78&lt;0,0,(AB77*AB78))</f>
        <v>52.199999999999996</v>
      </c>
      <c r="AC79" s="761">
        <f>IF(AC77*AC78&lt;0,0,(AC77*AC78))</f>
        <v>37.173098100000011</v>
      </c>
      <c r="AD79" s="761">
        <f>IF(AD77*AD78&lt;0,0,(AD77*AD78))</f>
        <v>42.768002219999993</v>
      </c>
      <c r="AE79" s="94">
        <f>SUM(AA79:AD79)</f>
        <v>173.24110032000002</v>
      </c>
      <c r="AF79" s="94">
        <f>IF((AF77*AF78)&lt;0,0,(AF77*AF78))</f>
        <v>127.48094999999994</v>
      </c>
      <c r="AG79" s="94">
        <f t="shared" ref="AG79:AL79" si="39">IF((AG77*AG78)&lt;0,0,(AG77*AG78))</f>
        <v>84.320400000000063</v>
      </c>
      <c r="AH79" s="94">
        <f t="shared" si="39"/>
        <v>94.22610000000013</v>
      </c>
      <c r="AI79" s="94">
        <f t="shared" si="39"/>
        <v>94.22610000000013</v>
      </c>
      <c r="AJ79" s="94">
        <f t="shared" si="39"/>
        <v>94.22610000000013</v>
      </c>
      <c r="AK79" s="94">
        <f t="shared" si="39"/>
        <v>94.22610000000013</v>
      </c>
      <c r="AL79" s="94">
        <f t="shared" si="39"/>
        <v>94.22610000000013</v>
      </c>
      <c r="AM79" s="83"/>
      <c r="AN79" s="83"/>
      <c r="AO79" s="83"/>
      <c r="CA79" s="477"/>
      <c r="CB79" s="478"/>
    </row>
    <row r="80" spans="2:80">
      <c r="B80" s="95" t="s">
        <v>64</v>
      </c>
      <c r="C80" s="96" t="s">
        <v>65</v>
      </c>
      <c r="D80" s="83" t="s">
        <v>262</v>
      </c>
      <c r="E80" s="83"/>
      <c r="F80" s="83"/>
      <c r="G80" s="744">
        <f t="shared" ref="G80:AF80" si="40">G77-G79</f>
        <v>655.20000000000005</v>
      </c>
      <c r="H80" s="744">
        <f t="shared" si="40"/>
        <v>105.7</v>
      </c>
      <c r="I80" s="744">
        <f t="shared" si="40"/>
        <v>-1875</v>
      </c>
      <c r="J80" s="744">
        <f t="shared" si="40"/>
        <v>903</v>
      </c>
      <c r="K80" s="744">
        <f t="shared" si="40"/>
        <v>2161.6</v>
      </c>
      <c r="L80" s="762">
        <f t="shared" si="40"/>
        <v>564.9</v>
      </c>
      <c r="M80" s="762">
        <f t="shared" si="40"/>
        <v>517.29999999999995</v>
      </c>
      <c r="N80" s="762">
        <f t="shared" si="40"/>
        <v>427.70000000000005</v>
      </c>
      <c r="O80" s="762">
        <f t="shared" si="40"/>
        <v>555.79999999999995</v>
      </c>
      <c r="P80" s="744">
        <f t="shared" si="40"/>
        <v>2065.6999999999998</v>
      </c>
      <c r="Q80" s="762">
        <f t="shared" si="40"/>
        <v>480.9</v>
      </c>
      <c r="R80" s="762">
        <f t="shared" si="40"/>
        <v>336.70000000000005</v>
      </c>
      <c r="S80" s="762">
        <f t="shared" si="40"/>
        <v>273</v>
      </c>
      <c r="T80" s="762">
        <f t="shared" si="40"/>
        <v>37.799999999999997</v>
      </c>
      <c r="U80" s="744">
        <f t="shared" si="40"/>
        <v>1128.4000000000001</v>
      </c>
      <c r="V80" s="762">
        <f t="shared" si="40"/>
        <v>191.10000000000002</v>
      </c>
      <c r="W80" s="762">
        <f t="shared" si="40"/>
        <v>-12</v>
      </c>
      <c r="X80" s="762">
        <f>X77-X79</f>
        <v>-113</v>
      </c>
      <c r="Y80" s="762">
        <f t="shared" si="40"/>
        <v>-107</v>
      </c>
      <c r="Z80" s="94">
        <f>Z77-Z79</f>
        <v>-40.899999999999991</v>
      </c>
      <c r="AA80" s="762">
        <f>AA77-AA79</f>
        <v>95.9</v>
      </c>
      <c r="AB80" s="762">
        <f t="shared" si="40"/>
        <v>121.80000000000001</v>
      </c>
      <c r="AC80" s="762">
        <f t="shared" si="40"/>
        <v>86.737228900000048</v>
      </c>
      <c r="AD80" s="762">
        <f t="shared" si="40"/>
        <v>99.79200517999999</v>
      </c>
      <c r="AE80" s="94">
        <f t="shared" si="40"/>
        <v>404.22923408000008</v>
      </c>
      <c r="AF80" s="94">
        <f t="shared" si="40"/>
        <v>297.45554999999985</v>
      </c>
      <c r="AG80" s="94">
        <f t="shared" ref="AG80:AL80" si="41">AG77-AG79</f>
        <v>196.74760000000015</v>
      </c>
      <c r="AH80" s="94">
        <f t="shared" si="41"/>
        <v>219.8609000000003</v>
      </c>
      <c r="AI80" s="94">
        <f t="shared" si="41"/>
        <v>219.8609000000003</v>
      </c>
      <c r="AJ80" s="94">
        <f t="shared" si="41"/>
        <v>219.8609000000003</v>
      </c>
      <c r="AK80" s="94">
        <f t="shared" si="41"/>
        <v>219.8609000000003</v>
      </c>
      <c r="AL80" s="94">
        <f t="shared" si="41"/>
        <v>219.8609000000003</v>
      </c>
      <c r="AM80" s="83"/>
      <c r="AN80" s="83"/>
      <c r="AO80" s="83"/>
      <c r="CA80" s="477"/>
      <c r="CB80" s="478"/>
    </row>
    <row r="81" spans="2:80">
      <c r="B81" s="83"/>
      <c r="C81" s="83"/>
      <c r="D81" s="83"/>
      <c r="E81" s="83"/>
      <c r="F81" s="83"/>
      <c r="G81" s="111"/>
      <c r="H81" s="92"/>
      <c r="I81" s="92"/>
      <c r="J81" s="92"/>
      <c r="K81" s="92"/>
      <c r="L81" s="99"/>
      <c r="M81" s="99"/>
      <c r="N81" s="99"/>
      <c r="O81" s="99"/>
      <c r="P81" s="92"/>
      <c r="Q81" s="99"/>
      <c r="R81" s="99"/>
      <c r="S81" s="99"/>
      <c r="T81" s="99"/>
      <c r="U81" s="92"/>
      <c r="V81" s="99"/>
      <c r="W81" s="99"/>
      <c r="X81" s="99"/>
      <c r="Y81" s="99"/>
      <c r="Z81" s="83"/>
      <c r="AA81" s="140"/>
      <c r="AB81" s="140"/>
      <c r="AC81" s="140"/>
      <c r="AD81" s="140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CA81" s="477"/>
      <c r="CB81" s="478"/>
    </row>
    <row r="82" spans="2:80">
      <c r="B82" s="95" t="s">
        <v>64</v>
      </c>
      <c r="C82" s="96" t="s">
        <v>65</v>
      </c>
      <c r="D82" s="183" t="s">
        <v>163</v>
      </c>
      <c r="E82" s="747"/>
      <c r="F82" s="103"/>
      <c r="G82" s="184">
        <f>G74-G68</f>
        <v>1690</v>
      </c>
      <c r="H82" s="184">
        <f t="shared" ref="H82:V82" si="42">H74-H68</f>
        <v>886</v>
      </c>
      <c r="I82" s="184">
        <f t="shared" si="42"/>
        <v>-1182</v>
      </c>
      <c r="J82" s="184">
        <f t="shared" si="42"/>
        <v>1933</v>
      </c>
      <c r="K82" s="184">
        <f t="shared" si="42"/>
        <v>3840</v>
      </c>
      <c r="L82" s="106">
        <f t="shared" si="42"/>
        <v>996</v>
      </c>
      <c r="M82" s="106">
        <f t="shared" si="42"/>
        <v>931</v>
      </c>
      <c r="N82" s="106">
        <f t="shared" si="42"/>
        <v>800</v>
      </c>
      <c r="O82" s="106">
        <f t="shared" si="42"/>
        <v>964</v>
      </c>
      <c r="P82" s="184">
        <f t="shared" si="42"/>
        <v>3691</v>
      </c>
      <c r="Q82" s="106">
        <f t="shared" si="42"/>
        <v>891</v>
      </c>
      <c r="R82" s="106">
        <f t="shared" si="42"/>
        <v>702</v>
      </c>
      <c r="S82" s="106">
        <f t="shared" si="42"/>
        <v>605</v>
      </c>
      <c r="T82" s="106">
        <f t="shared" si="42"/>
        <v>281</v>
      </c>
      <c r="U82" s="184">
        <f t="shared" si="42"/>
        <v>2479</v>
      </c>
      <c r="V82" s="106">
        <f t="shared" si="42"/>
        <v>445</v>
      </c>
      <c r="W82" s="106">
        <f t="shared" ref="W82:AD82" si="43">W74-W68</f>
        <v>165</v>
      </c>
      <c r="X82" s="106">
        <f t="shared" si="43"/>
        <v>85</v>
      </c>
      <c r="Y82" s="106">
        <f t="shared" si="43"/>
        <v>121</v>
      </c>
      <c r="Z82" s="184">
        <f>Z74-Z68</f>
        <v>816</v>
      </c>
      <c r="AA82" s="106">
        <f t="shared" si="43"/>
        <v>363.75</v>
      </c>
      <c r="AB82" s="106">
        <f t="shared" si="43"/>
        <v>408.75</v>
      </c>
      <c r="AC82" s="106">
        <f t="shared" si="43"/>
        <v>319.53532700000005</v>
      </c>
      <c r="AD82" s="106">
        <f t="shared" si="43"/>
        <v>357.03500739999993</v>
      </c>
      <c r="AE82" s="184">
        <f>AE74-AE68</f>
        <v>1449.0703343999999</v>
      </c>
      <c r="AF82" s="184">
        <f t="shared" ref="AF82:AL82" si="44">AF74-AF68</f>
        <v>1236.4364999999998</v>
      </c>
      <c r="AG82" s="184">
        <f t="shared" si="44"/>
        <v>1092.5680000000002</v>
      </c>
      <c r="AH82" s="184">
        <f t="shared" si="44"/>
        <v>1125.5870000000004</v>
      </c>
      <c r="AI82" s="184">
        <f t="shared" si="44"/>
        <v>1125.5870000000004</v>
      </c>
      <c r="AJ82" s="184">
        <f t="shared" si="44"/>
        <v>1125.5870000000004</v>
      </c>
      <c r="AK82" s="184">
        <f t="shared" si="44"/>
        <v>1125.5870000000004</v>
      </c>
      <c r="AL82" s="184">
        <f t="shared" si="44"/>
        <v>1125.5870000000004</v>
      </c>
      <c r="AM82" s="103"/>
      <c r="AN82" s="103"/>
      <c r="AO82" s="103"/>
      <c r="AP82" s="746"/>
      <c r="CA82" s="477"/>
      <c r="CB82" s="478"/>
    </row>
    <row r="83" spans="2:80">
      <c r="B83" s="95" t="s">
        <v>64</v>
      </c>
      <c r="C83" s="96" t="s">
        <v>65</v>
      </c>
      <c r="D83" s="186" t="s">
        <v>236</v>
      </c>
      <c r="E83" s="794"/>
      <c r="F83" s="119"/>
      <c r="G83" s="675">
        <f>G82-G72</f>
        <v>1690</v>
      </c>
      <c r="H83" s="675">
        <f t="shared" ref="H83:V83" si="45">H82-H72</f>
        <v>886</v>
      </c>
      <c r="I83" s="675">
        <f>I82-I72</f>
        <v>850</v>
      </c>
      <c r="J83" s="675">
        <f t="shared" si="45"/>
        <v>1933</v>
      </c>
      <c r="K83" s="675">
        <f t="shared" si="45"/>
        <v>3633</v>
      </c>
      <c r="L83" s="795">
        <f t="shared" si="45"/>
        <v>996</v>
      </c>
      <c r="M83" s="795">
        <f t="shared" si="45"/>
        <v>931</v>
      </c>
      <c r="N83" s="795">
        <f t="shared" si="45"/>
        <v>800</v>
      </c>
      <c r="O83" s="795">
        <f t="shared" si="45"/>
        <v>964</v>
      </c>
      <c r="P83" s="675">
        <f t="shared" si="45"/>
        <v>3691</v>
      </c>
      <c r="Q83" s="795">
        <f t="shared" si="45"/>
        <v>891</v>
      </c>
      <c r="R83" s="795">
        <f t="shared" si="45"/>
        <v>873</v>
      </c>
      <c r="S83" s="795">
        <f t="shared" si="45"/>
        <v>605</v>
      </c>
      <c r="T83" s="795">
        <f t="shared" si="45"/>
        <v>399</v>
      </c>
      <c r="U83" s="675">
        <f t="shared" si="45"/>
        <v>2768</v>
      </c>
      <c r="V83" s="795">
        <f t="shared" si="45"/>
        <v>445</v>
      </c>
      <c r="W83" s="795">
        <f t="shared" ref="W83:AD83" si="46">W82-W72</f>
        <v>165</v>
      </c>
      <c r="X83" s="795">
        <f t="shared" si="46"/>
        <v>85</v>
      </c>
      <c r="Y83" s="795">
        <f t="shared" si="46"/>
        <v>121</v>
      </c>
      <c r="Z83" s="675">
        <f>Z82-Z72</f>
        <v>816</v>
      </c>
      <c r="AA83" s="795">
        <f t="shared" si="46"/>
        <v>363.75</v>
      </c>
      <c r="AB83" s="795">
        <f t="shared" si="46"/>
        <v>408.75</v>
      </c>
      <c r="AC83" s="795">
        <f t="shared" si="46"/>
        <v>319.53532700000005</v>
      </c>
      <c r="AD83" s="795">
        <f t="shared" si="46"/>
        <v>357.03500739999993</v>
      </c>
      <c r="AE83" s="675">
        <f>AE82-AE72</f>
        <v>1449.0703343999999</v>
      </c>
      <c r="AF83" s="675">
        <f t="shared" ref="AF83:AL83" si="47">AF82-AF72</f>
        <v>1236.4364999999998</v>
      </c>
      <c r="AG83" s="675">
        <f t="shared" si="47"/>
        <v>1092.5680000000002</v>
      </c>
      <c r="AH83" s="675">
        <f t="shared" si="47"/>
        <v>1125.5870000000004</v>
      </c>
      <c r="AI83" s="675">
        <f t="shared" si="47"/>
        <v>1125.5870000000004</v>
      </c>
      <c r="AJ83" s="675">
        <f t="shared" si="47"/>
        <v>1125.5870000000004</v>
      </c>
      <c r="AK83" s="675">
        <f t="shared" si="47"/>
        <v>1125.5870000000004</v>
      </c>
      <c r="AL83" s="675">
        <f t="shared" si="47"/>
        <v>1125.5870000000004</v>
      </c>
      <c r="AM83" s="83"/>
      <c r="AN83" s="83"/>
      <c r="AO83" s="83"/>
      <c r="CA83" s="477"/>
      <c r="CB83" s="478"/>
    </row>
    <row r="84" spans="2:80">
      <c r="B84" s="95"/>
      <c r="C84" s="96"/>
      <c r="D84" s="186"/>
      <c r="E84" s="794"/>
      <c r="F84" s="119"/>
      <c r="G84" s="321"/>
      <c r="H84" s="321"/>
      <c r="I84" s="321"/>
      <c r="J84" s="321"/>
      <c r="K84" s="321"/>
      <c r="L84" s="314"/>
      <c r="M84" s="314"/>
      <c r="N84" s="314"/>
      <c r="O84" s="314"/>
      <c r="P84" s="321"/>
      <c r="Q84" s="314"/>
      <c r="R84" s="314"/>
      <c r="S84" s="314"/>
      <c r="T84" s="314"/>
      <c r="U84" s="321"/>
      <c r="V84" s="314"/>
      <c r="W84" s="314"/>
      <c r="X84" s="314"/>
      <c r="Y84" s="314"/>
      <c r="Z84" s="92"/>
      <c r="AA84" s="314"/>
      <c r="AB84" s="314"/>
      <c r="AC84" s="314"/>
      <c r="AD84" s="314"/>
      <c r="AE84" s="92"/>
      <c r="AF84" s="92"/>
      <c r="AG84" s="92"/>
      <c r="AH84" s="92"/>
      <c r="AI84" s="92"/>
      <c r="AJ84" s="83"/>
      <c r="AK84" s="83"/>
      <c r="AL84" s="83"/>
      <c r="AM84" s="83"/>
      <c r="AN84" s="83"/>
      <c r="AO84" s="83"/>
      <c r="CA84" s="477"/>
      <c r="CB84" s="478"/>
    </row>
    <row r="85" spans="2:80">
      <c r="B85" s="83"/>
      <c r="C85" s="83"/>
      <c r="D85" s="89"/>
      <c r="E85" s="89"/>
      <c r="F85" s="83"/>
      <c r="G85" s="90"/>
      <c r="H85" s="90"/>
      <c r="I85" s="90"/>
      <c r="J85" s="90">
        <f>J68/J54</f>
        <v>-22.753623188405797</v>
      </c>
      <c r="K85" s="90">
        <f t="shared" ref="K85:U85" si="48">K68/K54</f>
        <v>-26.992481203007518</v>
      </c>
      <c r="L85" s="90">
        <f t="shared" si="48"/>
        <v>-30.161290322580644</v>
      </c>
      <c r="M85" s="90">
        <f t="shared" si="48"/>
        <v>-29.523809523809526</v>
      </c>
      <c r="N85" s="90">
        <f t="shared" si="48"/>
        <v>-27.5</v>
      </c>
      <c r="O85" s="90">
        <f t="shared" si="48"/>
        <v>-24.794520547945208</v>
      </c>
      <c r="P85" s="90">
        <f t="shared" si="48"/>
        <v>-27.862595419847327</v>
      </c>
      <c r="Q85" s="90">
        <f t="shared" si="48"/>
        <v>-30</v>
      </c>
      <c r="R85" s="90">
        <f t="shared" si="48"/>
        <v>-31.093749999999993</v>
      </c>
      <c r="S85" s="90">
        <f t="shared" si="48"/>
        <v>-31.23076923076923</v>
      </c>
      <c r="T85" s="90">
        <f t="shared" si="48"/>
        <v>-30.8955223880597</v>
      </c>
      <c r="U85" s="90">
        <f t="shared" si="48"/>
        <v>-30.817120622568094</v>
      </c>
      <c r="V85" s="91"/>
      <c r="W85" s="99"/>
      <c r="X85" s="99"/>
      <c r="Y85" s="99"/>
      <c r="Z85" s="92"/>
      <c r="AA85" s="91"/>
      <c r="AB85" s="99"/>
      <c r="AC85" s="99"/>
      <c r="AD85" s="99"/>
      <c r="AE85" s="92"/>
      <c r="AF85" s="92"/>
      <c r="AG85" s="92"/>
      <c r="AH85" s="92"/>
      <c r="AI85" s="92"/>
      <c r="AJ85" s="83"/>
      <c r="AK85" s="83"/>
      <c r="AL85" s="83"/>
      <c r="AM85" s="83"/>
      <c r="AN85" s="83"/>
      <c r="AO85" s="83"/>
      <c r="CA85" s="477"/>
      <c r="CB85" s="478"/>
    </row>
    <row r="86" spans="2:80">
      <c r="B86" s="83"/>
      <c r="C86" s="83"/>
      <c r="D86" s="757" t="s">
        <v>207</v>
      </c>
      <c r="E86" s="757"/>
      <c r="F86" s="174"/>
      <c r="G86" s="454"/>
      <c r="H86" s="454"/>
      <c r="I86" s="454"/>
      <c r="J86" s="454"/>
      <c r="K86" s="454"/>
      <c r="L86" s="455"/>
      <c r="M86" s="455"/>
      <c r="N86" s="455"/>
      <c r="O86" s="455"/>
      <c r="P86" s="454"/>
      <c r="Q86" s="455"/>
      <c r="R86" s="455"/>
      <c r="S86" s="455"/>
      <c r="T86" s="455"/>
      <c r="U86" s="454"/>
      <c r="V86" s="455"/>
      <c r="W86" s="455"/>
      <c r="X86" s="455"/>
      <c r="Y86" s="455"/>
      <c r="Z86" s="454"/>
      <c r="AA86" s="455"/>
      <c r="AB86" s="455"/>
      <c r="AC86" s="455"/>
      <c r="AD86" s="455"/>
      <c r="AE86" s="454"/>
      <c r="AF86" s="454"/>
      <c r="AG86" s="758"/>
      <c r="AH86" s="758"/>
      <c r="AI86" s="758"/>
      <c r="AJ86" s="174"/>
      <c r="AK86" s="174"/>
      <c r="AL86" s="174"/>
      <c r="AM86" s="174"/>
      <c r="AN86" s="174"/>
      <c r="AO86" s="174"/>
      <c r="AP86" s="454"/>
      <c r="CA86" s="477"/>
      <c r="CB86" s="478"/>
    </row>
    <row r="87" spans="2:80">
      <c r="B87" s="83"/>
      <c r="C87" s="83"/>
      <c r="D87" s="975" t="s">
        <v>859</v>
      </c>
      <c r="E87" s="973"/>
      <c r="F87" s="136"/>
      <c r="G87" s="748"/>
      <c r="H87" s="748"/>
      <c r="I87" s="748"/>
      <c r="J87" s="748"/>
      <c r="K87" s="748"/>
      <c r="L87" s="976">
        <f>L54/$P$54</f>
        <v>0.23664122137404581</v>
      </c>
      <c r="M87" s="976">
        <f>M54/$P$54</f>
        <v>0.24045801526717558</v>
      </c>
      <c r="N87" s="976">
        <f>N54/$P$54</f>
        <v>0.24427480916030536</v>
      </c>
      <c r="O87" s="976">
        <f>O54/$P$54</f>
        <v>0.2786259541984733</v>
      </c>
      <c r="P87" s="977">
        <f>SUM(L87:O87)</f>
        <v>1</v>
      </c>
      <c r="Q87" s="976">
        <f>Q54/$U$54</f>
        <v>0.23735408560311283</v>
      </c>
      <c r="R87" s="976">
        <f>R54/$U$54</f>
        <v>0.24902723735408566</v>
      </c>
      <c r="S87" s="976">
        <f>S54/$U$54</f>
        <v>0.25291828793774318</v>
      </c>
      <c r="T87" s="976">
        <f>T54/$U$54</f>
        <v>0.26070038910505838</v>
      </c>
      <c r="U87" s="977">
        <f>SUM(Q87:T87)</f>
        <v>1</v>
      </c>
      <c r="V87" s="976">
        <f>V54/$Z$54</f>
        <v>0.23222748815165878</v>
      </c>
      <c r="W87" s="976">
        <f>W54/$Z$54</f>
        <v>0.24170616113744073</v>
      </c>
      <c r="X87" s="976">
        <f>X54/$Z$54</f>
        <v>0.24170616113744073</v>
      </c>
      <c r="Y87" s="976">
        <f>Y54/$Z$54</f>
        <v>0.28436018957345971</v>
      </c>
      <c r="Z87" s="977">
        <v>1</v>
      </c>
      <c r="AA87" s="976">
        <f>AA54/$AE$54</f>
        <v>0.23137254901960785</v>
      </c>
      <c r="AB87" s="976">
        <f>AB54/$AE$54</f>
        <v>0.24313725490196078</v>
      </c>
      <c r="AC87" s="122">
        <v>0.25</v>
      </c>
      <c r="AD87" s="122">
        <f>AE87-AA87-AB87-AC87</f>
        <v>0.27549019607843128</v>
      </c>
      <c r="AE87" s="977">
        <v>1</v>
      </c>
      <c r="AF87" s="977">
        <v>1</v>
      </c>
      <c r="AG87" s="977">
        <v>1</v>
      </c>
      <c r="AH87" s="977">
        <v>1</v>
      </c>
      <c r="AI87" s="977">
        <v>1</v>
      </c>
      <c r="AJ87" s="977">
        <v>1</v>
      </c>
      <c r="AK87" s="977">
        <v>1</v>
      </c>
      <c r="AL87" s="977">
        <v>1</v>
      </c>
      <c r="AM87" s="136"/>
      <c r="AN87" s="136"/>
      <c r="AO87" s="136"/>
      <c r="AP87" s="748"/>
      <c r="CA87" s="477"/>
      <c r="CB87" s="478"/>
    </row>
    <row r="88" spans="2:80">
      <c r="B88" s="83"/>
      <c r="C88" s="83"/>
      <c r="D88" s="83" t="s">
        <v>208</v>
      </c>
      <c r="E88" s="83"/>
      <c r="F88" s="83"/>
      <c r="G88" s="94"/>
      <c r="H88" s="120">
        <f>H54/G54-1</f>
        <v>4.2073218327999262E-2</v>
      </c>
      <c r="I88" s="120">
        <f>I54/H54-1</f>
        <v>-5.2434456928838857E-2</v>
      </c>
      <c r="J88" s="120">
        <f>J54/I54-1</f>
        <v>9.0909090909090828E-2</v>
      </c>
      <c r="K88" s="120">
        <f>K54/J54-1</f>
        <v>-3.6231884057971064E-2</v>
      </c>
      <c r="L88" s="121"/>
      <c r="M88" s="121"/>
      <c r="N88" s="121"/>
      <c r="O88" s="121"/>
      <c r="P88" s="120">
        <f>_xlfn.IFNA((P54/K54-1),"")</f>
        <v>-1.5037593984962516E-2</v>
      </c>
      <c r="Q88" s="121"/>
      <c r="R88" s="121"/>
      <c r="S88" s="121"/>
      <c r="T88" s="121"/>
      <c r="U88" s="120">
        <f>_xlfn.IFNA((U54/P54-1),"")</f>
        <v>-1.9083969465648831E-2</v>
      </c>
      <c r="V88" s="121"/>
      <c r="W88" s="121"/>
      <c r="X88" s="121"/>
      <c r="Y88" s="121"/>
      <c r="Z88" s="120">
        <f>_xlfn.IFNA((Z54/U54-1),"")</f>
        <v>-0.17898832684824895</v>
      </c>
      <c r="AA88" s="121"/>
      <c r="AB88" s="121"/>
      <c r="AC88" s="121"/>
      <c r="AD88" s="121"/>
      <c r="AE88" s="120">
        <f>_xlfn.IFNA((AE54/Z54-1),"")</f>
        <v>0.20853080568720372</v>
      </c>
      <c r="AF88" s="120">
        <f>_xlfn.IFNA((AF54/AE54-1),"")</f>
        <v>3.9215686274509887E-2</v>
      </c>
      <c r="AG88" s="120">
        <f t="shared" ref="AG88:AL88" si="49">_xlfn.IFNA((AG54/AF54-1),"")</f>
        <v>0</v>
      </c>
      <c r="AH88" s="120">
        <f t="shared" si="49"/>
        <v>0</v>
      </c>
      <c r="AI88" s="120">
        <f t="shared" si="49"/>
        <v>0</v>
      </c>
      <c r="AJ88" s="120">
        <f t="shared" si="49"/>
        <v>0</v>
      </c>
      <c r="AK88" s="120">
        <f t="shared" si="49"/>
        <v>0</v>
      </c>
      <c r="AL88" s="120">
        <f t="shared" si="49"/>
        <v>0</v>
      </c>
      <c r="AM88" s="83"/>
      <c r="AN88" s="83"/>
      <c r="AO88" s="83"/>
      <c r="CA88" s="477"/>
      <c r="CB88" s="478"/>
    </row>
    <row r="89" spans="2:80">
      <c r="B89" s="83"/>
      <c r="C89" s="83"/>
      <c r="D89" s="83" t="s">
        <v>209</v>
      </c>
      <c r="E89" s="83"/>
      <c r="F89" s="83"/>
      <c r="G89" s="94"/>
      <c r="H89" s="120">
        <f>H58/G58-1</f>
        <v>-2.6420422875404137E-2</v>
      </c>
      <c r="I89" s="120">
        <f>I58/H58-1</f>
        <v>-7.6335877862595547E-3</v>
      </c>
      <c r="J89" s="120">
        <f>J58/I58-1</f>
        <v>3.8461538461538547E-2</v>
      </c>
      <c r="K89" s="120">
        <f>K58/J58-1</f>
        <v>-1.851851851851849E-2</v>
      </c>
      <c r="L89" s="121"/>
      <c r="M89" s="121"/>
      <c r="N89" s="121"/>
      <c r="O89" s="121"/>
      <c r="P89" s="120">
        <f>_xlfn.IFNA((P58/K58-1),"")</f>
        <v>-1.8867924528301883E-2</v>
      </c>
      <c r="Q89" s="121"/>
      <c r="R89" s="121"/>
      <c r="S89" s="121"/>
      <c r="T89" s="121"/>
      <c r="U89" s="120">
        <f>_xlfn.IFNA((U58/P58-1),"")</f>
        <v>-3.8461538461538436E-2</v>
      </c>
      <c r="V89" s="121"/>
      <c r="W89" s="121"/>
      <c r="X89" s="121"/>
      <c r="Y89" s="121"/>
      <c r="Z89" s="120">
        <f>_xlfn.IFNA((Z58/U58-1),"")</f>
        <v>-0.12400000000000011</v>
      </c>
      <c r="AA89" s="121"/>
      <c r="AB89" s="121"/>
      <c r="AC89" s="121"/>
      <c r="AD89" s="121"/>
      <c r="AE89" s="120">
        <f>_xlfn.IFNA((AE58/Z58-1),"")</f>
        <v>0.16438356164383561</v>
      </c>
      <c r="AF89" s="120">
        <f>_xlfn.IFNA((AF58/AE58-1),"")</f>
        <v>3.9215686274509887E-2</v>
      </c>
      <c r="AG89" s="120">
        <f t="shared" ref="AG89:AL89" si="50">_xlfn.IFNA((AG58/AF58-1),"")</f>
        <v>0</v>
      </c>
      <c r="AH89" s="120">
        <f t="shared" si="50"/>
        <v>0</v>
      </c>
      <c r="AI89" s="120">
        <f t="shared" si="50"/>
        <v>0</v>
      </c>
      <c r="AJ89" s="120">
        <f t="shared" si="50"/>
        <v>0</v>
      </c>
      <c r="AK89" s="120">
        <f t="shared" si="50"/>
        <v>0</v>
      </c>
      <c r="AL89" s="120">
        <f t="shared" si="50"/>
        <v>0</v>
      </c>
      <c r="AM89" s="83"/>
      <c r="AN89" s="83"/>
      <c r="AO89" s="83"/>
      <c r="CA89" s="477"/>
      <c r="CB89" s="478"/>
    </row>
    <row r="90" spans="2:80">
      <c r="B90" s="83"/>
      <c r="C90" s="83"/>
      <c r="D90" s="83" t="s">
        <v>210</v>
      </c>
      <c r="E90" s="83"/>
      <c r="F90" s="83"/>
      <c r="G90" s="94"/>
      <c r="H90" s="120">
        <f>H64/G64-1</f>
        <v>-0.18915633357646489</v>
      </c>
      <c r="I90" s="120">
        <f>I64/H64-1</f>
        <v>-8.5757121439280382E-2</v>
      </c>
      <c r="J90" s="120">
        <f>J64/I64-1</f>
        <v>0.35913414234175134</v>
      </c>
      <c r="K90" s="120">
        <f>K64/J64-1</f>
        <v>0.45125482625482616</v>
      </c>
      <c r="L90" s="121"/>
      <c r="M90" s="121"/>
      <c r="N90" s="121"/>
      <c r="O90" s="121"/>
      <c r="P90" s="120">
        <f>_xlfn.IFNA((P64/K64-1),"")</f>
        <v>5.5703358829398031E-2</v>
      </c>
      <c r="Q90" s="121"/>
      <c r="R90" s="121"/>
      <c r="S90" s="121"/>
      <c r="T90" s="121"/>
      <c r="U90" s="120">
        <f>_xlfn.IFNA((U64/P64-1),"")</f>
        <v>-0.1302567333438337</v>
      </c>
      <c r="V90" s="121"/>
      <c r="W90" s="121"/>
      <c r="X90" s="121"/>
      <c r="Y90" s="121"/>
      <c r="Z90" s="120">
        <f>_xlfn.IFNA((Z64/U64-1),"")</f>
        <v>-0.38880840275262585</v>
      </c>
      <c r="AA90" s="121"/>
      <c r="AB90" s="121"/>
      <c r="AC90" s="121"/>
      <c r="AD90" s="121"/>
      <c r="AE90" s="120">
        <f>_xlfn.IFNA((AE64/Z64-1),"")</f>
        <v>0.2796949138962963</v>
      </c>
      <c r="AF90" s="120">
        <f>_xlfn.IFNA((AF64/AE64-1),"")</f>
        <v>-3.3985839919039806E-2</v>
      </c>
      <c r="AG90" s="120">
        <f t="shared" ref="AG90:AL90" si="51">_xlfn.IFNA((AG64/AF64-1),"")</f>
        <v>-3.4482758620689502E-2</v>
      </c>
      <c r="AH90" s="120">
        <f t="shared" si="51"/>
        <v>8.19672131147553E-3</v>
      </c>
      <c r="AI90" s="120">
        <f t="shared" si="51"/>
        <v>0</v>
      </c>
      <c r="AJ90" s="120">
        <f t="shared" si="51"/>
        <v>0</v>
      </c>
      <c r="AK90" s="120">
        <f t="shared" si="51"/>
        <v>0</v>
      </c>
      <c r="AL90" s="120">
        <f t="shared" si="51"/>
        <v>0</v>
      </c>
      <c r="AM90" s="83"/>
      <c r="AN90" s="83"/>
      <c r="AO90" s="83"/>
      <c r="CA90" s="477"/>
      <c r="CB90" s="478"/>
    </row>
    <row r="91" spans="2:80">
      <c r="B91" s="83"/>
      <c r="C91" s="83"/>
      <c r="D91" s="83" t="s">
        <v>211</v>
      </c>
      <c r="E91" s="83"/>
      <c r="F91" s="83"/>
      <c r="G91" s="94"/>
      <c r="H91" s="120">
        <f>H82/G82-1</f>
        <v>-0.47573964497041421</v>
      </c>
      <c r="I91" s="120">
        <f>I82/H82-1</f>
        <v>-2.3340857787810383</v>
      </c>
      <c r="J91" s="120">
        <f>J82/I82-1</f>
        <v>-2.6353637901861253</v>
      </c>
      <c r="K91" s="120">
        <f>K82/J82-1</f>
        <v>0.98654940506983957</v>
      </c>
      <c r="L91" s="121"/>
      <c r="M91" s="121"/>
      <c r="N91" s="121"/>
      <c r="O91" s="121"/>
      <c r="P91" s="120">
        <f>_xlfn.IFNA((P82/K82-1),"")</f>
        <v>-3.8802083333333348E-2</v>
      </c>
      <c r="Q91" s="121"/>
      <c r="R91" s="121"/>
      <c r="S91" s="121"/>
      <c r="T91" s="121"/>
      <c r="U91" s="120">
        <f>_xlfn.IFNA((U82/P82-1),"")</f>
        <v>-0.3283662963966405</v>
      </c>
      <c r="V91" s="121"/>
      <c r="W91" s="121"/>
      <c r="X91" s="121"/>
      <c r="Y91" s="121"/>
      <c r="Z91" s="120">
        <f>_xlfn.IFNA((Z82/U82-1),"")</f>
        <v>-0.67083501411859614</v>
      </c>
      <c r="AA91" s="121"/>
      <c r="AB91" s="121"/>
      <c r="AC91" s="121"/>
      <c r="AD91" s="121"/>
      <c r="AE91" s="120">
        <f>_xlfn.IFNA((AE82/Z82-1),"")</f>
        <v>0.77582148823529384</v>
      </c>
      <c r="AF91" s="120">
        <f>_xlfn.IFNA((AF82/AE82-1),"")</f>
        <v>-0.14673810466766812</v>
      </c>
      <c r="AG91" s="120">
        <f t="shared" ref="AG91:AL91" si="52">_xlfn.IFNA((AG82/AF82-1),"")</f>
        <v>-0.11635737055643347</v>
      </c>
      <c r="AH91" s="120">
        <f t="shared" si="52"/>
        <v>3.0221459899979042E-2</v>
      </c>
      <c r="AI91" s="120">
        <f t="shared" si="52"/>
        <v>0</v>
      </c>
      <c r="AJ91" s="120">
        <f t="shared" si="52"/>
        <v>0</v>
      </c>
      <c r="AK91" s="120">
        <f t="shared" si="52"/>
        <v>0</v>
      </c>
      <c r="AL91" s="120">
        <f t="shared" si="52"/>
        <v>0</v>
      </c>
      <c r="AM91" s="83"/>
      <c r="AN91" s="83"/>
      <c r="AO91" s="83"/>
      <c r="CA91" s="477"/>
      <c r="CB91" s="478"/>
    </row>
    <row r="92" spans="2:80">
      <c r="B92" s="83"/>
      <c r="C92" s="83"/>
      <c r="D92" s="83" t="s">
        <v>204</v>
      </c>
      <c r="E92" s="83"/>
      <c r="F92" s="83"/>
      <c r="G92" s="120">
        <f>G71/G64</f>
        <v>0.24483345489910041</v>
      </c>
      <c r="H92" s="120">
        <f>H71/H64</f>
        <v>6.2368815592203898E-2</v>
      </c>
      <c r="I92" s="120">
        <f t="shared" ref="I92:V92" si="53">I71/I64</f>
        <v>6.5595277140045913E-2</v>
      </c>
      <c r="J92" s="120">
        <f t="shared" si="53"/>
        <v>0.33277027027027029</v>
      </c>
      <c r="K92" s="120">
        <f>K71/K64</f>
        <v>0.50116395078150977</v>
      </c>
      <c r="L92" s="121">
        <f t="shared" si="53"/>
        <v>0.51385390428211586</v>
      </c>
      <c r="M92" s="121">
        <f t="shared" si="53"/>
        <v>0.48735777496839444</v>
      </c>
      <c r="N92" s="121">
        <f t="shared" si="53"/>
        <v>0.4212624584717608</v>
      </c>
      <c r="O92" s="121">
        <f t="shared" si="53"/>
        <v>0.489247311827957</v>
      </c>
      <c r="P92" s="120">
        <f t="shared" si="53"/>
        <v>0.47881556150574894</v>
      </c>
      <c r="Q92" s="121">
        <f t="shared" si="53"/>
        <v>0.46778350515463918</v>
      </c>
      <c r="R92" s="121">
        <f t="shared" si="53"/>
        <v>0.45340050377833752</v>
      </c>
      <c r="S92" s="121">
        <f t="shared" si="53"/>
        <v>0.33281127642913078</v>
      </c>
      <c r="T92" s="121">
        <f t="shared" si="53"/>
        <v>0.21809954751131222</v>
      </c>
      <c r="U92" s="120">
        <f t="shared" si="53"/>
        <v>0.38247011952191234</v>
      </c>
      <c r="V92" s="121">
        <f t="shared" si="53"/>
        <v>0.2404692082111437</v>
      </c>
      <c r="W92" s="121">
        <f>W71/W64</f>
        <v>7.3232323232323232E-2</v>
      </c>
      <c r="X92" s="121">
        <f>X71/X64</f>
        <v>-9.012875536480687E-2</v>
      </c>
      <c r="Y92" s="121">
        <f>Y71/Y64</f>
        <v>4.1811846689895474E-2</v>
      </c>
      <c r="Z92" s="120">
        <f>Z71/Z64</f>
        <v>8.2074074074074077E-2</v>
      </c>
      <c r="AA92" s="121">
        <f t="shared" ref="AA92:AL92" si="54">AA71/AA64</f>
        <v>0.18720152817574021</v>
      </c>
      <c r="AB92" s="121">
        <f t="shared" si="54"/>
        <v>0.20953237410071943</v>
      </c>
      <c r="AC92" s="121">
        <f t="shared" si="54"/>
        <v>0.17799796982248781</v>
      </c>
      <c r="AD92" s="121">
        <f t="shared" si="54"/>
        <v>0.17799796982248781</v>
      </c>
      <c r="AE92" s="120">
        <f t="shared" si="54"/>
        <v>0.1883482106651258</v>
      </c>
      <c r="AF92" s="120">
        <f t="shared" si="54"/>
        <v>0.1584148982793554</v>
      </c>
      <c r="AG92" s="120">
        <f t="shared" si="54"/>
        <v>0.12835828750361819</v>
      </c>
      <c r="AH92" s="120">
        <f t="shared" si="54"/>
        <v>0.1354448054913937</v>
      </c>
      <c r="AI92" s="120">
        <f t="shared" si="54"/>
        <v>0.1354448054913937</v>
      </c>
      <c r="AJ92" s="120">
        <f t="shared" si="54"/>
        <v>0.1354448054913937</v>
      </c>
      <c r="AK92" s="120">
        <f t="shared" si="54"/>
        <v>0.1354448054913937</v>
      </c>
      <c r="AL92" s="120">
        <f t="shared" si="54"/>
        <v>0.1354448054913937</v>
      </c>
      <c r="AM92" s="83"/>
      <c r="AN92" s="83"/>
      <c r="AO92" s="83"/>
      <c r="CA92" s="477"/>
      <c r="CB92" s="478"/>
    </row>
    <row r="93" spans="2:80">
      <c r="B93" s="83"/>
      <c r="C93" s="83"/>
      <c r="D93" s="83" t="s">
        <v>256</v>
      </c>
      <c r="E93" s="83"/>
      <c r="F93" s="83"/>
      <c r="G93" s="120">
        <f>G68/G69</f>
        <v>0.23245331616226658</v>
      </c>
      <c r="H93" s="120">
        <f t="shared" ref="H93:V93" si="55">H68/H69</f>
        <v>0.22769427566357531</v>
      </c>
      <c r="I93" s="120">
        <f t="shared" si="55"/>
        <v>0.2478062478062478</v>
      </c>
      <c r="J93" s="120">
        <f t="shared" si="55"/>
        <v>0.22712477396021699</v>
      </c>
      <c r="K93" s="120">
        <f t="shared" si="55"/>
        <v>0.23933333333333334</v>
      </c>
      <c r="L93" s="121">
        <f t="shared" si="55"/>
        <v>0.2422279792746114</v>
      </c>
      <c r="M93" s="121">
        <f t="shared" si="55"/>
        <v>0.22934648581997533</v>
      </c>
      <c r="N93" s="121">
        <f t="shared" si="55"/>
        <v>0.20206659012629161</v>
      </c>
      <c r="O93" s="121">
        <f t="shared" si="55"/>
        <v>0.21169590643274855</v>
      </c>
      <c r="P93" s="120">
        <f t="shared" si="55"/>
        <v>0.2206104563312179</v>
      </c>
      <c r="Q93" s="121">
        <f t="shared" si="55"/>
        <v>0.2215496368038741</v>
      </c>
      <c r="R93" s="121">
        <f t="shared" si="55"/>
        <v>0.22926267281105991</v>
      </c>
      <c r="S93" s="121">
        <f t="shared" si="55"/>
        <v>0.23826291079812206</v>
      </c>
      <c r="T93" s="121">
        <f t="shared" si="55"/>
        <v>0.23958333333333334</v>
      </c>
      <c r="U93" s="120">
        <f t="shared" si="55"/>
        <v>0.23225806451612904</v>
      </c>
      <c r="V93" s="121">
        <f t="shared" si="55"/>
        <v>0.22522522522522523</v>
      </c>
      <c r="W93" s="121">
        <f>W68/W69</f>
        <v>0.22070844686648503</v>
      </c>
      <c r="X93" s="121">
        <f>X68/X69</f>
        <v>0.24015748031496062</v>
      </c>
      <c r="Y93" s="121">
        <f>Y68/Y69</f>
        <v>0.25696969696969696</v>
      </c>
      <c r="Z93" s="120">
        <f>Z68/Z69</f>
        <v>0.23628147191736604</v>
      </c>
      <c r="AA93" s="121">
        <f t="shared" ref="AA93:AL93" si="56">AA68/AA69</f>
        <v>0.25381903642773207</v>
      </c>
      <c r="AB93" s="121">
        <f t="shared" si="56"/>
        <v>0.25483503981797495</v>
      </c>
      <c r="AC93" s="121">
        <f t="shared" si="56"/>
        <v>0.21886792452830189</v>
      </c>
      <c r="AD93" s="121">
        <f t="shared" si="56"/>
        <v>0.21886792452830187</v>
      </c>
      <c r="AE93" s="120">
        <f t="shared" si="56"/>
        <v>0.23637141634574238</v>
      </c>
      <c r="AF93" s="120">
        <f t="shared" si="56"/>
        <v>0.21886792452830189</v>
      </c>
      <c r="AG93" s="120">
        <f t="shared" si="56"/>
        <v>0.21886792452830189</v>
      </c>
      <c r="AH93" s="120">
        <f t="shared" si="56"/>
        <v>0.21886792452830189</v>
      </c>
      <c r="AI93" s="120">
        <f t="shared" si="56"/>
        <v>0.21886792452830189</v>
      </c>
      <c r="AJ93" s="120">
        <f t="shared" si="56"/>
        <v>0.21886792452830189</v>
      </c>
      <c r="AK93" s="120">
        <f t="shared" si="56"/>
        <v>0.21886792452830189</v>
      </c>
      <c r="AL93" s="120">
        <f t="shared" si="56"/>
        <v>0.21886792452830189</v>
      </c>
      <c r="AM93" s="83"/>
      <c r="AN93" s="83"/>
      <c r="AO93" s="83"/>
      <c r="CA93" s="477"/>
      <c r="CB93" s="478"/>
    </row>
    <row r="94" spans="2:80">
      <c r="B94" s="83"/>
      <c r="C94" s="83"/>
      <c r="D94" s="89"/>
      <c r="E94" s="89"/>
      <c r="F94" s="83"/>
      <c r="G94" s="90"/>
      <c r="H94" s="90"/>
      <c r="I94" s="90"/>
      <c r="J94" s="90"/>
      <c r="K94" s="90"/>
      <c r="L94" s="91"/>
      <c r="M94" s="91"/>
      <c r="N94" s="91"/>
      <c r="O94" s="91"/>
      <c r="P94" s="90"/>
      <c r="Q94" s="91"/>
      <c r="R94" s="91"/>
      <c r="S94" s="91"/>
      <c r="T94" s="91"/>
      <c r="U94" s="90"/>
      <c r="V94" s="743"/>
      <c r="W94" s="743"/>
      <c r="X94" s="743"/>
      <c r="Y94" s="743"/>
      <c r="Z94" s="306"/>
      <c r="AA94" s="307"/>
      <c r="AB94" s="307"/>
      <c r="AC94" s="307"/>
      <c r="AD94" s="307"/>
      <c r="AE94" s="306"/>
      <c r="AF94" s="306"/>
      <c r="AG94" s="306"/>
      <c r="AH94" s="92"/>
      <c r="AI94" s="92"/>
      <c r="AJ94" s="83"/>
      <c r="AK94" s="83"/>
      <c r="AL94" s="83"/>
      <c r="AM94" s="83"/>
      <c r="AN94" s="83"/>
      <c r="AO94" s="83"/>
      <c r="CA94" s="477"/>
      <c r="CB94" s="478"/>
    </row>
    <row r="95" spans="2:80">
      <c r="B95" s="83"/>
      <c r="C95" s="83"/>
      <c r="D95" s="89"/>
      <c r="E95" s="89"/>
      <c r="F95" s="83"/>
      <c r="G95" s="90"/>
      <c r="H95" s="90"/>
      <c r="I95" s="90"/>
      <c r="J95" s="90"/>
      <c r="K95" s="90"/>
      <c r="L95" s="91"/>
      <c r="M95" s="91"/>
      <c r="N95" s="91"/>
      <c r="O95" s="91"/>
      <c r="P95" s="90"/>
      <c r="Q95" s="91"/>
      <c r="R95" s="91"/>
      <c r="S95" s="91"/>
      <c r="T95" s="91"/>
      <c r="U95" s="90"/>
      <c r="V95" s="91"/>
      <c r="W95" s="307"/>
      <c r="X95" s="307"/>
      <c r="Y95" s="307"/>
      <c r="Z95" s="92"/>
      <c r="AA95" s="99"/>
      <c r="AB95" s="99"/>
      <c r="AC95" s="99"/>
      <c r="AD95" s="99"/>
      <c r="AE95" s="92"/>
      <c r="AF95" s="92"/>
      <c r="AG95" s="92"/>
      <c r="AH95" s="92"/>
      <c r="AI95" s="92"/>
      <c r="AJ95" s="83"/>
      <c r="AK95" s="83"/>
      <c r="AL95" s="83"/>
      <c r="AM95" s="83"/>
      <c r="AN95" s="83"/>
      <c r="AO95" s="83"/>
      <c r="CA95" s="477"/>
      <c r="CB95" s="478"/>
    </row>
    <row r="96" spans="2:80">
      <c r="D96" s="757" t="s">
        <v>218</v>
      </c>
      <c r="E96" s="757"/>
      <c r="F96" s="174"/>
      <c r="G96" s="454"/>
      <c r="H96" s="454"/>
      <c r="I96" s="454"/>
      <c r="J96" s="454"/>
      <c r="K96" s="454"/>
      <c r="L96" s="455"/>
      <c r="M96" s="455"/>
      <c r="N96" s="455"/>
      <c r="O96" s="455"/>
      <c r="P96" s="454"/>
      <c r="Q96" s="455"/>
      <c r="R96" s="455"/>
      <c r="S96" s="455"/>
      <c r="T96" s="455"/>
      <c r="U96" s="454"/>
      <c r="V96" s="455"/>
      <c r="W96" s="455"/>
      <c r="X96" s="455"/>
      <c r="Y96" s="455"/>
      <c r="Z96" s="454"/>
      <c r="AA96" s="455"/>
      <c r="AB96" s="1205"/>
      <c r="AC96" s="455"/>
      <c r="AD96" s="455"/>
      <c r="AE96" s="454"/>
      <c r="AF96" s="454"/>
      <c r="AG96" s="758"/>
      <c r="AH96" s="758"/>
      <c r="AI96" s="758"/>
      <c r="AJ96" s="174"/>
      <c r="AK96" s="174"/>
      <c r="AL96" s="174"/>
      <c r="AM96" s="174"/>
      <c r="AN96" s="174"/>
      <c r="AO96" s="174"/>
      <c r="AP96" s="454"/>
      <c r="CA96" s="477"/>
      <c r="CB96" s="478"/>
    </row>
    <row r="97" spans="2:80">
      <c r="D97" s="83" t="s">
        <v>253</v>
      </c>
      <c r="E97" s="83"/>
      <c r="G97" s="90"/>
      <c r="H97" s="90"/>
      <c r="I97" s="90"/>
      <c r="J97" s="90">
        <v>38</v>
      </c>
      <c r="K97" s="90">
        <v>112</v>
      </c>
      <c r="L97" s="91">
        <v>72</v>
      </c>
      <c r="M97" s="91">
        <v>23</v>
      </c>
      <c r="N97" s="91">
        <v>52</v>
      </c>
      <c r="O97" s="91">
        <f>P97-L97-M97-N97</f>
        <v>85</v>
      </c>
      <c r="P97" s="90">
        <v>232</v>
      </c>
      <c r="Q97" s="91">
        <v>81</v>
      </c>
      <c r="R97" s="91">
        <v>89</v>
      </c>
      <c r="S97" s="91">
        <v>90</v>
      </c>
      <c r="T97" s="91">
        <v>143</v>
      </c>
      <c r="U97" s="90">
        <v>403</v>
      </c>
      <c r="V97" s="91">
        <v>102</v>
      </c>
      <c r="W97" s="91">
        <v>136</v>
      </c>
      <c r="X97" s="91">
        <v>188</v>
      </c>
      <c r="Y97" s="91">
        <f>Z97-V97-W97-X97</f>
        <v>145</v>
      </c>
      <c r="Z97" s="90">
        <v>571</v>
      </c>
      <c r="AA97" s="1013">
        <f>AE97/4</f>
        <v>107.5</v>
      </c>
      <c r="AB97" s="706">
        <v>83</v>
      </c>
      <c r="AC97" s="97">
        <f>(AE97-AA97-AB97)/2</f>
        <v>119.75</v>
      </c>
      <c r="AD97" s="97">
        <f>AE97-AA97-AB97-AC97</f>
        <v>119.75</v>
      </c>
      <c r="AE97" s="1190">
        <v>430</v>
      </c>
      <c r="AF97" s="958">
        <v>500</v>
      </c>
      <c r="AG97" s="958">
        <v>500</v>
      </c>
      <c r="AH97" s="958">
        <v>500</v>
      </c>
      <c r="AI97" s="958">
        <v>500</v>
      </c>
      <c r="AJ97" s="958">
        <v>500</v>
      </c>
      <c r="AK97" s="958">
        <f>(((AK54*1000000)/2204.6)*6)/100</f>
        <v>721.21926880159674</v>
      </c>
      <c r="AL97" s="958">
        <f>(((AL54*1000000)/2204.6)*6)/100</f>
        <v>721.21926880159674</v>
      </c>
      <c r="AM97" s="83"/>
      <c r="AN97" s="83"/>
      <c r="AO97" s="83"/>
      <c r="CA97" s="477"/>
      <c r="CB97" s="478"/>
    </row>
    <row r="98" spans="2:80">
      <c r="D98" s="83" t="s">
        <v>254</v>
      </c>
      <c r="E98" s="83"/>
      <c r="G98" s="90"/>
      <c r="H98" s="90"/>
      <c r="I98" s="90"/>
      <c r="J98" s="90">
        <v>33</v>
      </c>
      <c r="K98" s="90">
        <v>55</v>
      </c>
      <c r="L98" s="91">
        <v>31</v>
      </c>
      <c r="M98" s="91">
        <v>34</v>
      </c>
      <c r="N98" s="91">
        <v>68</v>
      </c>
      <c r="O98" s="91">
        <f>P98-L98-M98-N98</f>
        <v>97</v>
      </c>
      <c r="P98" s="90">
        <v>230</v>
      </c>
      <c r="Q98" s="91">
        <v>59</v>
      </c>
      <c r="R98" s="91">
        <v>68</v>
      </c>
      <c r="S98" s="91">
        <v>94</v>
      </c>
      <c r="T98" s="91">
        <v>126</v>
      </c>
      <c r="U98" s="90">
        <v>347</v>
      </c>
      <c r="V98" s="91">
        <v>115</v>
      </c>
      <c r="W98" s="91">
        <v>86</v>
      </c>
      <c r="X98" s="91">
        <v>28</v>
      </c>
      <c r="Y98" s="91">
        <f>Z98-V98-W98-X98</f>
        <v>182</v>
      </c>
      <c r="Z98" s="90">
        <v>411</v>
      </c>
      <c r="AA98" s="1013">
        <f>AE98/4</f>
        <v>97.5</v>
      </c>
      <c r="AB98" s="706">
        <v>238</v>
      </c>
      <c r="AC98" s="97">
        <f>(AE98-AA98-AB98)/2</f>
        <v>27.25</v>
      </c>
      <c r="AD98" s="97">
        <f>AE98-AA98-AB98-AC98</f>
        <v>27.25</v>
      </c>
      <c r="AE98" s="1190">
        <v>390</v>
      </c>
      <c r="AF98" s="958">
        <f>$AE$98</f>
        <v>390</v>
      </c>
      <c r="AG98" s="958">
        <f t="shared" ref="AG98:AL98" si="57">$AF$98</f>
        <v>390</v>
      </c>
      <c r="AH98" s="958">
        <f t="shared" si="57"/>
        <v>390</v>
      </c>
      <c r="AI98" s="958">
        <f t="shared" si="57"/>
        <v>390</v>
      </c>
      <c r="AJ98" s="958">
        <f t="shared" si="57"/>
        <v>390</v>
      </c>
      <c r="AK98" s="958">
        <f t="shared" si="57"/>
        <v>390</v>
      </c>
      <c r="AL98" s="958">
        <f t="shared" si="57"/>
        <v>390</v>
      </c>
      <c r="AM98" s="83"/>
      <c r="AN98" s="83"/>
      <c r="AO98" s="83"/>
      <c r="CA98" s="477"/>
      <c r="CB98" s="478"/>
    </row>
    <row r="99" spans="2:80">
      <c r="D99" s="83" t="s">
        <v>255</v>
      </c>
      <c r="E99" s="83"/>
      <c r="G99" s="90"/>
      <c r="H99" s="90"/>
      <c r="I99" s="90"/>
      <c r="J99" s="90"/>
      <c r="K99" s="90"/>
      <c r="L99" s="91">
        <v>0</v>
      </c>
      <c r="M99" s="91"/>
      <c r="N99" s="91"/>
      <c r="O99" s="91"/>
      <c r="P99" s="90">
        <v>0</v>
      </c>
      <c r="Q99" s="91">
        <v>0</v>
      </c>
      <c r="R99" s="91">
        <f>Q99</f>
        <v>0</v>
      </c>
      <c r="S99" s="91">
        <f>R99</f>
        <v>0</v>
      </c>
      <c r="T99" s="91">
        <f>S99</f>
        <v>0</v>
      </c>
      <c r="U99" s="90">
        <v>0</v>
      </c>
      <c r="V99" s="91">
        <v>0</v>
      </c>
      <c r="W99" s="91">
        <v>0</v>
      </c>
      <c r="X99" s="91">
        <v>0</v>
      </c>
      <c r="Y99" s="91">
        <f>Z99-V99-W99-X99</f>
        <v>0</v>
      </c>
      <c r="Z99" s="90">
        <v>0</v>
      </c>
      <c r="AA99" s="1013">
        <f>AE99/4</f>
        <v>0</v>
      </c>
      <c r="AB99" s="706">
        <f>(AE99-AA99)/3</f>
        <v>0</v>
      </c>
      <c r="AC99" s="97">
        <f>(AE99-AA99-AB99)/2</f>
        <v>0</v>
      </c>
      <c r="AD99" s="97">
        <f>AE99-AA99-AB99-AC99</f>
        <v>0</v>
      </c>
      <c r="AE99" s="1190">
        <f>$Z$99</f>
        <v>0</v>
      </c>
      <c r="AF99" s="958">
        <f t="shared" ref="AF99:AL99" si="58">$Z$99</f>
        <v>0</v>
      </c>
      <c r="AG99" s="958">
        <f>$Z$99</f>
        <v>0</v>
      </c>
      <c r="AH99" s="958">
        <f t="shared" si="58"/>
        <v>0</v>
      </c>
      <c r="AI99" s="958">
        <f t="shared" si="58"/>
        <v>0</v>
      </c>
      <c r="AJ99" s="958">
        <f t="shared" si="58"/>
        <v>0</v>
      </c>
      <c r="AK99" s="958">
        <f t="shared" si="58"/>
        <v>0</v>
      </c>
      <c r="AL99" s="958">
        <f t="shared" si="58"/>
        <v>0</v>
      </c>
      <c r="AM99" s="83"/>
      <c r="AN99" s="83"/>
      <c r="AO99" s="83"/>
      <c r="CA99" s="477"/>
      <c r="CB99" s="478"/>
    </row>
    <row r="100" spans="2:80">
      <c r="B100" s="130" t="s">
        <v>64</v>
      </c>
      <c r="C100" s="131" t="s">
        <v>65</v>
      </c>
      <c r="D100" s="129" t="s">
        <v>767</v>
      </c>
      <c r="E100" s="129"/>
      <c r="F100" s="83"/>
      <c r="G100" s="130">
        <v>475</v>
      </c>
      <c r="H100" s="130">
        <v>235</v>
      </c>
      <c r="I100" s="130">
        <v>97</v>
      </c>
      <c r="J100" s="130">
        <v>71</v>
      </c>
      <c r="K100" s="130">
        <v>167</v>
      </c>
      <c r="L100" s="97">
        <v>98</v>
      </c>
      <c r="M100" s="97">
        <v>48</v>
      </c>
      <c r="N100" s="97">
        <f>SUM(N97:N98)</f>
        <v>120</v>
      </c>
      <c r="O100" s="97">
        <f>P100-L100-M100-N100</f>
        <v>196</v>
      </c>
      <c r="P100" s="130">
        <v>462</v>
      </c>
      <c r="Q100" s="97">
        <v>140</v>
      </c>
      <c r="R100" s="97">
        <v>157</v>
      </c>
      <c r="S100" s="97">
        <f>SUM(S97:S98)</f>
        <v>184</v>
      </c>
      <c r="T100" s="97">
        <f t="shared" ref="T100:AE100" si="59">SUM(T97:T99)</f>
        <v>269</v>
      </c>
      <c r="U100" s="130">
        <f t="shared" si="59"/>
        <v>750</v>
      </c>
      <c r="V100" s="97">
        <f t="shared" si="59"/>
        <v>217</v>
      </c>
      <c r="W100" s="97">
        <f>SUM(W97:W99)</f>
        <v>222</v>
      </c>
      <c r="X100" s="97">
        <f t="shared" si="59"/>
        <v>216</v>
      </c>
      <c r="Y100" s="97">
        <f>Z100-V100-W100-X100</f>
        <v>327</v>
      </c>
      <c r="Z100" s="130">
        <f t="shared" si="59"/>
        <v>982</v>
      </c>
      <c r="AA100" s="97">
        <f t="shared" si="59"/>
        <v>205</v>
      </c>
      <c r="AB100" s="97">
        <f t="shared" si="59"/>
        <v>321</v>
      </c>
      <c r="AC100" s="97">
        <f t="shared" si="59"/>
        <v>147</v>
      </c>
      <c r="AD100" s="97">
        <f t="shared" si="59"/>
        <v>147</v>
      </c>
      <c r="AE100" s="94">
        <f t="shared" si="59"/>
        <v>820</v>
      </c>
      <c r="AF100" s="94">
        <f t="shared" ref="AF100:AL100" si="60">SUM(AF97:AF99)</f>
        <v>890</v>
      </c>
      <c r="AG100" s="94">
        <f t="shared" si="60"/>
        <v>890</v>
      </c>
      <c r="AH100" s="94">
        <f t="shared" si="60"/>
        <v>890</v>
      </c>
      <c r="AI100" s="94">
        <f t="shared" si="60"/>
        <v>890</v>
      </c>
      <c r="AJ100" s="94">
        <f t="shared" si="60"/>
        <v>890</v>
      </c>
      <c r="AK100" s="94">
        <f t="shared" si="60"/>
        <v>1111.2192688015966</v>
      </c>
      <c r="AL100" s="94">
        <f t="shared" si="60"/>
        <v>1111.2192688015966</v>
      </c>
      <c r="AM100" s="83"/>
      <c r="AN100" s="83"/>
      <c r="AO100" s="83"/>
      <c r="CA100" s="477"/>
      <c r="CB100" s="478"/>
    </row>
    <row r="101" spans="2:80">
      <c r="B101" s="130" t="s">
        <v>64</v>
      </c>
      <c r="C101" s="131" t="s">
        <v>65</v>
      </c>
      <c r="D101" s="129" t="s">
        <v>148</v>
      </c>
      <c r="E101" s="129"/>
      <c r="F101" s="83"/>
      <c r="G101" s="90">
        <v>471</v>
      </c>
      <c r="H101" s="90">
        <v>443</v>
      </c>
      <c r="I101" s="90">
        <v>396</v>
      </c>
      <c r="J101" s="90">
        <v>277</v>
      </c>
      <c r="K101" s="90">
        <v>506</v>
      </c>
      <c r="L101" s="91">
        <v>149</v>
      </c>
      <c r="M101" s="91">
        <v>130</v>
      </c>
      <c r="N101" s="91">
        <f>N102-N100</f>
        <v>117</v>
      </c>
      <c r="O101" s="91">
        <f>P101-L101-M101-N101</f>
        <v>111</v>
      </c>
      <c r="P101" s="90">
        <v>507</v>
      </c>
      <c r="Q101" s="91">
        <v>143</v>
      </c>
      <c r="R101" s="91">
        <v>115</v>
      </c>
      <c r="S101" s="91">
        <f>S102-S100</f>
        <v>104</v>
      </c>
      <c r="T101" s="91">
        <v>81</v>
      </c>
      <c r="U101" s="90">
        <v>443</v>
      </c>
      <c r="V101" s="91">
        <v>119</v>
      </c>
      <c r="W101" s="91">
        <v>60</v>
      </c>
      <c r="X101" s="91">
        <v>62</v>
      </c>
      <c r="Y101" s="91">
        <f>Z101-V101-W101-X101</f>
        <v>61</v>
      </c>
      <c r="Z101" s="90">
        <v>302</v>
      </c>
      <c r="AA101" s="711">
        <v>83</v>
      </c>
      <c r="AB101" s="97">
        <v>114</v>
      </c>
      <c r="AC101" s="97">
        <f>(AE101-AA101-AB101)/2</f>
        <v>49</v>
      </c>
      <c r="AD101" s="97">
        <f>AE101-AA101-AB101-AC101</f>
        <v>49</v>
      </c>
      <c r="AE101" s="1190">
        <v>295</v>
      </c>
      <c r="AF101" s="958">
        <f t="shared" ref="AF101:AL101" si="61">$Z$101</f>
        <v>302</v>
      </c>
      <c r="AG101" s="958">
        <f t="shared" si="61"/>
        <v>302</v>
      </c>
      <c r="AH101" s="958">
        <f t="shared" si="61"/>
        <v>302</v>
      </c>
      <c r="AI101" s="958">
        <f t="shared" si="61"/>
        <v>302</v>
      </c>
      <c r="AJ101" s="958">
        <f t="shared" si="61"/>
        <v>302</v>
      </c>
      <c r="AK101" s="958">
        <f t="shared" si="61"/>
        <v>302</v>
      </c>
      <c r="AL101" s="958">
        <f t="shared" si="61"/>
        <v>302</v>
      </c>
      <c r="AM101" s="83"/>
      <c r="AN101" s="83"/>
      <c r="AO101" s="83"/>
      <c r="CA101" s="477"/>
      <c r="CB101" s="478"/>
    </row>
    <row r="102" spans="2:80">
      <c r="B102" s="130" t="s">
        <v>64</v>
      </c>
      <c r="C102" s="131" t="s">
        <v>65</v>
      </c>
      <c r="D102" s="183" t="s">
        <v>181</v>
      </c>
      <c r="E102" s="747"/>
      <c r="F102" s="103"/>
      <c r="G102" s="184">
        <f t="shared" ref="G102:R102" si="62">SUM(G100:G101)</f>
        <v>946</v>
      </c>
      <c r="H102" s="184">
        <f t="shared" si="62"/>
        <v>678</v>
      </c>
      <c r="I102" s="184">
        <f t="shared" si="62"/>
        <v>493</v>
      </c>
      <c r="J102" s="184">
        <f>SUM(J100:J101)</f>
        <v>348</v>
      </c>
      <c r="K102" s="184">
        <f t="shared" si="62"/>
        <v>673</v>
      </c>
      <c r="L102" s="106">
        <f t="shared" si="62"/>
        <v>247</v>
      </c>
      <c r="M102" s="106">
        <f t="shared" si="62"/>
        <v>178</v>
      </c>
      <c r="N102" s="106">
        <v>237</v>
      </c>
      <c r="O102" s="106">
        <f>P102-L102-M102-N102</f>
        <v>307</v>
      </c>
      <c r="P102" s="184">
        <f>SUM(P100:P101)</f>
        <v>969</v>
      </c>
      <c r="Q102" s="106">
        <f t="shared" si="62"/>
        <v>283</v>
      </c>
      <c r="R102" s="106">
        <f t="shared" si="62"/>
        <v>272</v>
      </c>
      <c r="S102" s="106">
        <v>288</v>
      </c>
      <c r="T102" s="106">
        <v>354</v>
      </c>
      <c r="U102" s="184">
        <f t="shared" ref="U102:AD102" si="63">SUM(U100:U101)</f>
        <v>1193</v>
      </c>
      <c r="V102" s="106">
        <f t="shared" si="63"/>
        <v>336</v>
      </c>
      <c r="W102" s="106">
        <f t="shared" si="63"/>
        <v>282</v>
      </c>
      <c r="X102" s="106">
        <f t="shared" si="63"/>
        <v>278</v>
      </c>
      <c r="Y102" s="106">
        <v>370</v>
      </c>
      <c r="Z102" s="184">
        <v>1284</v>
      </c>
      <c r="AA102" s="106">
        <f t="shared" si="63"/>
        <v>288</v>
      </c>
      <c r="AB102" s="106">
        <f t="shared" si="63"/>
        <v>435</v>
      </c>
      <c r="AC102" s="106">
        <f t="shared" si="63"/>
        <v>196</v>
      </c>
      <c r="AD102" s="106">
        <f t="shared" si="63"/>
        <v>196</v>
      </c>
      <c r="AE102" s="184">
        <f t="shared" ref="AE102:AL102" si="64">SUM(AE100:AE101)</f>
        <v>1115</v>
      </c>
      <c r="AF102" s="184">
        <f t="shared" si="64"/>
        <v>1192</v>
      </c>
      <c r="AG102" s="184">
        <f t="shared" si="64"/>
        <v>1192</v>
      </c>
      <c r="AH102" s="184">
        <f t="shared" si="64"/>
        <v>1192</v>
      </c>
      <c r="AI102" s="184">
        <f t="shared" si="64"/>
        <v>1192</v>
      </c>
      <c r="AJ102" s="184">
        <f t="shared" si="64"/>
        <v>1192</v>
      </c>
      <c r="AK102" s="184">
        <f t="shared" si="64"/>
        <v>1413.2192688015966</v>
      </c>
      <c r="AL102" s="184">
        <f t="shared" si="64"/>
        <v>1413.2192688015966</v>
      </c>
      <c r="AM102" s="103"/>
      <c r="AN102" s="103"/>
      <c r="AO102" s="103"/>
      <c r="AP102" s="746"/>
      <c r="CA102" s="477"/>
      <c r="CB102" s="478"/>
    </row>
    <row r="103" spans="2:80">
      <c r="B103" s="130"/>
      <c r="C103" s="131"/>
      <c r="D103" s="136"/>
      <c r="E103" s="136"/>
      <c r="F103" s="136"/>
      <c r="G103" s="137"/>
      <c r="H103" s="137"/>
      <c r="I103" s="138"/>
      <c r="J103" s="138"/>
      <c r="K103" s="138"/>
      <c r="L103" s="139"/>
      <c r="M103" s="139"/>
      <c r="N103" s="139"/>
      <c r="O103" s="139"/>
      <c r="P103" s="138"/>
      <c r="Q103" s="139"/>
      <c r="R103" s="139"/>
      <c r="S103" s="139"/>
      <c r="T103" s="139"/>
      <c r="U103" s="138"/>
      <c r="V103" s="139"/>
      <c r="W103" s="983"/>
      <c r="X103" s="983"/>
      <c r="Y103" s="983"/>
      <c r="Z103" s="134"/>
      <c r="AA103" s="985"/>
      <c r="AB103" s="985"/>
      <c r="AC103" s="985"/>
      <c r="AD103" s="985"/>
      <c r="AE103" s="134"/>
      <c r="AF103" s="310">
        <f>AF83-AF100</f>
        <v>346.4364999999998</v>
      </c>
      <c r="AG103" s="310">
        <f t="shared" ref="AG103:AL103" si="65">AG83-AG100</f>
        <v>202.56800000000021</v>
      </c>
      <c r="AH103" s="310">
        <f t="shared" si="65"/>
        <v>235.58700000000044</v>
      </c>
      <c r="AI103" s="310">
        <f t="shared" si="65"/>
        <v>235.58700000000044</v>
      </c>
      <c r="AJ103" s="310">
        <f t="shared" si="65"/>
        <v>235.58700000000044</v>
      </c>
      <c r="AK103" s="310">
        <f t="shared" si="65"/>
        <v>14.367731198403817</v>
      </c>
      <c r="AL103" s="310">
        <f t="shared" si="65"/>
        <v>14.367731198403817</v>
      </c>
      <c r="AM103" s="83"/>
      <c r="AN103" s="83"/>
      <c r="AO103" s="83"/>
      <c r="CA103" s="477"/>
      <c r="CB103" s="478"/>
    </row>
    <row r="104" spans="2:80">
      <c r="B104" s="130"/>
      <c r="C104" s="131"/>
      <c r="D104" s="136"/>
      <c r="E104" s="136"/>
      <c r="F104" s="136"/>
      <c r="G104" s="137"/>
      <c r="H104" s="137"/>
      <c r="I104" s="138"/>
      <c r="J104" s="138"/>
      <c r="K104" s="138"/>
      <c r="L104" s="139"/>
      <c r="M104" s="139"/>
      <c r="N104" s="139"/>
      <c r="O104" s="139"/>
      <c r="P104" s="138"/>
      <c r="Q104" s="139"/>
      <c r="R104" s="139"/>
      <c r="S104" s="139"/>
      <c r="T104" s="139"/>
      <c r="U104" s="138"/>
      <c r="V104" s="139"/>
      <c r="W104" s="983"/>
      <c r="X104" s="983"/>
      <c r="Y104" s="983"/>
      <c r="Z104" s="134"/>
      <c r="AA104" s="985"/>
      <c r="AB104" s="985"/>
      <c r="AC104" s="985"/>
      <c r="AD104" s="985"/>
      <c r="AE104" s="134"/>
      <c r="AF104" s="134"/>
      <c r="AG104" s="92"/>
      <c r="AH104" s="92"/>
      <c r="AI104" s="92"/>
      <c r="AJ104" s="83"/>
      <c r="AK104" s="83"/>
      <c r="AL104" s="83"/>
      <c r="AM104" s="83"/>
      <c r="AN104" s="83"/>
      <c r="AO104" s="83"/>
      <c r="CA104" s="477"/>
      <c r="CB104" s="478"/>
    </row>
    <row r="105" spans="2:80">
      <c r="B105" s="83"/>
      <c r="C105" s="83"/>
      <c r="D105" s="757" t="s">
        <v>219</v>
      </c>
      <c r="E105" s="757"/>
      <c r="F105" s="174"/>
      <c r="G105" s="454"/>
      <c r="H105" s="454"/>
      <c r="I105" s="454"/>
      <c r="J105" s="454"/>
      <c r="K105" s="454"/>
      <c r="L105" s="455"/>
      <c r="M105" s="455"/>
      <c r="N105" s="455"/>
      <c r="O105" s="455"/>
      <c r="P105" s="454"/>
      <c r="Q105" s="455"/>
      <c r="R105" s="455"/>
      <c r="S105" s="455"/>
      <c r="T105" s="455"/>
      <c r="U105" s="454"/>
      <c r="V105" s="455"/>
      <c r="W105" s="455"/>
      <c r="X105" s="455"/>
      <c r="Y105" s="455"/>
      <c r="Z105" s="454"/>
      <c r="AA105" s="455"/>
      <c r="AB105" s="455"/>
      <c r="AC105" s="455"/>
      <c r="AD105" s="455"/>
      <c r="AE105" s="454"/>
      <c r="AF105" s="454"/>
      <c r="AG105" s="758"/>
      <c r="AH105" s="758"/>
      <c r="AI105" s="758"/>
      <c r="AJ105" s="174"/>
      <c r="AK105" s="174"/>
      <c r="AL105" s="174"/>
      <c r="AM105" s="174"/>
      <c r="AN105" s="174"/>
      <c r="AO105" s="174"/>
      <c r="AP105" s="454"/>
      <c r="CA105" s="477"/>
      <c r="CB105" s="478"/>
    </row>
    <row r="106" spans="2:80">
      <c r="B106" s="83"/>
      <c r="C106" s="83"/>
      <c r="D106" s="83" t="s">
        <v>212</v>
      </c>
      <c r="E106" s="83"/>
      <c r="F106" s="83"/>
      <c r="G106" s="142">
        <f t="shared" ref="G106:AL106" si="66">G74/G1272</f>
        <v>0.48741188318227591</v>
      </c>
      <c r="H106" s="142">
        <f t="shared" si="66"/>
        <v>0.16555661274976213</v>
      </c>
      <c r="I106" s="142">
        <f t="shared" si="66"/>
        <v>0.6461327857631759</v>
      </c>
      <c r="J106" s="142">
        <f t="shared" si="66"/>
        <v>0.75652173913043474</v>
      </c>
      <c r="K106" s="142">
        <f t="shared" si="66"/>
        <v>0.73097635214235546</v>
      </c>
      <c r="L106" s="142">
        <f t="shared" si="66"/>
        <v>0.66040816326530616</v>
      </c>
      <c r="M106" s="142">
        <f t="shared" si="66"/>
        <v>0.69366852886405961</v>
      </c>
      <c r="N106" s="142">
        <f t="shared" si="66"/>
        <v>0.37120761451516954</v>
      </c>
      <c r="O106" s="142">
        <f t="shared" si="66"/>
        <v>0.97997496871088863</v>
      </c>
      <c r="P106" s="142">
        <f t="shared" si="66"/>
        <v>0.6197153620761825</v>
      </c>
      <c r="Q106" s="142">
        <f t="shared" si="66"/>
        <v>0.71951219512195119</v>
      </c>
      <c r="R106" s="142">
        <f t="shared" si="66"/>
        <v>0.79379274066280914</v>
      </c>
      <c r="S106" s="142">
        <f t="shared" si="66"/>
        <v>0.67037242912729289</v>
      </c>
      <c r="T106" s="142">
        <f t="shared" si="66"/>
        <v>-3.1988472622478385E-2</v>
      </c>
      <c r="U106" s="142">
        <f t="shared" si="66"/>
        <v>-11.246666666666666</v>
      </c>
      <c r="V106" s="143">
        <f t="shared" si="66"/>
        <v>-0.77142857142857146</v>
      </c>
      <c r="W106" s="143">
        <f t="shared" si="66"/>
        <v>-1.7341040462427744E-2</v>
      </c>
      <c r="X106" s="143">
        <f>X74/X1272</f>
        <v>-0.88288288288288286</v>
      </c>
      <c r="Y106" s="143">
        <f t="shared" ca="1" si="66"/>
        <v>0.4936523187391515</v>
      </c>
      <c r="Z106" s="142" t="e">
        <f ca="1">Z74/Z1272</f>
        <v>#VALUE!</v>
      </c>
      <c r="AA106" s="143">
        <f t="shared" ca="1" si="66"/>
        <v>0.49243652524679743</v>
      </c>
      <c r="AB106" s="143">
        <f t="shared" ca="1" si="66"/>
        <v>0.55534022592983923</v>
      </c>
      <c r="AC106" s="143">
        <f t="shared" ca="1" si="66"/>
        <v>0.45098033105098989</v>
      </c>
      <c r="AD106" s="143">
        <f t="shared" ca="1" si="66"/>
        <v>0.42583298500412298</v>
      </c>
      <c r="AE106" s="142">
        <f t="shared" ca="1" si="66"/>
        <v>0.47559541352727519</v>
      </c>
      <c r="AF106" s="142">
        <f t="shared" ca="1" si="66"/>
        <v>0.50356691686647159</v>
      </c>
      <c r="AG106" s="142">
        <f t="shared" ca="1" si="66"/>
        <v>0.43403334048562364</v>
      </c>
      <c r="AH106" s="142">
        <f t="shared" ca="1" si="66"/>
        <v>0.40412740777397471</v>
      </c>
      <c r="AI106" s="142">
        <f t="shared" ca="1" si="66"/>
        <v>0.37606567959846848</v>
      </c>
      <c r="AJ106" s="142">
        <f t="shared" ca="1" si="66"/>
        <v>0.36727169758970274</v>
      </c>
      <c r="AK106" s="142">
        <f t="shared" ca="1" si="66"/>
        <v>0.39004333675537117</v>
      </c>
      <c r="AL106" s="142">
        <f t="shared" ca="1" si="66"/>
        <v>0.39004333675537117</v>
      </c>
      <c r="AM106" s="83"/>
      <c r="AN106" s="83"/>
      <c r="AO106" s="83"/>
      <c r="CA106" s="477"/>
      <c r="CB106" s="478"/>
    </row>
    <row r="107" spans="2:80">
      <c r="B107" s="83"/>
      <c r="C107" s="83"/>
      <c r="D107" s="83" t="s">
        <v>257</v>
      </c>
      <c r="E107" s="83"/>
      <c r="F107" s="83"/>
      <c r="G107" s="142">
        <f t="shared" ref="G107:M107" si="67">(G100/G1545)/(G112/G1493)</f>
        <v>0.2581411157163942</v>
      </c>
      <c r="H107" s="142">
        <f t="shared" si="67"/>
        <v>0.33895301261897581</v>
      </c>
      <c r="I107" s="142">
        <f t="shared" si="67"/>
        <v>0.146461548694059</v>
      </c>
      <c r="J107" s="142">
        <f t="shared" si="67"/>
        <v>0.11994644451676972</v>
      </c>
      <c r="K107" s="142">
        <f t="shared" si="67"/>
        <v>0.25029389013311565</v>
      </c>
      <c r="L107" s="143">
        <f t="shared" si="67"/>
        <v>0.52579585549155861</v>
      </c>
      <c r="M107" s="143">
        <f t="shared" si="67"/>
        <v>0.35112880357727122</v>
      </c>
      <c r="N107" s="143">
        <f>(N100/N1545)/(N112/N1492)</f>
        <v>0.70272787081586152</v>
      </c>
      <c r="O107" s="143">
        <f t="shared" ref="O107:AL107" si="68">(O100/O1545)/(O112/O1493)</f>
        <v>0.73730629169878514</v>
      </c>
      <c r="P107" s="142">
        <f t="shared" si="68"/>
        <v>0.62004021832261802</v>
      </c>
      <c r="Q107" s="143">
        <f t="shared" si="68"/>
        <v>0.76184878254681787</v>
      </c>
      <c r="R107" s="143">
        <f t="shared" si="68"/>
        <v>0.67251422482239953</v>
      </c>
      <c r="S107" s="143">
        <f t="shared" si="68"/>
        <v>0.58061745513404606</v>
      </c>
      <c r="T107" s="143">
        <f t="shared" si="68"/>
        <v>0.75371161216380034</v>
      </c>
      <c r="U107" s="142">
        <f t="shared" si="68"/>
        <v>0.66170005424090705</v>
      </c>
      <c r="V107" s="143">
        <f t="shared" si="68"/>
        <v>0.64818276040953271</v>
      </c>
      <c r="W107" s="143">
        <f t="shared" si="68"/>
        <v>0.69196785827824736</v>
      </c>
      <c r="X107" s="143">
        <f t="shared" si="68"/>
        <v>0.76106272151376397</v>
      </c>
      <c r="Y107" s="143">
        <f t="shared" ca="1" si="68"/>
        <v>0.95012758438276324</v>
      </c>
      <c r="Z107" s="142">
        <f t="shared" ca="1" si="68"/>
        <v>0.77649186171627993</v>
      </c>
      <c r="AA107" s="143">
        <f t="shared" ca="1" si="68"/>
        <v>0.69978355776727919</v>
      </c>
      <c r="AB107" s="143">
        <f t="shared" ca="1" si="68"/>
        <v>0.69978355776727919</v>
      </c>
      <c r="AC107" s="143">
        <f t="shared" ca="1" si="68"/>
        <v>0.69978355776727919</v>
      </c>
      <c r="AD107" s="143">
        <f t="shared" ca="1" si="68"/>
        <v>0.69978355776727919</v>
      </c>
      <c r="AE107" s="142">
        <f t="shared" ca="1" si="68"/>
        <v>0.69978355776727919</v>
      </c>
      <c r="AF107" s="142">
        <f t="shared" ca="1" si="68"/>
        <v>1.4317260518493029</v>
      </c>
      <c r="AG107" s="142">
        <f t="shared" ca="1" si="68"/>
        <v>2.1435872745005464</v>
      </c>
      <c r="AH107" s="142">
        <f t="shared" ca="1" si="68"/>
        <v>2.0185100361159383</v>
      </c>
      <c r="AI107" s="142">
        <f t="shared" ca="1" si="68"/>
        <v>2.0369168587977691</v>
      </c>
      <c r="AJ107" s="142">
        <f t="shared" ca="1" si="68"/>
        <v>2.0462906150410451</v>
      </c>
      <c r="AK107" s="142">
        <f t="shared" ca="1" si="68"/>
        <v>2.3701702236664848</v>
      </c>
      <c r="AL107" s="142">
        <f t="shared" ca="1" si="68"/>
        <v>2.5693652587195408</v>
      </c>
      <c r="AM107" s="83"/>
      <c r="AN107" s="83"/>
      <c r="AO107" s="83"/>
      <c r="CA107" s="477"/>
      <c r="CB107" s="478"/>
    </row>
    <row r="108" spans="2:80">
      <c r="B108" s="83"/>
      <c r="C108" s="83"/>
      <c r="D108" s="103" t="s">
        <v>220</v>
      </c>
      <c r="E108" s="103"/>
      <c r="F108" s="103"/>
      <c r="G108" s="144">
        <f>G106/G107</f>
        <v>1.8881605970812074</v>
      </c>
      <c r="H108" s="144">
        <f t="shared" ref="H108:P108" si="69">H106/H107</f>
        <v>0.48843528921770579</v>
      </c>
      <c r="I108" s="144">
        <f t="shared" si="69"/>
        <v>4.4116206029807286</v>
      </c>
      <c r="J108" s="144">
        <f>J106/J107</f>
        <v>6.3071626856322975</v>
      </c>
      <c r="K108" s="144">
        <f t="shared" si="69"/>
        <v>2.9204722166953214</v>
      </c>
      <c r="L108" s="145">
        <f>L106/L107</f>
        <v>1.2560162967581792</v>
      </c>
      <c r="M108" s="145">
        <f>M106/M107</f>
        <v>1.9755386678535682</v>
      </c>
      <c r="N108" s="145">
        <f>N106/N107</f>
        <v>0.52823807042717752</v>
      </c>
      <c r="O108" s="145">
        <f>O106/O107</f>
        <v>1.3291287213255492</v>
      </c>
      <c r="P108" s="144">
        <f t="shared" si="69"/>
        <v>0.99947607229848034</v>
      </c>
      <c r="Q108" s="145">
        <f t="shared" ref="Q108:AL108" si="70">Q106/Q107</f>
        <v>0.94442914605266171</v>
      </c>
      <c r="R108" s="145">
        <f t="shared" si="70"/>
        <v>1.18033598601195</v>
      </c>
      <c r="S108" s="145">
        <f t="shared" si="70"/>
        <v>1.1545853869869023</v>
      </c>
      <c r="T108" s="145">
        <f t="shared" si="70"/>
        <v>-4.2441262820197195E-2</v>
      </c>
      <c r="U108" s="144">
        <f t="shared" si="70"/>
        <v>-16.996623461922916</v>
      </c>
      <c r="V108" s="145">
        <f t="shared" si="70"/>
        <v>-1.1901405260164124</v>
      </c>
      <c r="W108" s="145">
        <f t="shared" si="70"/>
        <v>-2.5060471024731808E-2</v>
      </c>
      <c r="X108" s="145">
        <f t="shared" si="70"/>
        <v>-1.1600658630694944</v>
      </c>
      <c r="Y108" s="145">
        <f t="shared" ca="1" si="70"/>
        <v>0.51956424258521627</v>
      </c>
      <c r="Z108" s="144">
        <f t="shared" ca="1" si="70"/>
        <v>-26.138153824946066</v>
      </c>
      <c r="AA108" s="145">
        <f t="shared" ca="1" si="70"/>
        <v>0.7036983361226139</v>
      </c>
      <c r="AB108" s="145">
        <f t="shared" ca="1" si="70"/>
        <v>0.79358856001375755</v>
      </c>
      <c r="AC108" s="145">
        <f t="shared" ca="1" si="70"/>
        <v>0.64445688391119416</v>
      </c>
      <c r="AD108" s="145">
        <f t="shared" ca="1" si="70"/>
        <v>0.60852099235195012</v>
      </c>
      <c r="AE108" s="144">
        <f t="shared" ca="1" si="70"/>
        <v>0.67963216375746816</v>
      </c>
      <c r="AF108" s="144">
        <f t="shared" ca="1" si="70"/>
        <v>0.35172016058242039</v>
      </c>
      <c r="AG108" s="144">
        <f t="shared" ca="1" si="70"/>
        <v>0.20247990163440066</v>
      </c>
      <c r="AH108" s="144">
        <f t="shared" ca="1" si="70"/>
        <v>0.20021074978235215</v>
      </c>
      <c r="AI108" s="144">
        <f t="shared" ca="1" si="70"/>
        <v>0.18462495313649194</v>
      </c>
      <c r="AJ108" s="144">
        <f t="shared" ca="1" si="70"/>
        <v>0.17948168988808849</v>
      </c>
      <c r="AK108" s="144">
        <f t="shared" ca="1" si="70"/>
        <v>0.16456342791784881</v>
      </c>
      <c r="AL108" s="144">
        <f t="shared" ca="1" si="70"/>
        <v>0.15180532835170027</v>
      </c>
      <c r="AM108" s="83"/>
      <c r="AN108" s="83"/>
      <c r="AO108" s="83"/>
      <c r="CA108" s="477"/>
      <c r="CB108" s="478"/>
    </row>
    <row r="109" spans="2:80">
      <c r="B109" s="83"/>
      <c r="C109" s="83"/>
      <c r="D109" s="83"/>
      <c r="E109" s="83"/>
      <c r="F109" s="83"/>
      <c r="G109" s="83"/>
      <c r="H109" s="83"/>
      <c r="I109" s="83"/>
      <c r="J109" s="83"/>
      <c r="K109" s="83"/>
      <c r="L109" s="140"/>
      <c r="M109" s="140"/>
      <c r="N109" s="140"/>
      <c r="O109" s="140"/>
      <c r="P109" s="83"/>
      <c r="Q109" s="140"/>
      <c r="R109" s="140"/>
      <c r="S109" s="140"/>
      <c r="T109" s="140"/>
      <c r="U109" s="83"/>
      <c r="V109" s="140"/>
      <c r="W109" s="140"/>
      <c r="X109" s="140"/>
      <c r="Y109" s="140"/>
      <c r="Z109" s="83"/>
      <c r="AA109" s="140"/>
      <c r="AB109" s="140"/>
      <c r="AC109" s="140"/>
      <c r="AD109" s="140"/>
      <c r="AE109" s="83"/>
      <c r="AF109" s="83"/>
      <c r="AG109" s="92"/>
      <c r="AH109" s="92"/>
      <c r="AI109" s="92"/>
      <c r="AJ109" s="83"/>
      <c r="AK109" s="83"/>
      <c r="AL109" s="83"/>
      <c r="AM109" s="83"/>
      <c r="AN109" s="83"/>
      <c r="AO109" s="83"/>
      <c r="CA109" s="477"/>
      <c r="CB109" s="478"/>
    </row>
    <row r="110" spans="2:80">
      <c r="B110" s="83"/>
      <c r="C110" s="83"/>
      <c r="D110" s="83"/>
      <c r="E110" s="83"/>
      <c r="F110" s="83"/>
      <c r="G110" s="83"/>
      <c r="H110" s="83"/>
      <c r="I110" s="83"/>
      <c r="J110" s="83"/>
      <c r="K110" s="83"/>
      <c r="L110" s="140"/>
      <c r="M110" s="140"/>
      <c r="N110" s="140"/>
      <c r="O110" s="140"/>
      <c r="P110" s="83"/>
      <c r="Q110" s="140"/>
      <c r="R110" s="140"/>
      <c r="S110" s="140"/>
      <c r="T110" s="140"/>
      <c r="U110" s="83"/>
      <c r="V110" s="140"/>
      <c r="W110" s="140"/>
      <c r="X110" s="140"/>
      <c r="Y110" s="140"/>
      <c r="Z110" s="83"/>
      <c r="AA110" s="140"/>
      <c r="AB110" s="140"/>
      <c r="AC110" s="140"/>
      <c r="AD110" s="140"/>
      <c r="AE110" s="83"/>
      <c r="AF110" s="83"/>
      <c r="AG110" s="92"/>
      <c r="AH110" s="92"/>
      <c r="AI110" s="92"/>
      <c r="AJ110" s="83"/>
      <c r="AK110" s="83"/>
      <c r="AL110" s="83"/>
      <c r="AM110" s="83"/>
      <c r="AN110" s="83"/>
      <c r="AO110" s="83"/>
      <c r="CA110" s="477"/>
      <c r="CB110" s="478"/>
    </row>
    <row r="111" spans="2:80">
      <c r="B111" s="83"/>
      <c r="C111" s="83"/>
      <c r="D111" s="757" t="s">
        <v>263</v>
      </c>
      <c r="E111" s="757"/>
      <c r="F111" s="174"/>
      <c r="G111" s="454"/>
      <c r="H111" s="454"/>
      <c r="I111" s="454"/>
      <c r="J111" s="454"/>
      <c r="K111" s="454"/>
      <c r="L111" s="455"/>
      <c r="M111" s="455"/>
      <c r="N111" s="455"/>
      <c r="O111" s="455"/>
      <c r="P111" s="454"/>
      <c r="Q111" s="455"/>
      <c r="R111" s="455"/>
      <c r="S111" s="455"/>
      <c r="T111" s="455"/>
      <c r="U111" s="454"/>
      <c r="V111" s="455"/>
      <c r="W111" s="455"/>
      <c r="X111" s="455"/>
      <c r="Y111" s="455"/>
      <c r="Z111" s="454"/>
      <c r="AA111" s="749"/>
      <c r="AB111" s="749"/>
      <c r="AC111" s="749"/>
      <c r="AD111" s="749"/>
      <c r="AE111" s="454"/>
      <c r="AF111" s="454"/>
      <c r="AG111" s="758"/>
      <c r="AH111" s="758"/>
      <c r="AI111" s="758"/>
      <c r="AJ111" s="174"/>
      <c r="AK111" s="174"/>
      <c r="AL111" s="174"/>
      <c r="AM111" s="174"/>
      <c r="AN111" s="174"/>
      <c r="AO111" s="174"/>
      <c r="AP111" s="454"/>
      <c r="CA111" s="477"/>
      <c r="CB111" s="478"/>
    </row>
    <row r="112" spans="2:80">
      <c r="B112" s="130" t="s">
        <v>64</v>
      </c>
      <c r="C112" s="131" t="s">
        <v>65</v>
      </c>
      <c r="D112" s="83" t="s">
        <v>182</v>
      </c>
      <c r="E112" s="83"/>
      <c r="F112" s="83"/>
      <c r="G112" s="111">
        <v>35834</v>
      </c>
      <c r="H112" s="111">
        <v>17050</v>
      </c>
      <c r="I112" s="146">
        <v>14531</v>
      </c>
      <c r="J112" s="146">
        <v>14894</v>
      </c>
      <c r="K112" s="146">
        <v>15241</v>
      </c>
      <c r="L112" s="147">
        <v>15354</v>
      </c>
      <c r="M112" s="147">
        <v>15264</v>
      </c>
      <c r="N112" s="147">
        <v>15491</v>
      </c>
      <c r="O112" s="147">
        <v>15491</v>
      </c>
      <c r="P112" s="146">
        <v>15491</v>
      </c>
      <c r="Q112" s="147">
        <v>16053</v>
      </c>
      <c r="R112" s="147">
        <v>16063</v>
      </c>
      <c r="S112" s="147">
        <f>R112</f>
        <v>16063</v>
      </c>
      <c r="T112" s="147">
        <f>U112</f>
        <v>16032</v>
      </c>
      <c r="U112" s="146">
        <v>16032</v>
      </c>
      <c r="V112" s="147">
        <v>15869</v>
      </c>
      <c r="W112" s="147">
        <v>16146</v>
      </c>
      <c r="X112" s="1161">
        <f>$Z$112</f>
        <v>15869</v>
      </c>
      <c r="Y112" s="987">
        <f>$Z$112</f>
        <v>15869</v>
      </c>
      <c r="Z112" s="312">
        <f>V112</f>
        <v>15869</v>
      </c>
      <c r="AA112" s="1378">
        <f>$AE$112</f>
        <v>15869</v>
      </c>
      <c r="AB112" s="1378">
        <f>$AE$112</f>
        <v>15869</v>
      </c>
      <c r="AC112" s="1378">
        <f>$AE$112</f>
        <v>15869</v>
      </c>
      <c r="AD112" s="1378">
        <f>$AE$112</f>
        <v>15869</v>
      </c>
      <c r="AE112" s="312">
        <f>Z112</f>
        <v>15869</v>
      </c>
      <c r="AF112" s="312">
        <f>AE112</f>
        <v>15869</v>
      </c>
      <c r="AG112" s="312">
        <f t="shared" ref="AG112:AL112" si="71">AF112</f>
        <v>15869</v>
      </c>
      <c r="AH112" s="312">
        <f t="shared" si="71"/>
        <v>15869</v>
      </c>
      <c r="AI112" s="312">
        <f t="shared" si="71"/>
        <v>15869</v>
      </c>
      <c r="AJ112" s="312">
        <f t="shared" si="71"/>
        <v>15869</v>
      </c>
      <c r="AK112" s="312">
        <f t="shared" si="71"/>
        <v>15869</v>
      </c>
      <c r="AL112" s="312">
        <f t="shared" si="71"/>
        <v>15869</v>
      </c>
      <c r="AM112" s="83"/>
      <c r="AN112" s="83"/>
      <c r="AO112" s="83"/>
      <c r="CA112" s="477"/>
      <c r="CB112" s="478"/>
    </row>
    <row r="113" spans="2:80">
      <c r="B113" s="130" t="s">
        <v>64</v>
      </c>
      <c r="C113" s="131" t="s">
        <v>65</v>
      </c>
      <c r="D113" s="83" t="s">
        <v>185</v>
      </c>
      <c r="E113" s="83"/>
      <c r="F113" s="83"/>
      <c r="G113" s="111"/>
      <c r="H113" s="111">
        <v>11749</v>
      </c>
      <c r="I113" s="146">
        <v>10201</v>
      </c>
      <c r="J113" s="146">
        <v>10071</v>
      </c>
      <c r="K113" s="113"/>
      <c r="L113" s="148"/>
      <c r="M113" s="148"/>
      <c r="N113" s="148"/>
      <c r="O113" s="148"/>
      <c r="P113" s="113"/>
      <c r="Q113" s="148"/>
      <c r="R113" s="148"/>
      <c r="S113" s="148"/>
      <c r="T113" s="148"/>
      <c r="U113" s="113"/>
      <c r="V113" s="148"/>
      <c r="W113" s="148"/>
      <c r="X113" s="988"/>
      <c r="Y113" s="988"/>
      <c r="Z113" s="209"/>
      <c r="AA113" s="988"/>
      <c r="AB113" s="988"/>
      <c r="AC113" s="988"/>
      <c r="AD113" s="988"/>
      <c r="AE113" s="209"/>
      <c r="AF113" s="209"/>
      <c r="AG113" s="209"/>
      <c r="AH113" s="209"/>
      <c r="AI113" s="209"/>
      <c r="AJ113" s="209"/>
      <c r="AK113" s="209"/>
      <c r="AL113" s="209"/>
      <c r="AM113" s="83"/>
      <c r="AN113" s="83"/>
      <c r="AO113" s="83"/>
      <c r="CA113" s="477"/>
      <c r="CB113" s="478"/>
    </row>
    <row r="114" spans="2:80">
      <c r="B114" s="130" t="s">
        <v>64</v>
      </c>
      <c r="C114" s="131" t="s">
        <v>65</v>
      </c>
      <c r="D114" s="83" t="s">
        <v>53</v>
      </c>
      <c r="E114" s="83"/>
      <c r="F114" s="83"/>
      <c r="G114" s="111">
        <v>1203</v>
      </c>
      <c r="H114" s="111">
        <v>1203</v>
      </c>
      <c r="I114" s="113">
        <v>702</v>
      </c>
      <c r="J114" s="113">
        <v>702</v>
      </c>
      <c r="K114" s="113">
        <v>702</v>
      </c>
      <c r="L114" s="148">
        <v>702</v>
      </c>
      <c r="M114" s="148">
        <v>702</v>
      </c>
      <c r="N114" s="148">
        <v>702</v>
      </c>
      <c r="O114" s="148">
        <v>702</v>
      </c>
      <c r="P114" s="113">
        <v>702</v>
      </c>
      <c r="Q114" s="148">
        <v>702</v>
      </c>
      <c r="R114" s="148">
        <v>702</v>
      </c>
      <c r="S114" s="148">
        <f>R114</f>
        <v>702</v>
      </c>
      <c r="T114" s="148">
        <f>U114</f>
        <v>702</v>
      </c>
      <c r="U114" s="113">
        <v>702</v>
      </c>
      <c r="V114" s="148">
        <v>702</v>
      </c>
      <c r="W114" s="148">
        <v>702</v>
      </c>
      <c r="X114" s="1162">
        <f>$Z$114</f>
        <v>702</v>
      </c>
      <c r="Y114" s="149">
        <f>$Z$114</f>
        <v>702</v>
      </c>
      <c r="Z114" s="209">
        <f>V114</f>
        <v>702</v>
      </c>
      <c r="AA114" s="149">
        <f>$AE$114</f>
        <v>702</v>
      </c>
      <c r="AB114" s="149">
        <f>$AE$114</f>
        <v>702</v>
      </c>
      <c r="AC114" s="149">
        <f>$AE$114</f>
        <v>702</v>
      </c>
      <c r="AD114" s="149">
        <f>$AE$114</f>
        <v>702</v>
      </c>
      <c r="AE114" s="209">
        <f>Z114</f>
        <v>702</v>
      </c>
      <c r="AF114" s="209">
        <f>AE114</f>
        <v>702</v>
      </c>
      <c r="AG114" s="209">
        <f t="shared" ref="AG114:AL114" si="72">AF114</f>
        <v>702</v>
      </c>
      <c r="AH114" s="209">
        <f t="shared" si="72"/>
        <v>702</v>
      </c>
      <c r="AI114" s="209">
        <f t="shared" si="72"/>
        <v>702</v>
      </c>
      <c r="AJ114" s="209">
        <f t="shared" si="72"/>
        <v>702</v>
      </c>
      <c r="AK114" s="209">
        <f t="shared" si="72"/>
        <v>702</v>
      </c>
      <c r="AL114" s="209">
        <f t="shared" si="72"/>
        <v>702</v>
      </c>
      <c r="AM114" s="83"/>
      <c r="AN114" s="83"/>
      <c r="AO114" s="83"/>
      <c r="CA114" s="477"/>
      <c r="CB114" s="478"/>
    </row>
    <row r="115" spans="2:80">
      <c r="B115" s="83"/>
      <c r="C115" s="83"/>
      <c r="D115" s="89"/>
      <c r="E115" s="89"/>
      <c r="F115" s="83"/>
      <c r="G115" s="90"/>
      <c r="H115" s="90"/>
      <c r="I115" s="90"/>
      <c r="J115" s="90"/>
      <c r="K115" s="90"/>
      <c r="L115" s="91"/>
      <c r="M115" s="91"/>
      <c r="N115" s="91"/>
      <c r="O115" s="91"/>
      <c r="P115" s="90"/>
      <c r="Q115" s="91"/>
      <c r="R115" s="91"/>
      <c r="S115" s="91"/>
      <c r="T115" s="91"/>
      <c r="U115" s="90"/>
      <c r="V115" s="91"/>
      <c r="W115" s="99"/>
      <c r="X115" s="99"/>
      <c r="Y115" s="99"/>
      <c r="Z115" s="92"/>
      <c r="AA115" s="307"/>
      <c r="AB115" s="307"/>
      <c r="AC115" s="307"/>
      <c r="AD115" s="307"/>
      <c r="AE115" s="92"/>
      <c r="AF115" s="92"/>
      <c r="AG115" s="92"/>
      <c r="AH115" s="92"/>
      <c r="AI115" s="92"/>
      <c r="AJ115" s="83"/>
      <c r="AK115" s="83"/>
      <c r="AL115" s="83"/>
      <c r="AM115" s="83"/>
      <c r="AN115" s="83"/>
      <c r="AO115" s="83"/>
      <c r="CA115" s="477"/>
      <c r="CB115" s="478"/>
    </row>
    <row r="116" spans="2:80">
      <c r="B116" s="83"/>
      <c r="C116" s="83"/>
      <c r="D116" s="89"/>
      <c r="E116" s="89"/>
      <c r="F116" s="83"/>
      <c r="G116" s="90"/>
      <c r="H116" s="90"/>
      <c r="I116" s="90"/>
      <c r="J116" s="90"/>
      <c r="K116" s="90"/>
      <c r="L116" s="91"/>
      <c r="M116" s="91"/>
      <c r="N116" s="91"/>
      <c r="O116" s="91"/>
      <c r="P116" s="90"/>
      <c r="Q116" s="91"/>
      <c r="R116" s="91"/>
      <c r="S116" s="91"/>
      <c r="T116" s="91"/>
      <c r="U116" s="90"/>
      <c r="V116" s="91"/>
      <c r="W116" s="99"/>
      <c r="X116" s="99"/>
      <c r="Y116" s="99"/>
      <c r="Z116" s="92"/>
      <c r="AA116" s="307"/>
      <c r="AB116" s="307"/>
      <c r="AC116" s="307"/>
      <c r="AD116" s="307"/>
      <c r="AE116" s="92"/>
      <c r="AF116" s="172">
        <f>900/(AF54)</f>
        <v>33.962264150943398</v>
      </c>
      <c r="AG116" s="172">
        <f t="shared" ref="AG116:AL116" si="73">900/(AG54)</f>
        <v>33.962264150943398</v>
      </c>
      <c r="AH116" s="172">
        <f t="shared" si="73"/>
        <v>33.962264150943398</v>
      </c>
      <c r="AI116" s="172">
        <f t="shared" si="73"/>
        <v>33.962264150943398</v>
      </c>
      <c r="AJ116" s="172">
        <f t="shared" si="73"/>
        <v>33.962264150943398</v>
      </c>
      <c r="AK116" s="172">
        <f t="shared" si="73"/>
        <v>33.962264150943398</v>
      </c>
      <c r="AL116" s="172">
        <f t="shared" si="73"/>
        <v>33.962264150943398</v>
      </c>
      <c r="AM116" s="83"/>
      <c r="AN116" s="83"/>
      <c r="AO116" s="83"/>
      <c r="CA116" s="477"/>
      <c r="CB116" s="478"/>
    </row>
    <row r="117" spans="2:80">
      <c r="B117" s="218"/>
      <c r="C117" s="219"/>
      <c r="D117" s="186"/>
      <c r="E117" s="186"/>
      <c r="F117" s="748"/>
      <c r="G117" s="748"/>
      <c r="H117" s="748"/>
      <c r="I117" s="748"/>
      <c r="J117" s="748"/>
      <c r="K117" s="748"/>
      <c r="L117" s="749"/>
      <c r="M117" s="749"/>
      <c r="N117" s="749"/>
      <c r="O117" s="749"/>
      <c r="P117" s="748"/>
      <c r="Q117" s="749"/>
      <c r="R117" s="749"/>
      <c r="S117" s="749"/>
      <c r="T117" s="749"/>
      <c r="U117" s="748"/>
      <c r="V117" s="749"/>
      <c r="W117" s="984"/>
      <c r="X117" s="307"/>
      <c r="Y117" s="307"/>
      <c r="Z117" s="306"/>
      <c r="AA117" s="307"/>
      <c r="AB117" s="307"/>
      <c r="AC117" s="307"/>
      <c r="AD117" s="307"/>
      <c r="AE117" s="306"/>
      <c r="AF117" s="92"/>
      <c r="AG117" s="92"/>
      <c r="AH117" s="92"/>
      <c r="AI117" s="92"/>
      <c r="AJ117" s="83"/>
      <c r="AK117" s="83"/>
      <c r="AL117" s="83"/>
      <c r="AM117" s="83"/>
      <c r="AN117" s="83"/>
      <c r="AO117" s="83"/>
      <c r="CA117" s="477"/>
      <c r="CB117" s="478"/>
    </row>
    <row r="118" spans="2:80">
      <c r="B118" s="224"/>
      <c r="C118" s="225"/>
      <c r="D118" s="203"/>
      <c r="E118" s="203"/>
      <c r="F118" s="477"/>
      <c r="G118" s="477"/>
      <c r="H118" s="477"/>
      <c r="I118" s="477"/>
      <c r="J118" s="477"/>
      <c r="K118" s="477"/>
      <c r="L118" s="750"/>
      <c r="M118" s="750"/>
      <c r="N118" s="750"/>
      <c r="O118" s="750"/>
      <c r="P118" s="751"/>
      <c r="Q118" s="750"/>
      <c r="R118" s="750"/>
      <c r="S118" s="750"/>
      <c r="T118" s="750"/>
      <c r="U118" s="751"/>
      <c r="V118" s="750"/>
      <c r="W118" s="985"/>
      <c r="X118" s="307"/>
      <c r="Y118" s="307"/>
      <c r="Z118" s="306"/>
      <c r="AA118" s="307"/>
      <c r="AB118" s="307"/>
      <c r="AC118" s="307"/>
      <c r="AD118" s="307"/>
      <c r="AE118" s="306"/>
      <c r="AF118" s="92"/>
      <c r="AG118" s="92"/>
      <c r="AH118" s="92"/>
      <c r="AI118" s="92"/>
      <c r="AJ118" s="83"/>
      <c r="AK118" s="83"/>
      <c r="AL118" s="83"/>
      <c r="AM118" s="83"/>
      <c r="AN118" s="83"/>
      <c r="AO118" s="83"/>
      <c r="CA118" s="477"/>
      <c r="CB118" s="478"/>
    </row>
    <row r="119" spans="2:80">
      <c r="B119" s="228"/>
      <c r="C119" s="229"/>
      <c r="D119" s="203"/>
      <c r="E119" s="203"/>
      <c r="F119" s="477"/>
      <c r="G119" s="477"/>
      <c r="H119" s="477"/>
      <c r="I119" s="477"/>
      <c r="J119" s="477"/>
      <c r="K119" s="477"/>
      <c r="L119" s="752"/>
      <c r="M119" s="752"/>
      <c r="N119" s="752"/>
      <c r="O119" s="752"/>
      <c r="P119" s="477"/>
      <c r="Q119" s="752"/>
      <c r="R119" s="752"/>
      <c r="S119" s="752"/>
      <c r="T119" s="752"/>
      <c r="U119" s="477"/>
      <c r="V119" s="752"/>
      <c r="W119" s="985"/>
      <c r="X119" s="307"/>
      <c r="Y119" s="307"/>
      <c r="Z119" s="306"/>
      <c r="AA119" s="307"/>
      <c r="AB119" s="307"/>
      <c r="AC119" s="307"/>
      <c r="AD119" s="307"/>
      <c r="AE119" s="306"/>
      <c r="AF119" s="92"/>
      <c r="AG119" s="92"/>
      <c r="AH119" s="92"/>
      <c r="AI119" s="92"/>
      <c r="AJ119" s="83"/>
      <c r="AK119" s="83"/>
      <c r="AL119" s="83"/>
      <c r="AM119" s="83"/>
      <c r="AN119" s="83"/>
      <c r="AO119" s="83"/>
      <c r="CA119" s="477"/>
      <c r="CB119" s="478"/>
    </row>
    <row r="120" spans="2:80">
      <c r="B120" s="224"/>
      <c r="C120" s="225"/>
      <c r="D120" s="753"/>
      <c r="E120" s="753"/>
      <c r="F120" s="477"/>
      <c r="G120" s="477"/>
      <c r="H120" s="477"/>
      <c r="I120" s="477"/>
      <c r="J120" s="477"/>
      <c r="K120" s="477"/>
      <c r="L120" s="711"/>
      <c r="M120" s="711"/>
      <c r="N120" s="711"/>
      <c r="O120" s="711"/>
      <c r="P120" s="466"/>
      <c r="Q120" s="711"/>
      <c r="R120" s="711"/>
      <c r="S120" s="711"/>
      <c r="T120" s="711"/>
      <c r="U120" s="466"/>
      <c r="V120" s="711"/>
      <c r="W120" s="985"/>
      <c r="X120" s="307"/>
      <c r="Y120" s="307"/>
      <c r="Z120" s="306"/>
      <c r="AA120" s="307"/>
      <c r="AB120" s="307"/>
      <c r="AC120" s="307"/>
      <c r="AD120" s="307"/>
      <c r="AE120" s="306"/>
      <c r="AF120" s="92"/>
      <c r="AG120" s="92"/>
      <c r="AH120" s="92"/>
      <c r="AI120" s="92"/>
      <c r="AJ120" s="83"/>
      <c r="AK120" s="83"/>
      <c r="AL120" s="83"/>
      <c r="AM120" s="83"/>
      <c r="AN120" s="83"/>
      <c r="AO120" s="83"/>
      <c r="CA120" s="477"/>
      <c r="CB120" s="478"/>
    </row>
    <row r="121" spans="2:80">
      <c r="B121" s="224"/>
      <c r="C121" s="225"/>
      <c r="D121" s="450"/>
      <c r="E121" s="450"/>
      <c r="L121" s="112"/>
      <c r="M121" s="112"/>
      <c r="N121" s="112"/>
      <c r="O121" s="112"/>
      <c r="P121" s="111"/>
      <c r="Q121" s="112"/>
      <c r="R121" s="112"/>
      <c r="S121" s="112"/>
      <c r="T121" s="112"/>
      <c r="U121" s="111"/>
      <c r="V121" s="112"/>
      <c r="W121" s="140"/>
      <c r="X121" s="99"/>
      <c r="Y121" s="99"/>
      <c r="Z121" s="92"/>
      <c r="AA121" s="307"/>
      <c r="AB121" s="307"/>
      <c r="AC121" s="307"/>
      <c r="AD121" s="307"/>
      <c r="AE121" s="92"/>
      <c r="AF121" s="92"/>
      <c r="AG121" s="92"/>
      <c r="AH121" s="92"/>
      <c r="AI121" s="92"/>
      <c r="AJ121" s="83"/>
      <c r="AK121" s="83"/>
      <c r="AL121" s="83"/>
      <c r="AM121" s="83"/>
      <c r="AN121" s="83"/>
      <c r="AO121" s="83"/>
      <c r="CA121" s="477"/>
      <c r="CB121" s="478"/>
    </row>
    <row r="122" spans="2:80">
      <c r="B122" s="224"/>
      <c r="C122" s="225"/>
      <c r="D122" s="450"/>
      <c r="E122" s="450"/>
      <c r="L122" s="112"/>
      <c r="M122" s="112"/>
      <c r="N122" s="112"/>
      <c r="O122" s="112"/>
      <c r="P122" s="111"/>
      <c r="Q122" s="112"/>
      <c r="R122" s="112"/>
      <c r="S122" s="112"/>
      <c r="T122" s="112"/>
      <c r="U122" s="111"/>
      <c r="V122" s="112"/>
      <c r="W122" s="140"/>
      <c r="X122" s="99"/>
      <c r="Y122" s="99"/>
      <c r="Z122" s="92"/>
      <c r="AA122" s="307"/>
      <c r="AB122" s="307"/>
      <c r="AC122" s="307"/>
      <c r="AD122" s="307"/>
      <c r="AE122" s="92"/>
      <c r="AF122" s="92"/>
      <c r="AG122" s="92"/>
      <c r="AH122" s="92"/>
      <c r="AI122" s="92"/>
      <c r="AJ122" s="83"/>
      <c r="AK122" s="83"/>
      <c r="AL122" s="83"/>
      <c r="AM122" s="83"/>
      <c r="AN122" s="83"/>
      <c r="AO122" s="83"/>
      <c r="CA122" s="477"/>
      <c r="CB122" s="478"/>
    </row>
    <row r="123" spans="2:80">
      <c r="B123" s="224"/>
      <c r="C123" s="225"/>
      <c r="D123" s="450"/>
      <c r="E123" s="450"/>
      <c r="L123" s="112"/>
      <c r="M123" s="112"/>
      <c r="N123" s="112"/>
      <c r="O123" s="112"/>
      <c r="P123" s="111"/>
      <c r="Q123" s="112"/>
      <c r="R123" s="112"/>
      <c r="S123" s="112"/>
      <c r="T123" s="112"/>
      <c r="U123" s="111"/>
      <c r="V123" s="112"/>
      <c r="W123" s="140"/>
      <c r="X123" s="99"/>
      <c r="Y123" s="99"/>
      <c r="Z123" s="92"/>
      <c r="AA123" s="307"/>
      <c r="AB123" s="307"/>
      <c r="AC123" s="307"/>
      <c r="AD123" s="307"/>
      <c r="AE123" s="92"/>
      <c r="AF123" s="92"/>
      <c r="AG123" s="92"/>
      <c r="AH123" s="92"/>
      <c r="AI123" s="92"/>
      <c r="AJ123" s="83"/>
      <c r="AK123" s="83"/>
      <c r="AL123" s="83"/>
      <c r="AM123" s="83"/>
      <c r="AN123" s="83"/>
      <c r="AO123" s="83"/>
      <c r="CA123" s="477"/>
      <c r="CB123" s="478"/>
    </row>
    <row r="124" spans="2:80">
      <c r="B124" s="83"/>
      <c r="C124" s="83"/>
      <c r="D124" s="757" t="s">
        <v>222</v>
      </c>
      <c r="E124" s="757"/>
      <c r="F124" s="174"/>
      <c r="G124" s="454"/>
      <c r="H124" s="454"/>
      <c r="I124" s="454"/>
      <c r="J124" s="454"/>
      <c r="K124" s="454"/>
      <c r="L124" s="455"/>
      <c r="M124" s="455"/>
      <c r="N124" s="455"/>
      <c r="O124" s="455"/>
      <c r="P124" s="454"/>
      <c r="Q124" s="455"/>
      <c r="R124" s="455"/>
      <c r="S124" s="455"/>
      <c r="T124" s="455"/>
      <c r="U124" s="454"/>
      <c r="V124" s="455"/>
      <c r="W124" s="455"/>
      <c r="X124" s="455"/>
      <c r="Y124" s="455"/>
      <c r="Z124" s="454"/>
      <c r="AA124" s="749"/>
      <c r="AB124" s="749"/>
      <c r="AC124" s="749"/>
      <c r="AD124" s="749"/>
      <c r="AE124" s="748"/>
      <c r="AF124" s="979"/>
      <c r="AG124" s="974"/>
      <c r="AH124" s="974"/>
      <c r="AI124" s="974"/>
      <c r="AJ124" s="189"/>
      <c r="AK124" s="189"/>
      <c r="AL124" s="189"/>
      <c r="AM124" s="179"/>
      <c r="AN124" s="174"/>
      <c r="AO124" s="174"/>
      <c r="AP124" s="454"/>
      <c r="CA124" s="477"/>
      <c r="CB124" s="478"/>
    </row>
    <row r="125" spans="2:80">
      <c r="B125" s="95" t="s">
        <v>64</v>
      </c>
      <c r="C125" s="96" t="s">
        <v>103</v>
      </c>
      <c r="D125" s="84" t="s">
        <v>215</v>
      </c>
      <c r="E125" s="84"/>
      <c r="F125" s="83"/>
      <c r="G125" s="85">
        <v>50</v>
      </c>
      <c r="H125" s="85">
        <v>51</v>
      </c>
      <c r="I125" s="85">
        <v>45</v>
      </c>
      <c r="J125" s="85">
        <v>43</v>
      </c>
      <c r="K125" s="85">
        <v>52</v>
      </c>
      <c r="L125" s="86">
        <v>57.868852459016395</v>
      </c>
      <c r="M125" s="86">
        <v>58.63636363636364</v>
      </c>
      <c r="N125" s="86">
        <v>66.417910447761187</v>
      </c>
      <c r="O125" s="86">
        <v>63.484848484848492</v>
      </c>
      <c r="P125" s="85">
        <v>61.692307692307693</v>
      </c>
      <c r="Q125" s="86">
        <v>65</v>
      </c>
      <c r="R125" s="86">
        <v>65.46875</v>
      </c>
      <c r="S125" s="86">
        <v>66.885245901639351</v>
      </c>
      <c r="T125" s="86">
        <v>60.317460317460316</v>
      </c>
      <c r="U125" s="85">
        <v>64.400000000000006</v>
      </c>
      <c r="V125" s="86">
        <v>64.035087719298247</v>
      </c>
      <c r="W125" s="86">
        <v>68</v>
      </c>
      <c r="X125" s="86">
        <v>67</v>
      </c>
      <c r="Y125" s="86">
        <v>44</v>
      </c>
      <c r="Z125" s="85">
        <v>47</v>
      </c>
      <c r="AA125" s="1022">
        <v>63</v>
      </c>
      <c r="AB125" s="1022">
        <f>$AE$125</f>
        <v>63</v>
      </c>
      <c r="AC125" s="1195">
        <f>$AE$125</f>
        <v>63</v>
      </c>
      <c r="AD125" s="1195">
        <f>$AE$125</f>
        <v>63</v>
      </c>
      <c r="AE125" s="127">
        <v>63</v>
      </c>
      <c r="AF125" s="1179">
        <f>AE125</f>
        <v>63</v>
      </c>
      <c r="AG125" s="1179">
        <f t="shared" ref="AG125:AL125" si="74">AF125</f>
        <v>63</v>
      </c>
      <c r="AH125" s="1179">
        <f t="shared" si="74"/>
        <v>63</v>
      </c>
      <c r="AI125" s="1179">
        <f t="shared" si="74"/>
        <v>63</v>
      </c>
      <c r="AJ125" s="1179">
        <f t="shared" si="74"/>
        <v>63</v>
      </c>
      <c r="AK125" s="1179">
        <f t="shared" si="74"/>
        <v>63</v>
      </c>
      <c r="AL125" s="1179">
        <f t="shared" si="74"/>
        <v>63</v>
      </c>
      <c r="AM125" s="92"/>
      <c r="AN125" s="83"/>
      <c r="AO125" s="83"/>
      <c r="CA125" s="477"/>
      <c r="CB125" s="478"/>
    </row>
    <row r="126" spans="2:80">
      <c r="B126" s="95" t="s">
        <v>64</v>
      </c>
      <c r="C126" s="96" t="s">
        <v>103</v>
      </c>
      <c r="D126" s="84" t="s">
        <v>213</v>
      </c>
      <c r="E126" s="84"/>
      <c r="F126" s="83"/>
      <c r="G126" s="85">
        <v>38</v>
      </c>
      <c r="H126" s="85">
        <v>38</v>
      </c>
      <c r="I126" s="85">
        <v>36</v>
      </c>
      <c r="J126" s="85">
        <v>34</v>
      </c>
      <c r="K126" s="85">
        <v>34</v>
      </c>
      <c r="L126" s="86">
        <v>38.032786885245905</v>
      </c>
      <c r="M126" s="86">
        <v>36.060606060606062</v>
      </c>
      <c r="N126" s="86">
        <v>37.313432835820898</v>
      </c>
      <c r="O126" s="86">
        <v>38.63636363636364</v>
      </c>
      <c r="P126" s="85">
        <v>37.5</v>
      </c>
      <c r="Q126" s="86">
        <v>38.70967741935484</v>
      </c>
      <c r="R126" s="86">
        <v>39.0625</v>
      </c>
      <c r="S126" s="86">
        <v>38.852459016393446</v>
      </c>
      <c r="T126" s="86">
        <v>39.523809523809526</v>
      </c>
      <c r="U126" s="85">
        <v>39.04</v>
      </c>
      <c r="V126" s="86">
        <v>42.456140350877192</v>
      </c>
      <c r="W126" s="86">
        <v>39</v>
      </c>
      <c r="X126" s="86">
        <v>43</v>
      </c>
      <c r="Y126" s="86">
        <v>31</v>
      </c>
      <c r="Z126" s="85">
        <v>31</v>
      </c>
      <c r="AA126" s="86">
        <v>41</v>
      </c>
      <c r="AB126" s="86" t="s">
        <v>971</v>
      </c>
      <c r="AC126" s="97">
        <f>$AE$126</f>
        <v>40.5</v>
      </c>
      <c r="AD126" s="97">
        <f>$AE$126</f>
        <v>40.5</v>
      </c>
      <c r="AE126" s="127">
        <v>40.5</v>
      </c>
      <c r="AF126" s="312">
        <f>AE126</f>
        <v>40.5</v>
      </c>
      <c r="AG126" s="312">
        <f>AF126</f>
        <v>40.5</v>
      </c>
      <c r="AH126" s="312">
        <f t="shared" ref="AH126:AL126" si="75">AG126</f>
        <v>40.5</v>
      </c>
      <c r="AI126" s="312">
        <f t="shared" si="75"/>
        <v>40.5</v>
      </c>
      <c r="AJ126" s="312">
        <f t="shared" si="75"/>
        <v>40.5</v>
      </c>
      <c r="AK126" s="312">
        <f t="shared" si="75"/>
        <v>40.5</v>
      </c>
      <c r="AL126" s="312">
        <f t="shared" si="75"/>
        <v>40.5</v>
      </c>
      <c r="AM126" s="92"/>
      <c r="AN126" s="83"/>
      <c r="AO126" s="83"/>
      <c r="CA126" s="477"/>
      <c r="CB126" s="478"/>
    </row>
    <row r="127" spans="2:80">
      <c r="B127" s="95" t="s">
        <v>64</v>
      </c>
      <c r="C127" s="96" t="s">
        <v>103</v>
      </c>
      <c r="D127" s="84" t="s">
        <v>214</v>
      </c>
      <c r="E127" s="84"/>
      <c r="F127" s="83"/>
      <c r="G127" s="90">
        <v>1</v>
      </c>
      <c r="H127" s="90">
        <v>3</v>
      </c>
      <c r="I127" s="90">
        <v>2</v>
      </c>
      <c r="J127" s="90">
        <v>0</v>
      </c>
      <c r="K127" s="90">
        <v>0</v>
      </c>
      <c r="L127" s="91">
        <v>0</v>
      </c>
      <c r="M127" s="91">
        <v>0</v>
      </c>
      <c r="N127" s="91">
        <v>0</v>
      </c>
      <c r="O127" s="91">
        <v>0</v>
      </c>
      <c r="P127" s="90">
        <v>0</v>
      </c>
      <c r="Q127" s="91">
        <v>0</v>
      </c>
      <c r="R127" s="91">
        <v>0</v>
      </c>
      <c r="S127" s="91">
        <v>0</v>
      </c>
      <c r="T127" s="91">
        <v>4</v>
      </c>
      <c r="U127" s="90">
        <v>1</v>
      </c>
      <c r="V127" s="91">
        <v>0</v>
      </c>
      <c r="W127" s="91">
        <v>6</v>
      </c>
      <c r="X127" s="91">
        <v>3</v>
      </c>
      <c r="Y127" s="91">
        <v>2</v>
      </c>
      <c r="Z127" s="90">
        <v>2</v>
      </c>
      <c r="AA127" s="91">
        <v>-2</v>
      </c>
      <c r="AB127" s="91">
        <v>0</v>
      </c>
      <c r="AC127" s="97">
        <f>$AE$127</f>
        <v>0</v>
      </c>
      <c r="AD127" s="97">
        <f>$AE$127</f>
        <v>0</v>
      </c>
      <c r="AE127" s="127">
        <v>0</v>
      </c>
      <c r="AF127" s="312">
        <f>AE127</f>
        <v>0</v>
      </c>
      <c r="AG127" s="312">
        <f t="shared" ref="AG127:AL127" si="76">AF127</f>
        <v>0</v>
      </c>
      <c r="AH127" s="312">
        <f t="shared" si="76"/>
        <v>0</v>
      </c>
      <c r="AI127" s="312">
        <f t="shared" si="76"/>
        <v>0</v>
      </c>
      <c r="AJ127" s="312">
        <f t="shared" si="76"/>
        <v>0</v>
      </c>
      <c r="AK127" s="312">
        <f t="shared" si="76"/>
        <v>0</v>
      </c>
      <c r="AL127" s="312">
        <f t="shared" si="76"/>
        <v>0</v>
      </c>
      <c r="AM127" s="92"/>
      <c r="AN127" s="83"/>
      <c r="AO127" s="83"/>
      <c r="CA127" s="477"/>
      <c r="CB127" s="478"/>
    </row>
    <row r="128" spans="2:80">
      <c r="B128" s="128" t="s">
        <v>64</v>
      </c>
      <c r="C128" s="129" t="s">
        <v>103</v>
      </c>
      <c r="D128" s="129" t="s">
        <v>216</v>
      </c>
      <c r="E128" s="129"/>
      <c r="F128" s="83"/>
      <c r="G128" s="90">
        <v>0</v>
      </c>
      <c r="H128" s="90">
        <v>0</v>
      </c>
      <c r="I128" s="90">
        <v>0</v>
      </c>
      <c r="J128" s="90">
        <v>2</v>
      </c>
      <c r="K128" s="90">
        <v>0</v>
      </c>
      <c r="L128" s="91">
        <v>0</v>
      </c>
      <c r="M128" s="91">
        <v>0</v>
      </c>
      <c r="N128" s="91">
        <v>0</v>
      </c>
      <c r="O128" s="91">
        <v>0</v>
      </c>
      <c r="P128" s="90">
        <v>0</v>
      </c>
      <c r="Q128" s="91">
        <v>0</v>
      </c>
      <c r="R128" s="91">
        <v>0</v>
      </c>
      <c r="S128" s="91">
        <v>0</v>
      </c>
      <c r="T128" s="91">
        <v>0</v>
      </c>
      <c r="U128" s="90">
        <v>0</v>
      </c>
      <c r="V128" s="91">
        <v>0</v>
      </c>
      <c r="W128" s="91">
        <v>1</v>
      </c>
      <c r="X128" s="91">
        <v>0</v>
      </c>
      <c r="Y128" s="91">
        <v>0</v>
      </c>
      <c r="Z128" s="90">
        <v>0</v>
      </c>
      <c r="AA128" s="91">
        <f>$AE$128</f>
        <v>0</v>
      </c>
      <c r="AB128" s="91">
        <v>0</v>
      </c>
      <c r="AC128" s="97">
        <f>$AE$128</f>
        <v>0</v>
      </c>
      <c r="AD128" s="97">
        <f>$AE$128</f>
        <v>0</v>
      </c>
      <c r="AE128" s="1206">
        <v>0</v>
      </c>
      <c r="AF128" s="312">
        <f>AE128</f>
        <v>0</v>
      </c>
      <c r="AG128" s="312">
        <f t="shared" ref="AG128:AL128" si="77">AF128</f>
        <v>0</v>
      </c>
      <c r="AH128" s="312">
        <f t="shared" si="77"/>
        <v>0</v>
      </c>
      <c r="AI128" s="312">
        <f t="shared" si="77"/>
        <v>0</v>
      </c>
      <c r="AJ128" s="312">
        <f t="shared" si="77"/>
        <v>0</v>
      </c>
      <c r="AK128" s="312">
        <f t="shared" si="77"/>
        <v>0</v>
      </c>
      <c r="AL128" s="312">
        <f t="shared" si="77"/>
        <v>0</v>
      </c>
      <c r="AM128" s="92"/>
      <c r="AN128" s="83"/>
      <c r="AO128" s="83"/>
      <c r="CA128" s="477"/>
      <c r="CB128" s="478"/>
    </row>
    <row r="129" spans="2:80">
      <c r="B129" s="130" t="s">
        <v>64</v>
      </c>
      <c r="C129" s="131" t="s">
        <v>103</v>
      </c>
      <c r="D129" s="132" t="s">
        <v>757</v>
      </c>
      <c r="E129" s="132"/>
      <c r="F129" s="103"/>
      <c r="G129" s="754">
        <f t="shared" ref="G129:AL129" si="78">G125+G126+G127+G128</f>
        <v>89</v>
      </c>
      <c r="H129" s="755">
        <f t="shared" si="78"/>
        <v>92</v>
      </c>
      <c r="I129" s="755">
        <f t="shared" si="78"/>
        <v>83</v>
      </c>
      <c r="J129" s="755">
        <f t="shared" si="78"/>
        <v>79</v>
      </c>
      <c r="K129" s="755">
        <f t="shared" si="78"/>
        <v>86</v>
      </c>
      <c r="L129" s="763">
        <f t="shared" si="78"/>
        <v>95.901639344262293</v>
      </c>
      <c r="M129" s="763">
        <f t="shared" si="78"/>
        <v>94.696969696969703</v>
      </c>
      <c r="N129" s="763">
        <f t="shared" si="78"/>
        <v>103.73134328358208</v>
      </c>
      <c r="O129" s="763">
        <f t="shared" si="78"/>
        <v>102.12121212121212</v>
      </c>
      <c r="P129" s="756">
        <f t="shared" si="78"/>
        <v>99.192307692307693</v>
      </c>
      <c r="Q129" s="763">
        <f t="shared" si="78"/>
        <v>103.70967741935485</v>
      </c>
      <c r="R129" s="763">
        <f t="shared" si="78"/>
        <v>104.53125</v>
      </c>
      <c r="S129" s="763">
        <f t="shared" si="78"/>
        <v>105.73770491803279</v>
      </c>
      <c r="T129" s="763">
        <f t="shared" si="78"/>
        <v>103.84126984126985</v>
      </c>
      <c r="U129" s="756">
        <f t="shared" si="78"/>
        <v>104.44</v>
      </c>
      <c r="V129" s="763">
        <f t="shared" si="78"/>
        <v>106.49122807017544</v>
      </c>
      <c r="W129" s="763">
        <f t="shared" si="78"/>
        <v>114</v>
      </c>
      <c r="X129" s="763">
        <f t="shared" si="78"/>
        <v>113</v>
      </c>
      <c r="Y129" s="763">
        <f>Y125+Y126+Y127+Y128</f>
        <v>77</v>
      </c>
      <c r="Z129" s="756">
        <f t="shared" si="78"/>
        <v>80</v>
      </c>
      <c r="AA129" s="763">
        <f t="shared" si="78"/>
        <v>102</v>
      </c>
      <c r="AB129" s="763" t="e">
        <f t="shared" si="78"/>
        <v>#VALUE!</v>
      </c>
      <c r="AC129" s="763">
        <f t="shared" si="78"/>
        <v>103.5</v>
      </c>
      <c r="AD129" s="763">
        <f t="shared" si="78"/>
        <v>103.5</v>
      </c>
      <c r="AE129" s="756">
        <f t="shared" si="78"/>
        <v>103.5</v>
      </c>
      <c r="AF129" s="756">
        <f t="shared" si="78"/>
        <v>103.5</v>
      </c>
      <c r="AG129" s="756">
        <f>AG125+AG126+AG127+AG128</f>
        <v>103.5</v>
      </c>
      <c r="AH129" s="756">
        <f t="shared" si="78"/>
        <v>103.5</v>
      </c>
      <c r="AI129" s="756">
        <f t="shared" si="78"/>
        <v>103.5</v>
      </c>
      <c r="AJ129" s="756">
        <f t="shared" si="78"/>
        <v>103.5</v>
      </c>
      <c r="AK129" s="756">
        <f t="shared" si="78"/>
        <v>103.5</v>
      </c>
      <c r="AL129" s="756">
        <f t="shared" si="78"/>
        <v>103.5</v>
      </c>
      <c r="AM129" s="107"/>
      <c r="AN129" s="135"/>
      <c r="AO129" s="135"/>
      <c r="AP129" s="759"/>
      <c r="CA129" s="477"/>
      <c r="CB129" s="478"/>
    </row>
    <row r="130" spans="2:80">
      <c r="B130" s="95" t="s">
        <v>64</v>
      </c>
      <c r="C130" s="96" t="s">
        <v>103</v>
      </c>
      <c r="D130" s="84" t="s">
        <v>217</v>
      </c>
      <c r="E130" s="84"/>
      <c r="F130" s="83"/>
      <c r="G130" s="130">
        <v>27</v>
      </c>
      <c r="H130" s="130">
        <f t="shared" ref="H130:T130" si="79">-H68/H58</f>
        <v>27.175572519083971</v>
      </c>
      <c r="I130" s="130">
        <f t="shared" si="79"/>
        <v>27.153846153846153</v>
      </c>
      <c r="J130" s="130">
        <f t="shared" si="79"/>
        <v>23.25925925925926</v>
      </c>
      <c r="K130" s="130">
        <f t="shared" si="79"/>
        <v>27.09433962264151</v>
      </c>
      <c r="L130" s="97">
        <f t="shared" si="79"/>
        <v>30.655737704918035</v>
      </c>
      <c r="M130" s="97">
        <f t="shared" si="79"/>
        <v>28.181818181818183</v>
      </c>
      <c r="N130" s="97">
        <f t="shared" si="79"/>
        <v>26.268656716417908</v>
      </c>
      <c r="O130" s="97">
        <f t="shared" si="79"/>
        <v>27.424242424242426</v>
      </c>
      <c r="P130" s="130">
        <f t="shared" si="79"/>
        <v>28.076923076923077</v>
      </c>
      <c r="Q130" s="97">
        <f t="shared" si="79"/>
        <v>29.516129032258064</v>
      </c>
      <c r="R130" s="97">
        <f t="shared" si="79"/>
        <v>31.093749999999993</v>
      </c>
      <c r="S130" s="97">
        <f t="shared" si="79"/>
        <v>33.278688524590166</v>
      </c>
      <c r="T130" s="97">
        <f t="shared" si="79"/>
        <v>32.857142857142861</v>
      </c>
      <c r="U130" s="130">
        <f>-U68/U58</f>
        <v>31.68</v>
      </c>
      <c r="V130" s="97">
        <f>-V68/V58</f>
        <v>30.701754385964911</v>
      </c>
      <c r="W130" s="97">
        <f>-W68/W58</f>
        <v>32.4</v>
      </c>
      <c r="X130" s="97">
        <f>-X68/X58</f>
        <v>35.882352941176471</v>
      </c>
      <c r="Y130" s="97">
        <f>$Z$130</f>
        <v>33.424657534246577</v>
      </c>
      <c r="Z130" s="130">
        <f>-Z68/Z58</f>
        <v>33.424657534246577</v>
      </c>
      <c r="AA130" s="97">
        <f>-AA68/AA58</f>
        <v>34.838709677419352</v>
      </c>
      <c r="AB130" s="97">
        <f>-AB68/AB58</f>
        <v>36.129032258064512</v>
      </c>
      <c r="AC130" s="97">
        <f>$AE$130</f>
        <v>29</v>
      </c>
      <c r="AD130" s="97">
        <f>$AE$130</f>
        <v>29</v>
      </c>
      <c r="AE130" s="127">
        <v>29</v>
      </c>
      <c r="AF130" s="94">
        <f>AE130</f>
        <v>29</v>
      </c>
      <c r="AG130" s="94">
        <f t="shared" ref="AG130:AL130" si="80">AF130</f>
        <v>29</v>
      </c>
      <c r="AH130" s="94">
        <f t="shared" si="80"/>
        <v>29</v>
      </c>
      <c r="AI130" s="94">
        <f t="shared" si="80"/>
        <v>29</v>
      </c>
      <c r="AJ130" s="94">
        <f t="shared" si="80"/>
        <v>29</v>
      </c>
      <c r="AK130" s="94">
        <f t="shared" si="80"/>
        <v>29</v>
      </c>
      <c r="AL130" s="94">
        <f t="shared" si="80"/>
        <v>29</v>
      </c>
      <c r="AM130" s="92"/>
      <c r="AN130" s="83"/>
      <c r="AO130" s="83"/>
      <c r="CA130" s="477"/>
      <c r="CB130" s="478"/>
    </row>
    <row r="131" spans="2:80">
      <c r="D131" s="132" t="s">
        <v>764</v>
      </c>
      <c r="E131" s="132"/>
      <c r="F131" s="103"/>
      <c r="G131" s="760">
        <f>G129+G130</f>
        <v>116</v>
      </c>
      <c r="H131" s="760">
        <f t="shared" ref="H131:U131" si="81">H129+H130</f>
        <v>119.17557251908397</v>
      </c>
      <c r="I131" s="760">
        <f t="shared" si="81"/>
        <v>110.15384615384616</v>
      </c>
      <c r="J131" s="760">
        <f t="shared" si="81"/>
        <v>102.25925925925927</v>
      </c>
      <c r="K131" s="760">
        <f t="shared" si="81"/>
        <v>113.09433962264151</v>
      </c>
      <c r="L131" s="764">
        <f t="shared" si="81"/>
        <v>126.55737704918033</v>
      </c>
      <c r="M131" s="764">
        <f t="shared" si="81"/>
        <v>122.87878787878789</v>
      </c>
      <c r="N131" s="764">
        <f t="shared" si="81"/>
        <v>130</v>
      </c>
      <c r="O131" s="764">
        <f t="shared" si="81"/>
        <v>129.54545454545456</v>
      </c>
      <c r="P131" s="760">
        <f t="shared" si="81"/>
        <v>127.26923076923077</v>
      </c>
      <c r="Q131" s="764">
        <f t="shared" si="81"/>
        <v>133.22580645161293</v>
      </c>
      <c r="R131" s="764">
        <f t="shared" si="81"/>
        <v>135.625</v>
      </c>
      <c r="S131" s="764">
        <f t="shared" si="81"/>
        <v>139.01639344262296</v>
      </c>
      <c r="T131" s="764">
        <f t="shared" si="81"/>
        <v>136.69841269841271</v>
      </c>
      <c r="U131" s="760">
        <f t="shared" si="81"/>
        <v>136.12</v>
      </c>
      <c r="V131" s="764">
        <f t="shared" ref="V131:AL131" si="82">V129+V130</f>
        <v>137.19298245614036</v>
      </c>
      <c r="W131" s="764">
        <f t="shared" si="82"/>
        <v>146.4</v>
      </c>
      <c r="X131" s="764">
        <f t="shared" si="82"/>
        <v>148.88235294117646</v>
      </c>
      <c r="Y131" s="764">
        <f t="shared" si="82"/>
        <v>110.42465753424658</v>
      </c>
      <c r="Z131" s="760">
        <f t="shared" si="82"/>
        <v>113.42465753424658</v>
      </c>
      <c r="AA131" s="764">
        <f t="shared" si="82"/>
        <v>136.83870967741936</v>
      </c>
      <c r="AB131" s="764" t="e">
        <f t="shared" si="82"/>
        <v>#VALUE!</v>
      </c>
      <c r="AC131" s="764">
        <f t="shared" si="82"/>
        <v>132.5</v>
      </c>
      <c r="AD131" s="764">
        <f t="shared" si="82"/>
        <v>132.5</v>
      </c>
      <c r="AE131" s="760">
        <f t="shared" si="82"/>
        <v>132.5</v>
      </c>
      <c r="AF131" s="760">
        <f t="shared" si="82"/>
        <v>132.5</v>
      </c>
      <c r="AG131" s="760">
        <f t="shared" si="82"/>
        <v>132.5</v>
      </c>
      <c r="AH131" s="760">
        <f t="shared" si="82"/>
        <v>132.5</v>
      </c>
      <c r="AI131" s="760">
        <f t="shared" si="82"/>
        <v>132.5</v>
      </c>
      <c r="AJ131" s="760">
        <f t="shared" si="82"/>
        <v>132.5</v>
      </c>
      <c r="AK131" s="760">
        <f t="shared" si="82"/>
        <v>132.5</v>
      </c>
      <c r="AL131" s="760">
        <f t="shared" si="82"/>
        <v>132.5</v>
      </c>
      <c r="AM131" s="107"/>
      <c r="AN131" s="135"/>
      <c r="AO131" s="135"/>
      <c r="AP131" s="759"/>
      <c r="CA131" s="477"/>
      <c r="CB131" s="478"/>
    </row>
    <row r="132" spans="2:80">
      <c r="L132" s="133"/>
      <c r="M132" s="133"/>
      <c r="N132" s="133"/>
      <c r="O132" s="133"/>
      <c r="Q132" s="133"/>
      <c r="R132" s="133"/>
      <c r="S132" s="133"/>
      <c r="T132" s="133"/>
      <c r="V132" s="133"/>
      <c r="W132" s="133"/>
      <c r="X132" s="133"/>
      <c r="Y132" s="133"/>
      <c r="AA132" s="752"/>
      <c r="AB132" s="752"/>
      <c r="AC132" s="752"/>
      <c r="AD132" s="752"/>
      <c r="AF132" s="323"/>
      <c r="AG132" s="323"/>
      <c r="AH132" s="92"/>
      <c r="AI132" s="92"/>
      <c r="AJ132" s="92"/>
      <c r="AK132" s="92"/>
      <c r="AL132" s="92"/>
      <c r="AM132" s="92"/>
      <c r="AN132" s="83"/>
      <c r="AO132" s="83"/>
      <c r="CA132" s="477"/>
      <c r="CB132" s="478"/>
    </row>
    <row r="133" spans="2:80">
      <c r="B133" s="95"/>
      <c r="C133" s="96"/>
      <c r="D133" s="84"/>
      <c r="E133" s="84"/>
      <c r="F133" s="83"/>
      <c r="G133" s="90"/>
      <c r="H133" s="90"/>
      <c r="I133" s="90"/>
      <c r="J133" s="90"/>
      <c r="K133" s="90"/>
      <c r="L133" s="91"/>
      <c r="M133" s="91"/>
      <c r="N133" s="91"/>
      <c r="O133" s="91"/>
      <c r="P133" s="90"/>
      <c r="Q133" s="91"/>
      <c r="R133" s="91"/>
      <c r="S133" s="91"/>
      <c r="T133" s="91"/>
      <c r="U133" s="90"/>
      <c r="V133" s="91"/>
      <c r="W133" s="706"/>
      <c r="X133" s="706"/>
      <c r="Y133" s="706"/>
      <c r="Z133" s="571"/>
      <c r="AA133" s="711"/>
      <c r="AB133" s="711"/>
      <c r="AC133" s="711"/>
      <c r="AD133" s="711"/>
      <c r="AE133" s="466"/>
      <c r="AF133" s="466"/>
      <c r="AG133" s="92"/>
      <c r="AH133" s="92"/>
      <c r="AI133" s="92"/>
      <c r="AJ133" s="92"/>
      <c r="AK133" s="92"/>
      <c r="AL133" s="92"/>
      <c r="AM133" s="92"/>
      <c r="AN133" s="83"/>
      <c r="AO133" s="83"/>
      <c r="CA133" s="477"/>
      <c r="CB133" s="478"/>
    </row>
    <row r="134" spans="2:80">
      <c r="D134" s="76" t="s">
        <v>757</v>
      </c>
      <c r="G134" s="745">
        <f>G129*G58</f>
        <v>2395.0790000000002</v>
      </c>
      <c r="H134" s="745">
        <f t="shared" ref="H134:U134" si="83">H129*H58</f>
        <v>2410.4</v>
      </c>
      <c r="I134" s="745">
        <f t="shared" si="83"/>
        <v>2158</v>
      </c>
      <c r="J134" s="745">
        <f t="shared" si="83"/>
        <v>2133</v>
      </c>
      <c r="K134" s="745">
        <f t="shared" si="83"/>
        <v>2279</v>
      </c>
      <c r="L134" s="765">
        <f t="shared" si="83"/>
        <v>585</v>
      </c>
      <c r="M134" s="765">
        <f t="shared" si="83"/>
        <v>625</v>
      </c>
      <c r="N134" s="765">
        <f>N129*N58</f>
        <v>694.99999999999989</v>
      </c>
      <c r="O134" s="765">
        <f t="shared" si="83"/>
        <v>674</v>
      </c>
      <c r="P134" s="745">
        <f t="shared" si="83"/>
        <v>2579</v>
      </c>
      <c r="Q134" s="765">
        <f t="shared" si="83"/>
        <v>643.00000000000011</v>
      </c>
      <c r="R134" s="765">
        <f t="shared" si="83"/>
        <v>669.00000000000011</v>
      </c>
      <c r="S134" s="765">
        <f t="shared" si="83"/>
        <v>645</v>
      </c>
      <c r="T134" s="765">
        <f t="shared" si="83"/>
        <v>654.20000000000005</v>
      </c>
      <c r="U134" s="745">
        <f t="shared" si="83"/>
        <v>2611</v>
      </c>
      <c r="V134" s="765">
        <f t="shared" ref="V134:AA134" si="84">V129*V58</f>
        <v>607</v>
      </c>
      <c r="W134" s="765">
        <f t="shared" si="84"/>
        <v>570</v>
      </c>
      <c r="X134" s="765">
        <f t="shared" si="84"/>
        <v>576.29999999999995</v>
      </c>
      <c r="Y134" s="765">
        <f t="shared" si="84"/>
        <v>469.7</v>
      </c>
      <c r="Z134" s="745">
        <f t="shared" si="84"/>
        <v>1752</v>
      </c>
      <c r="AA134" s="765">
        <f t="shared" si="84"/>
        <v>632.4</v>
      </c>
      <c r="AB134" s="765" t="e">
        <f t="shared" ref="AB134:AL134" si="85">AB129*AB58</f>
        <v>#VALUE!</v>
      </c>
      <c r="AC134" s="765">
        <f t="shared" si="85"/>
        <v>659.8125</v>
      </c>
      <c r="AD134" s="765">
        <f t="shared" si="85"/>
        <v>727.08749999999975</v>
      </c>
      <c r="AE134" s="745">
        <f>AE129*AE58</f>
        <v>2639.25</v>
      </c>
      <c r="AF134" s="745">
        <f t="shared" si="85"/>
        <v>2742.75</v>
      </c>
      <c r="AG134" s="745">
        <f t="shared" si="85"/>
        <v>2742.75</v>
      </c>
      <c r="AH134" s="745">
        <f t="shared" si="85"/>
        <v>2742.75</v>
      </c>
      <c r="AI134" s="745">
        <f t="shared" si="85"/>
        <v>2742.75</v>
      </c>
      <c r="AJ134" s="745">
        <f t="shared" si="85"/>
        <v>2742.75</v>
      </c>
      <c r="AK134" s="745">
        <f t="shared" si="85"/>
        <v>2742.75</v>
      </c>
      <c r="AL134" s="745">
        <f t="shared" si="85"/>
        <v>2742.75</v>
      </c>
      <c r="AM134" s="92"/>
      <c r="AN134" s="83"/>
      <c r="AO134" s="83"/>
      <c r="CA134" s="477"/>
      <c r="CB134" s="478"/>
    </row>
    <row r="135" spans="2:80">
      <c r="D135" s="76" t="s">
        <v>261</v>
      </c>
      <c r="G135" s="453">
        <f t="shared" ref="G135:U135" si="86">G101</f>
        <v>471</v>
      </c>
      <c r="H135" s="453">
        <f t="shared" si="86"/>
        <v>443</v>
      </c>
      <c r="I135" s="453">
        <f t="shared" si="86"/>
        <v>396</v>
      </c>
      <c r="J135" s="453">
        <f t="shared" si="86"/>
        <v>277</v>
      </c>
      <c r="K135" s="453">
        <f t="shared" si="86"/>
        <v>506</v>
      </c>
      <c r="L135" s="452">
        <f t="shared" si="86"/>
        <v>149</v>
      </c>
      <c r="M135" s="452">
        <f t="shared" si="86"/>
        <v>130</v>
      </c>
      <c r="N135" s="452">
        <f t="shared" si="86"/>
        <v>117</v>
      </c>
      <c r="O135" s="452">
        <f t="shared" si="86"/>
        <v>111</v>
      </c>
      <c r="P135" s="453">
        <f t="shared" si="86"/>
        <v>507</v>
      </c>
      <c r="Q135" s="452">
        <f t="shared" si="86"/>
        <v>143</v>
      </c>
      <c r="R135" s="452">
        <f t="shared" si="86"/>
        <v>115</v>
      </c>
      <c r="S135" s="452">
        <f t="shared" si="86"/>
        <v>104</v>
      </c>
      <c r="T135" s="452">
        <f t="shared" si="86"/>
        <v>81</v>
      </c>
      <c r="U135" s="453">
        <f t="shared" si="86"/>
        <v>443</v>
      </c>
      <c r="V135" s="452">
        <f t="shared" ref="V135:AA135" si="87">V101</f>
        <v>119</v>
      </c>
      <c r="W135" s="452">
        <f t="shared" si="87"/>
        <v>60</v>
      </c>
      <c r="X135" s="452">
        <f t="shared" si="87"/>
        <v>62</v>
      </c>
      <c r="Y135" s="452">
        <f t="shared" si="87"/>
        <v>61</v>
      </c>
      <c r="Z135" s="453">
        <f t="shared" si="87"/>
        <v>302</v>
      </c>
      <c r="AA135" s="452">
        <f t="shared" si="87"/>
        <v>83</v>
      </c>
      <c r="AB135" s="452">
        <f t="shared" ref="AB135:AL135" si="88">AB101</f>
        <v>114</v>
      </c>
      <c r="AC135" s="452">
        <f t="shared" si="88"/>
        <v>49</v>
      </c>
      <c r="AD135" s="452">
        <f t="shared" si="88"/>
        <v>49</v>
      </c>
      <c r="AE135" s="453">
        <f t="shared" si="88"/>
        <v>295</v>
      </c>
      <c r="AF135" s="453">
        <f t="shared" si="88"/>
        <v>302</v>
      </c>
      <c r="AG135" s="453">
        <f t="shared" si="88"/>
        <v>302</v>
      </c>
      <c r="AH135" s="453">
        <f t="shared" si="88"/>
        <v>302</v>
      </c>
      <c r="AI135" s="453">
        <f t="shared" si="88"/>
        <v>302</v>
      </c>
      <c r="AJ135" s="453">
        <f t="shared" si="88"/>
        <v>302</v>
      </c>
      <c r="AK135" s="453">
        <f t="shared" si="88"/>
        <v>302</v>
      </c>
      <c r="AL135" s="453">
        <f t="shared" si="88"/>
        <v>302</v>
      </c>
      <c r="AM135" s="92"/>
      <c r="AN135" s="83"/>
      <c r="AO135" s="83"/>
      <c r="CA135" s="477"/>
      <c r="CB135" s="478"/>
    </row>
    <row r="136" spans="2:80">
      <c r="D136" s="76" t="s">
        <v>765</v>
      </c>
      <c r="J136" s="453">
        <f>J97</f>
        <v>38</v>
      </c>
      <c r="K136" s="453">
        <f t="shared" ref="K136:V136" si="89">K97</f>
        <v>112</v>
      </c>
      <c r="L136" s="452">
        <f t="shared" si="89"/>
        <v>72</v>
      </c>
      <c r="M136" s="452">
        <f t="shared" si="89"/>
        <v>23</v>
      </c>
      <c r="N136" s="452">
        <f t="shared" si="89"/>
        <v>52</v>
      </c>
      <c r="O136" s="452">
        <f t="shared" si="89"/>
        <v>85</v>
      </c>
      <c r="P136" s="453">
        <f t="shared" si="89"/>
        <v>232</v>
      </c>
      <c r="Q136" s="452">
        <f t="shared" si="89"/>
        <v>81</v>
      </c>
      <c r="R136" s="452">
        <f t="shared" si="89"/>
        <v>89</v>
      </c>
      <c r="S136" s="452">
        <f t="shared" si="89"/>
        <v>90</v>
      </c>
      <c r="T136" s="452">
        <f t="shared" si="89"/>
        <v>143</v>
      </c>
      <c r="U136" s="453">
        <f t="shared" si="89"/>
        <v>403</v>
      </c>
      <c r="V136" s="452">
        <f t="shared" si="89"/>
        <v>102</v>
      </c>
      <c r="W136" s="452">
        <f>W97</f>
        <v>136</v>
      </c>
      <c r="X136" s="452">
        <f>X97</f>
        <v>188</v>
      </c>
      <c r="Y136" s="452">
        <f>Y97</f>
        <v>145</v>
      </c>
      <c r="Z136" s="453">
        <f>Z97</f>
        <v>571</v>
      </c>
      <c r="AA136" s="452">
        <f>AA97</f>
        <v>107.5</v>
      </c>
      <c r="AB136" s="452">
        <f t="shared" ref="AB136:AL136" si="90">AB97</f>
        <v>83</v>
      </c>
      <c r="AC136" s="452">
        <f t="shared" si="90"/>
        <v>119.75</v>
      </c>
      <c r="AD136" s="452">
        <f t="shared" si="90"/>
        <v>119.75</v>
      </c>
      <c r="AE136" s="453">
        <f t="shared" si="90"/>
        <v>430</v>
      </c>
      <c r="AF136" s="453">
        <f t="shared" si="90"/>
        <v>500</v>
      </c>
      <c r="AG136" s="453">
        <f t="shared" si="90"/>
        <v>500</v>
      </c>
      <c r="AH136" s="453">
        <f t="shared" si="90"/>
        <v>500</v>
      </c>
      <c r="AI136" s="453">
        <f t="shared" si="90"/>
        <v>500</v>
      </c>
      <c r="AJ136" s="453">
        <f t="shared" si="90"/>
        <v>500</v>
      </c>
      <c r="AK136" s="453">
        <f t="shared" si="90"/>
        <v>721.21926880159674</v>
      </c>
      <c r="AL136" s="453">
        <f t="shared" si="90"/>
        <v>721.21926880159674</v>
      </c>
      <c r="AM136" s="92"/>
      <c r="AN136" s="83"/>
      <c r="AO136" s="83"/>
      <c r="CA136" s="477"/>
      <c r="CB136" s="478"/>
    </row>
    <row r="137" spans="2:80">
      <c r="B137" s="83"/>
      <c r="C137" s="83"/>
      <c r="D137" s="746" t="s">
        <v>766</v>
      </c>
      <c r="E137" s="747"/>
      <c r="F137" s="103"/>
      <c r="G137" s="104"/>
      <c r="H137" s="104"/>
      <c r="I137" s="104"/>
      <c r="J137" s="184">
        <f>J134+J135+J136</f>
        <v>2448</v>
      </c>
      <c r="K137" s="184">
        <f>K134+K135+K136</f>
        <v>2897</v>
      </c>
      <c r="L137" s="106">
        <f t="shared" ref="L137:V137" si="91">L134+L135+L136</f>
        <v>806</v>
      </c>
      <c r="M137" s="106">
        <f t="shared" si="91"/>
        <v>778</v>
      </c>
      <c r="N137" s="106">
        <f t="shared" si="91"/>
        <v>863.99999999999989</v>
      </c>
      <c r="O137" s="106">
        <f t="shared" si="91"/>
        <v>870</v>
      </c>
      <c r="P137" s="184">
        <f t="shared" si="91"/>
        <v>3318</v>
      </c>
      <c r="Q137" s="106">
        <f t="shared" si="91"/>
        <v>867.00000000000011</v>
      </c>
      <c r="R137" s="106">
        <f t="shared" si="91"/>
        <v>873.00000000000011</v>
      </c>
      <c r="S137" s="106">
        <f t="shared" si="91"/>
        <v>839</v>
      </c>
      <c r="T137" s="106">
        <f t="shared" si="91"/>
        <v>878.2</v>
      </c>
      <c r="U137" s="184">
        <f t="shared" si="91"/>
        <v>3457</v>
      </c>
      <c r="V137" s="106">
        <f t="shared" si="91"/>
        <v>828</v>
      </c>
      <c r="W137" s="106">
        <f>W134+W135+W136</f>
        <v>766</v>
      </c>
      <c r="X137" s="106">
        <f>X134+X135+X136</f>
        <v>826.3</v>
      </c>
      <c r="Y137" s="106">
        <f>Y134+Y135+Y136</f>
        <v>675.7</v>
      </c>
      <c r="Z137" s="184">
        <f>Z134+Z135+Z136</f>
        <v>2625</v>
      </c>
      <c r="AA137" s="106">
        <f>AA134+AA135+AA136</f>
        <v>822.9</v>
      </c>
      <c r="AB137" s="106" t="e">
        <f t="shared" ref="AB137:AL137" si="92">AB134+AB135+AB136</f>
        <v>#VALUE!</v>
      </c>
      <c r="AC137" s="106">
        <f t="shared" si="92"/>
        <v>828.5625</v>
      </c>
      <c r="AD137" s="106">
        <f t="shared" si="92"/>
        <v>895.83749999999975</v>
      </c>
      <c r="AE137" s="184">
        <f>AE134+AE135+AE136</f>
        <v>3364.25</v>
      </c>
      <c r="AF137" s="184">
        <f t="shared" si="92"/>
        <v>3544.75</v>
      </c>
      <c r="AG137" s="184">
        <f t="shared" si="92"/>
        <v>3544.75</v>
      </c>
      <c r="AH137" s="184">
        <f t="shared" si="92"/>
        <v>3544.75</v>
      </c>
      <c r="AI137" s="184">
        <f t="shared" si="92"/>
        <v>3544.75</v>
      </c>
      <c r="AJ137" s="184">
        <f t="shared" si="92"/>
        <v>3544.75</v>
      </c>
      <c r="AK137" s="184">
        <f t="shared" si="92"/>
        <v>3765.9692688015966</v>
      </c>
      <c r="AL137" s="184">
        <f t="shared" si="92"/>
        <v>3765.9692688015966</v>
      </c>
      <c r="AM137" s="107"/>
      <c r="AN137" s="135"/>
      <c r="AO137" s="135"/>
      <c r="AP137" s="759"/>
      <c r="CA137" s="477"/>
      <c r="CB137" s="478"/>
    </row>
    <row r="138" spans="2:80">
      <c r="L138" s="133"/>
      <c r="M138" s="133"/>
      <c r="N138" s="133"/>
      <c r="O138" s="133"/>
      <c r="Q138" s="133"/>
      <c r="R138" s="133"/>
      <c r="S138" s="133"/>
      <c r="T138" s="133"/>
      <c r="V138" s="133"/>
      <c r="W138" s="133"/>
      <c r="X138" s="133"/>
      <c r="Y138" s="133"/>
      <c r="AA138" s="133"/>
      <c r="AB138" s="133"/>
      <c r="AC138" s="133"/>
      <c r="AD138" s="133"/>
      <c r="AF138" s="323"/>
      <c r="AG138" s="323"/>
      <c r="AH138" s="92"/>
      <c r="AI138" s="92"/>
      <c r="AJ138" s="92"/>
      <c r="AK138" s="92"/>
      <c r="AL138" s="92"/>
      <c r="AM138" s="92"/>
      <c r="AN138" s="83"/>
      <c r="AO138" s="83"/>
      <c r="CA138" s="477"/>
      <c r="CB138" s="478"/>
    </row>
    <row r="139" spans="2:80">
      <c r="L139" s="133"/>
      <c r="M139" s="133"/>
      <c r="N139" s="133"/>
      <c r="O139" s="133"/>
      <c r="Q139" s="133"/>
      <c r="R139" s="133"/>
      <c r="S139" s="133"/>
      <c r="T139" s="133"/>
      <c r="V139" s="133"/>
      <c r="W139" s="133"/>
      <c r="X139" s="133"/>
      <c r="Y139" s="133"/>
      <c r="AA139" s="133"/>
      <c r="AB139" s="133"/>
      <c r="AC139" s="133"/>
      <c r="AD139" s="133"/>
      <c r="AF139" s="323"/>
      <c r="AG139" s="323"/>
      <c r="AH139" s="92"/>
      <c r="AI139" s="92"/>
      <c r="AJ139" s="92"/>
      <c r="AK139" s="92"/>
      <c r="AL139" s="92"/>
      <c r="AM139" s="92"/>
      <c r="AN139" s="83"/>
      <c r="AO139" s="83"/>
      <c r="CA139" s="477"/>
      <c r="CB139" s="478"/>
    </row>
    <row r="140" spans="2:80">
      <c r="L140" s="133"/>
      <c r="M140" s="133"/>
      <c r="N140" s="133"/>
      <c r="O140" s="133"/>
      <c r="Q140" s="133"/>
      <c r="R140" s="133"/>
      <c r="S140" s="133"/>
      <c r="T140" s="133"/>
      <c r="V140" s="324"/>
      <c r="W140" s="324"/>
      <c r="X140" s="324"/>
      <c r="Y140" s="324"/>
      <c r="Z140" s="323"/>
      <c r="AA140" s="324"/>
      <c r="AB140" s="324"/>
      <c r="AC140" s="324"/>
      <c r="AD140" s="324"/>
      <c r="AE140" s="323"/>
      <c r="AF140" s="323"/>
      <c r="AG140" s="323"/>
      <c r="AH140" s="92"/>
      <c r="AI140" s="92"/>
      <c r="AJ140" s="92"/>
      <c r="AK140" s="92"/>
      <c r="AL140" s="92"/>
      <c r="AM140" s="92"/>
      <c r="AN140" s="83"/>
      <c r="AO140" s="83"/>
      <c r="CA140" s="477"/>
      <c r="CB140" s="478"/>
    </row>
    <row r="141" spans="2:80">
      <c r="D141" s="76" t="s">
        <v>926</v>
      </c>
      <c r="K141" s="1133">
        <f>(K83*(1-K78))+(-K68*K78)-K97-K98-K99</f>
        <v>2591.5</v>
      </c>
      <c r="L141" s="133"/>
      <c r="M141" s="133"/>
      <c r="N141" s="133"/>
      <c r="O141" s="133"/>
      <c r="P141" s="446">
        <f t="shared" ref="P141:AL141" si="93">(P83*(1-P78))+(-P68*P78)-P97-P98-P99</f>
        <v>2340.6999999999998</v>
      </c>
      <c r="Q141" s="1143">
        <f t="shared" si="93"/>
        <v>538.59999999999991</v>
      </c>
      <c r="R141" s="1143">
        <f t="shared" si="93"/>
        <v>513.79999999999995</v>
      </c>
      <c r="S141" s="1143">
        <f t="shared" si="93"/>
        <v>300.39999999999998</v>
      </c>
      <c r="T141" s="1143">
        <f t="shared" si="93"/>
        <v>72.399999999999977</v>
      </c>
      <c r="U141" s="446">
        <f t="shared" si="93"/>
        <v>1425.1999999999998</v>
      </c>
      <c r="V141" s="666">
        <f t="shared" si="93"/>
        <v>147</v>
      </c>
      <c r="W141" s="666">
        <f t="shared" si="93"/>
        <v>-57.900000000000006</v>
      </c>
      <c r="X141" s="666">
        <f t="shared" si="93"/>
        <v>-101.60000000000001</v>
      </c>
      <c r="Y141" s="666">
        <f t="shared" si="93"/>
        <v>-178.70000000000002</v>
      </c>
      <c r="Z141" s="662">
        <f>(Z83*(1-Z78))+(-Z68*Z78)-Z97-Z98-Z99</f>
        <v>-191.20000000000005</v>
      </c>
      <c r="AA141" s="666">
        <f t="shared" si="93"/>
        <v>114.42499999999995</v>
      </c>
      <c r="AB141" s="666">
        <f t="shared" si="93"/>
        <v>32.324999999999989</v>
      </c>
      <c r="AC141" s="666">
        <f t="shared" si="93"/>
        <v>132.13722890000003</v>
      </c>
      <c r="AD141" s="666">
        <f t="shared" si="93"/>
        <v>164.04200517999993</v>
      </c>
      <c r="AE141" s="662">
        <f t="shared" si="93"/>
        <v>442.92923407999979</v>
      </c>
      <c r="AF141" s="662">
        <f t="shared" si="93"/>
        <v>206.05554999999981</v>
      </c>
      <c r="AG141" s="662">
        <f t="shared" si="93"/>
        <v>105.34760000000006</v>
      </c>
      <c r="AH141" s="172">
        <f t="shared" si="93"/>
        <v>128.46090000000027</v>
      </c>
      <c r="AI141" s="172">
        <f t="shared" si="93"/>
        <v>128.46090000000027</v>
      </c>
      <c r="AJ141" s="172">
        <f t="shared" si="93"/>
        <v>128.46090000000027</v>
      </c>
      <c r="AK141" s="172">
        <f t="shared" si="93"/>
        <v>-92.758368801596475</v>
      </c>
      <c r="AL141" s="172">
        <f t="shared" si="93"/>
        <v>-92.758368801596475</v>
      </c>
      <c r="AM141" s="92"/>
      <c r="AN141" s="83"/>
      <c r="AO141" s="83"/>
      <c r="CA141" s="477"/>
      <c r="CB141" s="478"/>
    </row>
    <row r="142" spans="2:80">
      <c r="L142" s="133"/>
      <c r="M142" s="133"/>
      <c r="N142" s="133"/>
      <c r="O142" s="133"/>
      <c r="Q142" s="133"/>
      <c r="R142" s="133"/>
      <c r="S142" s="133"/>
      <c r="T142" s="133"/>
      <c r="V142" s="324"/>
      <c r="W142" s="324"/>
      <c r="X142" s="324"/>
      <c r="Y142" s="324"/>
      <c r="Z142" s="323"/>
      <c r="AA142" s="324"/>
      <c r="AB142" s="324"/>
      <c r="AC142" s="324"/>
      <c r="AD142" s="324"/>
      <c r="AE142" s="323"/>
      <c r="AF142" s="323"/>
      <c r="AG142" s="323"/>
      <c r="AH142" s="92"/>
      <c r="AI142" s="92"/>
      <c r="AJ142" s="92"/>
      <c r="AK142" s="92"/>
      <c r="AL142" s="92"/>
      <c r="AM142" s="92"/>
      <c r="AN142" s="83"/>
      <c r="AO142" s="83"/>
      <c r="CA142" s="477"/>
      <c r="CB142" s="478"/>
    </row>
    <row r="143" spans="2:80">
      <c r="L143" s="133"/>
      <c r="M143" s="133"/>
      <c r="N143" s="133"/>
      <c r="O143" s="133"/>
      <c r="Q143" s="133"/>
      <c r="R143" s="133"/>
      <c r="S143" s="133"/>
      <c r="T143" s="133"/>
      <c r="V143" s="324"/>
      <c r="W143" s="324"/>
      <c r="X143" s="324"/>
      <c r="Y143" s="324"/>
      <c r="Z143" s="323"/>
      <c r="AA143" s="324"/>
      <c r="AB143" s="324"/>
      <c r="AC143" s="324"/>
      <c r="AD143" s="324"/>
      <c r="AE143" s="323"/>
      <c r="AF143" s="323"/>
      <c r="AG143" s="323"/>
      <c r="AH143" s="92"/>
      <c r="AI143" s="92"/>
      <c r="AJ143" s="83"/>
      <c r="AK143" s="83"/>
      <c r="AL143" s="83"/>
      <c r="AM143" s="83"/>
      <c r="AN143" s="83"/>
      <c r="AO143" s="83"/>
      <c r="CA143" s="477"/>
      <c r="CB143" s="478"/>
    </row>
    <row r="144" spans="2:80">
      <c r="L144" s="133"/>
      <c r="M144" s="133"/>
      <c r="N144" s="133"/>
      <c r="O144" s="133"/>
      <c r="Q144" s="133"/>
      <c r="R144" s="133"/>
      <c r="S144" s="133"/>
      <c r="T144" s="133"/>
      <c r="V144" s="324"/>
      <c r="W144" s="324"/>
      <c r="X144" s="324"/>
      <c r="Y144" s="324"/>
      <c r="Z144" s="323"/>
      <c r="AA144" s="324"/>
      <c r="AB144" s="324"/>
      <c r="AC144" s="324"/>
      <c r="AD144" s="324"/>
      <c r="AE144" s="323"/>
      <c r="AF144" s="323"/>
      <c r="AG144" s="323"/>
      <c r="AH144" s="323"/>
      <c r="AI144" s="323"/>
    </row>
    <row r="145" spans="1:80">
      <c r="L145" s="133"/>
      <c r="M145" s="133"/>
      <c r="N145" s="133"/>
      <c r="O145" s="133"/>
      <c r="Q145" s="133"/>
      <c r="R145" s="133"/>
      <c r="S145" s="133"/>
      <c r="T145" s="133"/>
      <c r="V145" s="324"/>
      <c r="W145" s="324"/>
      <c r="X145" s="324"/>
      <c r="Y145" s="324"/>
      <c r="Z145" s="323"/>
      <c r="AA145" s="324"/>
      <c r="AB145" s="324"/>
      <c r="AC145" s="324"/>
      <c r="AD145" s="324"/>
      <c r="AE145" s="323"/>
      <c r="AF145" s="323"/>
      <c r="AG145" s="323"/>
      <c r="AH145" s="323"/>
      <c r="AI145" s="323"/>
    </row>
    <row r="146" spans="1:80">
      <c r="L146" s="133"/>
      <c r="M146" s="133"/>
      <c r="N146" s="133"/>
      <c r="O146" s="133"/>
      <c r="Q146" s="133"/>
      <c r="R146" s="133"/>
      <c r="S146" s="133"/>
      <c r="T146" s="133"/>
      <c r="V146" s="324"/>
      <c r="W146" s="324"/>
      <c r="X146" s="324"/>
      <c r="Y146" s="324"/>
      <c r="Z146" s="323"/>
      <c r="AA146" s="324"/>
      <c r="AB146" s="324"/>
      <c r="AC146" s="324"/>
      <c r="AD146" s="324"/>
      <c r="AE146" s="323"/>
      <c r="AF146" s="323"/>
      <c r="AG146" s="323"/>
      <c r="AH146" s="92"/>
      <c r="AI146" s="92"/>
      <c r="AJ146" s="83"/>
      <c r="AK146" s="83"/>
      <c r="AL146" s="83"/>
      <c r="AM146" s="83"/>
      <c r="AN146" s="83"/>
      <c r="AO146" s="83"/>
      <c r="CA146" s="477"/>
      <c r="CB146" s="478"/>
    </row>
    <row r="147" spans="1:80">
      <c r="L147" s="133"/>
      <c r="M147" s="133"/>
      <c r="N147" s="133"/>
      <c r="O147" s="133"/>
      <c r="Q147" s="133"/>
      <c r="R147" s="133"/>
      <c r="S147" s="133"/>
      <c r="T147" s="133"/>
      <c r="V147" s="324"/>
      <c r="W147" s="324"/>
      <c r="X147" s="324"/>
      <c r="Y147" s="324"/>
      <c r="Z147" s="323"/>
      <c r="AA147" s="324"/>
      <c r="AB147" s="324"/>
      <c r="AC147" s="324"/>
      <c r="AD147" s="324"/>
      <c r="AE147" s="323"/>
      <c r="AF147" s="323"/>
      <c r="AG147" s="323"/>
      <c r="AH147" s="92"/>
      <c r="AI147" s="92"/>
      <c r="AJ147" s="83"/>
      <c r="AK147" s="83"/>
      <c r="AL147" s="83"/>
      <c r="AM147" s="83"/>
      <c r="AN147" s="83"/>
      <c r="AO147" s="83"/>
      <c r="CA147" s="477"/>
      <c r="CB147" s="478"/>
    </row>
    <row r="148" spans="1:80">
      <c r="L148" s="133"/>
      <c r="M148" s="133"/>
      <c r="N148" s="133"/>
      <c r="O148" s="133"/>
      <c r="Q148" s="133"/>
      <c r="R148" s="133"/>
      <c r="S148" s="133"/>
      <c r="T148" s="133"/>
      <c r="V148" s="133"/>
      <c r="W148" s="133"/>
      <c r="X148" s="133"/>
      <c r="Y148" s="133"/>
      <c r="AA148" s="133"/>
      <c r="AB148" s="133"/>
      <c r="AC148" s="133"/>
      <c r="AD148" s="133"/>
      <c r="AH148" s="92"/>
      <c r="AI148" s="92"/>
      <c r="AJ148" s="83"/>
      <c r="AK148" s="83"/>
      <c r="AL148" s="83"/>
      <c r="AM148" s="83"/>
      <c r="AN148" s="83"/>
      <c r="AO148" s="83"/>
      <c r="CA148" s="477"/>
      <c r="CB148" s="478"/>
    </row>
    <row r="149" spans="1:80">
      <c r="L149" s="133"/>
      <c r="M149" s="133"/>
      <c r="N149" s="133"/>
      <c r="O149" s="133"/>
      <c r="Q149" s="133"/>
      <c r="R149" s="133"/>
      <c r="S149" s="133"/>
      <c r="T149" s="133"/>
      <c r="V149" s="133"/>
      <c r="W149" s="133"/>
      <c r="X149" s="133"/>
      <c r="Y149" s="133"/>
      <c r="AA149" s="133"/>
      <c r="AB149" s="133"/>
      <c r="AC149" s="133"/>
      <c r="AD149" s="133"/>
      <c r="AH149" s="92"/>
      <c r="AI149" s="92"/>
      <c r="AJ149" s="83"/>
      <c r="AK149" s="83"/>
      <c r="AL149" s="83"/>
      <c r="AM149" s="83"/>
      <c r="AN149" s="83"/>
      <c r="AO149" s="83"/>
      <c r="CA149" s="477"/>
      <c r="CB149" s="478"/>
    </row>
    <row r="150" spans="1:80">
      <c r="B150" s="150"/>
      <c r="C150" s="151"/>
      <c r="D150" s="152"/>
      <c r="E150" s="152"/>
      <c r="G150" s="153"/>
      <c r="H150" s="153"/>
      <c r="I150" s="153"/>
      <c r="J150" s="153"/>
      <c r="K150" s="153"/>
      <c r="L150" s="154"/>
      <c r="M150" s="154"/>
      <c r="N150" s="154"/>
      <c r="O150" s="154"/>
      <c r="P150" s="153"/>
      <c r="Q150" s="154"/>
      <c r="R150" s="154"/>
      <c r="S150" s="154"/>
      <c r="T150" s="154"/>
      <c r="U150" s="153"/>
      <c r="V150" s="154"/>
      <c r="W150" s="140"/>
      <c r="X150" s="140"/>
      <c r="Y150" s="140"/>
      <c r="Z150" s="83"/>
      <c r="AA150" s="140"/>
      <c r="AB150" s="140"/>
      <c r="AC150" s="140"/>
      <c r="AD150" s="140"/>
      <c r="AE150" s="83"/>
      <c r="AF150" s="83"/>
      <c r="AG150" s="83"/>
      <c r="AH150" s="83"/>
      <c r="AI150" s="83"/>
      <c r="AJ150" s="83"/>
      <c r="AK150" s="83"/>
      <c r="AL150" s="83"/>
      <c r="AM150" s="83"/>
      <c r="AN150" s="83"/>
      <c r="AO150" s="83"/>
      <c r="CA150" s="477"/>
      <c r="CB150" s="478"/>
    </row>
    <row r="151" spans="1:80">
      <c r="A151" s="155" t="s">
        <v>40</v>
      </c>
      <c r="B151" s="156" t="s">
        <v>0</v>
      </c>
      <c r="C151" s="157" t="s">
        <v>0</v>
      </c>
      <c r="D151" s="155" t="s">
        <v>192</v>
      </c>
      <c r="E151" s="155"/>
      <c r="F151" s="158"/>
      <c r="G151" s="159" t="s">
        <v>0</v>
      </c>
      <c r="H151" s="159" t="s">
        <v>0</v>
      </c>
      <c r="I151" s="159" t="s">
        <v>0</v>
      </c>
      <c r="J151" s="159" t="s">
        <v>0</v>
      </c>
      <c r="K151" s="159" t="s">
        <v>0</v>
      </c>
      <c r="L151" s="159"/>
      <c r="M151" s="159"/>
      <c r="N151" s="159"/>
      <c r="O151" s="159"/>
      <c r="P151" s="160" t="s">
        <v>0</v>
      </c>
      <c r="Q151" s="159"/>
      <c r="R151" s="159"/>
      <c r="S151" s="159"/>
      <c r="T151" s="159"/>
      <c r="U151" s="161"/>
      <c r="V151" s="161"/>
      <c r="W151" s="161"/>
      <c r="X151" s="161"/>
      <c r="Y151" s="161"/>
      <c r="Z151" s="161"/>
      <c r="AA151" s="161"/>
      <c r="AB151" s="161"/>
      <c r="AC151" s="161"/>
      <c r="AD151" s="161"/>
      <c r="AE151" s="161"/>
      <c r="AF151" s="161"/>
      <c r="AG151" s="161"/>
      <c r="AH151" s="161"/>
      <c r="AI151" s="161"/>
      <c r="AJ151" s="161"/>
      <c r="AK151" s="161"/>
      <c r="AL151" s="161"/>
      <c r="AM151" s="161"/>
      <c r="AN151" s="161"/>
      <c r="AO151" s="161"/>
      <c r="AP151" s="158"/>
      <c r="AQ151" s="158"/>
      <c r="AR151" s="158"/>
      <c r="AS151" s="158"/>
      <c r="AT151" s="158"/>
      <c r="CA151" s="477"/>
      <c r="CB151" s="478"/>
    </row>
    <row r="152" spans="1:80" ht="16" thickBot="1">
      <c r="A152" s="83"/>
      <c r="B152" s="95"/>
      <c r="C152" s="96"/>
      <c r="D152" s="162"/>
      <c r="E152" s="162"/>
      <c r="F152" s="83"/>
      <c r="G152" s="95"/>
      <c r="H152" s="95"/>
      <c r="I152" s="95"/>
      <c r="J152" s="95"/>
      <c r="K152" s="95"/>
      <c r="L152" s="126"/>
      <c r="M152" s="126"/>
      <c r="N152" s="126"/>
      <c r="O152" s="126"/>
      <c r="P152" s="95"/>
      <c r="Q152" s="126"/>
      <c r="R152" s="126"/>
      <c r="S152" s="126"/>
      <c r="T152" s="126"/>
      <c r="U152" s="92"/>
      <c r="V152" s="126"/>
      <c r="W152" s="126"/>
      <c r="X152" s="126"/>
      <c r="Y152" s="126"/>
      <c r="Z152" s="92"/>
      <c r="AA152" s="99"/>
      <c r="AB152" s="99"/>
      <c r="AC152" s="99"/>
      <c r="AD152" s="99"/>
      <c r="AE152" s="92"/>
      <c r="AF152" s="92"/>
      <c r="AG152" s="92"/>
      <c r="AH152" s="92"/>
      <c r="AI152" s="92"/>
      <c r="AJ152" s="92"/>
      <c r="AK152" s="92"/>
      <c r="AL152" s="92"/>
      <c r="AM152" s="92"/>
      <c r="AN152" s="92"/>
      <c r="AO152" s="83"/>
      <c r="CA152" s="480"/>
      <c r="CB152" s="481"/>
    </row>
    <row r="153" spans="1:80">
      <c r="A153" s="83"/>
      <c r="B153" s="95" t="s">
        <v>656</v>
      </c>
      <c r="C153" s="96"/>
      <c r="D153" s="162" t="s">
        <v>614</v>
      </c>
      <c r="E153" s="162"/>
      <c r="F153" s="83"/>
      <c r="G153" s="90">
        <v>44861</v>
      </c>
      <c r="H153" s="90">
        <v>49932</v>
      </c>
      <c r="I153" s="90">
        <v>47257</v>
      </c>
      <c r="J153" s="90">
        <v>49499</v>
      </c>
      <c r="K153" s="90">
        <v>52285</v>
      </c>
      <c r="L153" s="91">
        <v>12212</v>
      </c>
      <c r="M153" s="91">
        <v>12441</v>
      </c>
      <c r="N153" s="91">
        <v>12311</v>
      </c>
      <c r="O153" s="91">
        <v>14924</v>
      </c>
      <c r="P153" s="90">
        <v>51888</v>
      </c>
      <c r="Q153" s="91">
        <v>12302</v>
      </c>
      <c r="R153" s="91">
        <v>13100</v>
      </c>
      <c r="S153" s="91">
        <v>12825</v>
      </c>
      <c r="T153" s="91">
        <v>13354</v>
      </c>
      <c r="U153" s="146">
        <v>51581</v>
      </c>
      <c r="V153" s="91">
        <v>11626</v>
      </c>
      <c r="W153" s="91">
        <v>11936</v>
      </c>
      <c r="X153" s="91">
        <v>11454</v>
      </c>
      <c r="Y153" s="91">
        <v>11530</v>
      </c>
      <c r="Z153" s="146">
        <v>46546</v>
      </c>
      <c r="AA153" s="91">
        <v>10275</v>
      </c>
      <c r="AB153" s="91">
        <v>10793</v>
      </c>
      <c r="AC153" s="97">
        <f t="shared" ref="AC153:AF153" si="94">AC158/AC155/AC154</f>
        <v>13984.509466437177</v>
      </c>
      <c r="AD153" s="97">
        <f t="shared" si="94"/>
        <v>13554.216867469877</v>
      </c>
      <c r="AE153" s="130">
        <f t="shared" si="94"/>
        <v>55938.037865748709</v>
      </c>
      <c r="AF153" s="130">
        <f t="shared" si="94"/>
        <v>55938.037865748709</v>
      </c>
      <c r="AG153" s="130">
        <f t="shared" ref="AG153:AL153" si="95">AG158/AG155/AG154</f>
        <v>55938.037865748709</v>
      </c>
      <c r="AH153" s="130">
        <f t="shared" si="95"/>
        <v>64543.889845094673</v>
      </c>
      <c r="AI153" s="130">
        <f t="shared" si="95"/>
        <v>64543.889845094673</v>
      </c>
      <c r="AJ153" s="130">
        <f t="shared" si="95"/>
        <v>64543.889845094673</v>
      </c>
      <c r="AK153" s="130">
        <f t="shared" si="95"/>
        <v>64543.889845094673</v>
      </c>
      <c r="AL153" s="130">
        <f t="shared" si="95"/>
        <v>64543.889845094673</v>
      </c>
      <c r="AM153" s="92"/>
      <c r="AN153" s="92"/>
      <c r="AO153" s="83"/>
      <c r="CA153" s="477"/>
      <c r="CB153" s="477"/>
    </row>
    <row r="154" spans="1:80">
      <c r="A154" s="83"/>
      <c r="B154" s="95" t="s">
        <v>221</v>
      </c>
      <c r="C154" s="96"/>
      <c r="D154" s="162" t="s">
        <v>615</v>
      </c>
      <c r="E154" s="162"/>
      <c r="F154" s="83"/>
      <c r="G154" s="583">
        <v>2.8999999999999998E-3</v>
      </c>
      <c r="H154" s="583">
        <v>2.8999999999999998E-3</v>
      </c>
      <c r="I154" s="583">
        <v>3.7000000000000002E-3</v>
      </c>
      <c r="J154" s="583">
        <v>2.8999999999999998E-3</v>
      </c>
      <c r="K154" s="583">
        <v>2.3999999999999998E-3</v>
      </c>
      <c r="L154" s="584">
        <v>2.8999999999999998E-3</v>
      </c>
      <c r="M154" s="584">
        <v>2.8E-3</v>
      </c>
      <c r="N154" s="584">
        <v>2.3E-3</v>
      </c>
      <c r="O154" s="584">
        <v>2E-3</v>
      </c>
      <c r="P154" s="583">
        <v>2.5000000000000001E-3</v>
      </c>
      <c r="Q154" s="584">
        <v>2.5999999999999999E-3</v>
      </c>
      <c r="R154" s="584">
        <v>2.8E-3</v>
      </c>
      <c r="S154" s="584">
        <v>3.0000000000000001E-3</v>
      </c>
      <c r="T154" s="584">
        <v>3.0000000000000001E-3</v>
      </c>
      <c r="U154" s="583">
        <v>2.8E-3</v>
      </c>
      <c r="V154" s="584">
        <v>2.7000000000000001E-3</v>
      </c>
      <c r="W154" s="584">
        <v>2.8999999999999998E-3</v>
      </c>
      <c r="X154" s="584">
        <v>2.8999999999999998E-3</v>
      </c>
      <c r="Y154" s="584">
        <v>3.3999999999999998E-3</v>
      </c>
      <c r="Z154" s="583">
        <v>3.0000000000000001E-3</v>
      </c>
      <c r="AA154" s="584">
        <v>3.5999999999999999E-3</v>
      </c>
      <c r="AB154" s="584">
        <v>3.5000000000000001E-3</v>
      </c>
      <c r="AC154" s="991">
        <v>2.8E-3</v>
      </c>
      <c r="AD154" s="991">
        <v>2.8E-3</v>
      </c>
      <c r="AE154" s="992">
        <v>2.8E-3</v>
      </c>
      <c r="AF154" s="992">
        <v>2.8E-3</v>
      </c>
      <c r="AG154" s="992">
        <v>2.8E-3</v>
      </c>
      <c r="AH154" s="992">
        <v>2.8E-3</v>
      </c>
      <c r="AI154" s="992">
        <v>2.8E-3</v>
      </c>
      <c r="AJ154" s="992">
        <v>2.8E-3</v>
      </c>
      <c r="AK154" s="992">
        <v>2.8E-3</v>
      </c>
      <c r="AL154" s="992">
        <v>2.8E-3</v>
      </c>
      <c r="AM154" s="92"/>
      <c r="AN154" s="92"/>
      <c r="AO154" s="83"/>
      <c r="CA154" s="477"/>
      <c r="CB154" s="477"/>
    </row>
    <row r="155" spans="1:80">
      <c r="A155" s="83"/>
      <c r="B155" s="95" t="s">
        <v>221</v>
      </c>
      <c r="C155" s="96"/>
      <c r="D155" s="162" t="s">
        <v>616</v>
      </c>
      <c r="E155" s="162"/>
      <c r="F155" s="83"/>
      <c r="G155" s="583">
        <v>0.85899999999999999</v>
      </c>
      <c r="H155" s="583">
        <v>0.84899999999999998</v>
      </c>
      <c r="I155" s="583">
        <v>0.879</v>
      </c>
      <c r="J155" s="583">
        <v>0.83099999999999996</v>
      </c>
      <c r="K155" s="583">
        <v>0.74399999999999999</v>
      </c>
      <c r="L155" s="584">
        <v>0.76300000000000001</v>
      </c>
      <c r="M155" s="584">
        <v>0.80100000000000005</v>
      </c>
      <c r="N155" s="584">
        <v>0.80400000000000005</v>
      </c>
      <c r="O155" s="584">
        <v>0.77600000000000002</v>
      </c>
      <c r="P155" s="583">
        <v>0.78600000000000003</v>
      </c>
      <c r="Q155" s="584">
        <v>0.82699999999999996</v>
      </c>
      <c r="R155" s="584">
        <v>0.83</v>
      </c>
      <c r="S155" s="584">
        <v>0.82399999999999995</v>
      </c>
      <c r="T155" s="584">
        <v>0.83199999999999996</v>
      </c>
      <c r="U155" s="583">
        <v>0.83099999999999996</v>
      </c>
      <c r="V155" s="584">
        <v>0.84199999999999997</v>
      </c>
      <c r="W155" s="584">
        <v>0.86299999999999999</v>
      </c>
      <c r="X155" s="584">
        <v>0.86799999999999999</v>
      </c>
      <c r="Y155" s="584">
        <v>0.88100000000000001</v>
      </c>
      <c r="Z155" s="583">
        <v>0.89600000000000002</v>
      </c>
      <c r="AA155" s="584">
        <v>0.879</v>
      </c>
      <c r="AB155" s="584">
        <v>0.88200000000000001</v>
      </c>
      <c r="AC155" s="991">
        <v>0.83</v>
      </c>
      <c r="AD155" s="991">
        <v>0.83</v>
      </c>
      <c r="AE155" s="992">
        <v>0.83</v>
      </c>
      <c r="AF155" s="992">
        <v>0.83</v>
      </c>
      <c r="AG155" s="992">
        <v>0.83</v>
      </c>
      <c r="AH155" s="992">
        <v>0.83</v>
      </c>
      <c r="AI155" s="992">
        <v>0.83</v>
      </c>
      <c r="AJ155" s="992">
        <v>0.83</v>
      </c>
      <c r="AK155" s="992">
        <v>0.83</v>
      </c>
      <c r="AL155" s="992">
        <v>0.83</v>
      </c>
      <c r="AM155" s="92"/>
      <c r="AN155" s="92"/>
      <c r="AO155" s="83"/>
      <c r="CA155" s="477"/>
      <c r="CB155" s="477"/>
    </row>
    <row r="156" spans="1:80">
      <c r="A156" s="83"/>
      <c r="B156" s="95"/>
      <c r="C156" s="96"/>
      <c r="D156" s="162"/>
      <c r="E156" s="162"/>
      <c r="F156" s="83"/>
      <c r="G156" s="95"/>
      <c r="H156" s="95"/>
      <c r="I156" s="95"/>
      <c r="J156" s="95"/>
      <c r="K156" s="95"/>
      <c r="L156" s="465"/>
      <c r="M156" s="465"/>
      <c r="N156" s="465"/>
      <c r="O156" s="465"/>
      <c r="P156" s="95"/>
      <c r="Q156" s="465"/>
      <c r="R156" s="465"/>
      <c r="S156" s="465"/>
      <c r="T156" s="465"/>
      <c r="U156" s="92"/>
      <c r="V156" s="465"/>
      <c r="W156" s="465"/>
      <c r="X156" s="465"/>
      <c r="Y156" s="465"/>
      <c r="Z156" s="92"/>
      <c r="AA156" s="99"/>
      <c r="AB156" s="99"/>
      <c r="AC156" s="99"/>
      <c r="AD156" s="99"/>
      <c r="AE156" s="92"/>
      <c r="AF156" s="92"/>
      <c r="AG156" s="92"/>
      <c r="AH156" s="92"/>
      <c r="AI156" s="92"/>
      <c r="AJ156" s="92"/>
      <c r="AK156" s="92"/>
      <c r="AL156" s="92"/>
      <c r="AM156" s="92"/>
      <c r="AN156" s="92"/>
      <c r="AO156" s="83"/>
      <c r="CA156" s="477"/>
      <c r="CB156" s="477"/>
    </row>
    <row r="157" spans="1:80">
      <c r="A157" s="83"/>
      <c r="B157" s="95"/>
      <c r="C157" s="96"/>
      <c r="D157" s="554" t="s">
        <v>641</v>
      </c>
      <c r="E157" s="554"/>
      <c r="F157" s="174"/>
      <c r="G157" s="555"/>
      <c r="H157" s="555"/>
      <c r="I157" s="555"/>
      <c r="J157" s="555"/>
      <c r="K157" s="555"/>
      <c r="L157" s="582"/>
      <c r="M157" s="582"/>
      <c r="N157" s="582"/>
      <c r="O157" s="582"/>
      <c r="P157" s="555"/>
      <c r="Q157" s="582"/>
      <c r="R157" s="582"/>
      <c r="S157" s="582"/>
      <c r="T157" s="582"/>
      <c r="U157" s="179"/>
      <c r="V157" s="582"/>
      <c r="W157" s="582"/>
      <c r="X157" s="582"/>
      <c r="Y157" s="582"/>
      <c r="Z157" s="189"/>
      <c r="AA157" s="686"/>
      <c r="AB157" s="686"/>
      <c r="AC157" s="686"/>
      <c r="AD157" s="686"/>
      <c r="AE157" s="189"/>
      <c r="AF157" s="189"/>
      <c r="AG157" s="189"/>
      <c r="AH157" s="189"/>
      <c r="AI157" s="189"/>
      <c r="AJ157" s="189"/>
      <c r="AK157" s="189"/>
      <c r="AL157" s="189"/>
      <c r="AM157" s="92"/>
      <c r="AN157" s="92"/>
      <c r="AO157" s="83"/>
      <c r="CA157" s="477"/>
      <c r="CB157" s="477"/>
    </row>
    <row r="158" spans="1:80">
      <c r="A158" s="83"/>
      <c r="B158" s="95" t="s">
        <v>640</v>
      </c>
      <c r="C158" s="96"/>
      <c r="D158" s="163" t="s">
        <v>169</v>
      </c>
      <c r="E158" s="163"/>
      <c r="F158" s="83"/>
      <c r="G158" s="90">
        <v>113</v>
      </c>
      <c r="H158" s="90">
        <v>121</v>
      </c>
      <c r="I158" s="90">
        <v>152</v>
      </c>
      <c r="J158" s="90">
        <v>119</v>
      </c>
      <c r="K158" s="90">
        <v>93</v>
      </c>
      <c r="L158" s="91">
        <v>27.3</v>
      </c>
      <c r="M158" s="91">
        <v>27.7</v>
      </c>
      <c r="N158" s="91">
        <v>23.1</v>
      </c>
      <c r="O158" s="91">
        <v>22.7</v>
      </c>
      <c r="P158" s="90">
        <v>100.8</v>
      </c>
      <c r="Q158" s="91">
        <v>26</v>
      </c>
      <c r="R158" s="86">
        <v>30.2</v>
      </c>
      <c r="S158" s="86">
        <v>31.6</v>
      </c>
      <c r="T158" s="86">
        <v>33.5</v>
      </c>
      <c r="U158" s="90">
        <v>121.3</v>
      </c>
      <c r="V158" s="91">
        <v>27.1</v>
      </c>
      <c r="W158" s="86">
        <v>29.3</v>
      </c>
      <c r="X158" s="86">
        <v>29</v>
      </c>
      <c r="Y158" s="86">
        <v>33.9</v>
      </c>
      <c r="Z158" s="1193">
        <v>119.3</v>
      </c>
      <c r="AA158" s="1194">
        <v>32.6</v>
      </c>
      <c r="AB158" s="1194">
        <v>33.4</v>
      </c>
      <c r="AC158" s="1195">
        <f>$AE$158*AC209</f>
        <v>32.5</v>
      </c>
      <c r="AD158" s="1195">
        <f>$AE$158*AD209</f>
        <v>31.499999999999989</v>
      </c>
      <c r="AE158" s="996">
        <v>130</v>
      </c>
      <c r="AF158" s="394">
        <f>AE158</f>
        <v>130</v>
      </c>
      <c r="AG158" s="394">
        <f t="shared" ref="AG158:AL159" si="96">AF158</f>
        <v>130</v>
      </c>
      <c r="AH158" s="394">
        <v>150</v>
      </c>
      <c r="AI158" s="394">
        <f t="shared" si="96"/>
        <v>150</v>
      </c>
      <c r="AJ158" s="394">
        <f t="shared" si="96"/>
        <v>150</v>
      </c>
      <c r="AK158" s="394">
        <f t="shared" si="96"/>
        <v>150</v>
      </c>
      <c r="AL158" s="394">
        <f t="shared" si="96"/>
        <v>150</v>
      </c>
      <c r="AM158" s="92"/>
      <c r="AO158" s="83"/>
      <c r="AS158" s="92" t="s">
        <v>266</v>
      </c>
    </row>
    <row r="159" spans="1:80">
      <c r="A159" s="83"/>
      <c r="B159" s="95" t="s">
        <v>639</v>
      </c>
      <c r="C159" s="96"/>
      <c r="D159" s="163" t="s">
        <v>532</v>
      </c>
      <c r="E159" s="163"/>
      <c r="F159" s="83"/>
      <c r="G159" s="85">
        <v>6.1</v>
      </c>
      <c r="H159" s="85">
        <v>5.2</v>
      </c>
      <c r="I159" s="85">
        <v>3.4</v>
      </c>
      <c r="J159" s="85">
        <v>5.4</v>
      </c>
      <c r="K159" s="85">
        <v>9.3000000000000007</v>
      </c>
      <c r="L159" s="86">
        <v>2.6</v>
      </c>
      <c r="M159" s="86">
        <v>2.2000000000000002</v>
      </c>
      <c r="N159" s="86">
        <v>1.9</v>
      </c>
      <c r="O159" s="86">
        <v>2</v>
      </c>
      <c r="P159" s="85">
        <v>8.6999999999999993</v>
      </c>
      <c r="Q159" s="86">
        <v>1.8</v>
      </c>
      <c r="R159" s="86">
        <v>2.2000000000000002</v>
      </c>
      <c r="S159" s="86">
        <v>1.2</v>
      </c>
      <c r="T159" s="86">
        <v>1.4</v>
      </c>
      <c r="U159" s="85">
        <v>6.6</v>
      </c>
      <c r="V159" s="86">
        <v>1.2</v>
      </c>
      <c r="W159" s="86">
        <v>1</v>
      </c>
      <c r="X159" s="86">
        <v>0.6</v>
      </c>
      <c r="Y159" s="86">
        <v>0.5</v>
      </c>
      <c r="Z159" s="85">
        <v>3.3</v>
      </c>
      <c r="AA159" s="86">
        <v>0.3</v>
      </c>
      <c r="AB159" s="86">
        <v>0.3</v>
      </c>
      <c r="AC159" s="87">
        <f>$AE$159*AC209</f>
        <v>0.375</v>
      </c>
      <c r="AD159" s="87">
        <f>$AE$159*AD209</f>
        <v>0.36346153846153834</v>
      </c>
      <c r="AE159" s="989">
        <v>1.5</v>
      </c>
      <c r="AF159" s="209">
        <f>AE159</f>
        <v>1.5</v>
      </c>
      <c r="AG159" s="209">
        <f t="shared" si="96"/>
        <v>1.5</v>
      </c>
      <c r="AH159" s="209">
        <f t="shared" si="96"/>
        <v>1.5</v>
      </c>
      <c r="AI159" s="209">
        <f t="shared" si="96"/>
        <v>1.5</v>
      </c>
      <c r="AJ159" s="209">
        <f t="shared" si="96"/>
        <v>1.5</v>
      </c>
      <c r="AK159" s="209">
        <f t="shared" si="96"/>
        <v>1.5</v>
      </c>
      <c r="AL159" s="209">
        <f t="shared" si="96"/>
        <v>1.5</v>
      </c>
      <c r="AM159" s="92"/>
      <c r="AN159" s="92"/>
      <c r="AO159" s="83"/>
      <c r="CA159" s="477"/>
      <c r="CB159" s="478"/>
    </row>
    <row r="160" spans="1:80">
      <c r="A160" s="83"/>
      <c r="B160" s="95"/>
      <c r="C160" s="96"/>
      <c r="D160" s="163"/>
      <c r="E160" s="163"/>
      <c r="F160" s="83"/>
      <c r="G160" s="90"/>
      <c r="H160" s="90"/>
      <c r="I160" s="90"/>
      <c r="J160" s="90"/>
      <c r="K160" s="90"/>
      <c r="L160" s="91"/>
      <c r="M160" s="91"/>
      <c r="N160" s="91"/>
      <c r="O160" s="91"/>
      <c r="P160" s="90"/>
      <c r="Q160" s="91"/>
      <c r="R160" s="91"/>
      <c r="S160" s="91"/>
      <c r="T160" s="91"/>
      <c r="U160" s="90"/>
      <c r="V160" s="91"/>
      <c r="W160" s="91"/>
      <c r="X160" s="91"/>
      <c r="Y160" s="91"/>
      <c r="Z160" s="92"/>
      <c r="AA160" s="91"/>
      <c r="AB160" s="99"/>
      <c r="AC160" s="99"/>
      <c r="AD160" s="99"/>
      <c r="AE160" s="92"/>
      <c r="AF160" s="92"/>
      <c r="AG160" s="92"/>
      <c r="AH160" s="92"/>
      <c r="AI160" s="92"/>
      <c r="AJ160" s="92"/>
      <c r="AK160" s="92"/>
      <c r="AL160" s="92"/>
      <c r="AM160" s="92"/>
      <c r="AN160" s="92"/>
      <c r="AO160" s="83"/>
      <c r="CA160" s="477"/>
      <c r="CB160" s="478"/>
    </row>
    <row r="161" spans="1:80">
      <c r="A161" s="83"/>
      <c r="B161" s="95"/>
      <c r="C161" s="96"/>
      <c r="D161" s="173" t="s">
        <v>617</v>
      </c>
      <c r="E161" s="173"/>
      <c r="F161" s="174"/>
      <c r="G161" s="175"/>
      <c r="H161" s="175"/>
      <c r="I161" s="175"/>
      <c r="J161" s="175"/>
      <c r="K161" s="175"/>
      <c r="L161" s="176"/>
      <c r="M161" s="176"/>
      <c r="N161" s="176"/>
      <c r="O161" s="176"/>
      <c r="P161" s="175"/>
      <c r="Q161" s="176"/>
      <c r="R161" s="176"/>
      <c r="S161" s="176"/>
      <c r="T161" s="176"/>
      <c r="U161" s="175"/>
      <c r="V161" s="176"/>
      <c r="W161" s="176"/>
      <c r="X161" s="176"/>
      <c r="Y161" s="176"/>
      <c r="Z161" s="179"/>
      <c r="AA161" s="176"/>
      <c r="AB161" s="995"/>
      <c r="AC161" s="995"/>
      <c r="AD161" s="995"/>
      <c r="AE161" s="179"/>
      <c r="AF161" s="179"/>
      <c r="AG161" s="179"/>
      <c r="AH161" s="179"/>
      <c r="AI161" s="179"/>
      <c r="AJ161" s="179"/>
      <c r="AK161" s="179"/>
      <c r="AL161" s="179"/>
      <c r="AM161" s="92"/>
      <c r="AN161" s="92"/>
      <c r="AO161" s="83"/>
      <c r="CA161" s="477"/>
      <c r="CB161" s="478"/>
    </row>
    <row r="162" spans="1:80">
      <c r="A162" s="83"/>
      <c r="B162" s="95" t="s">
        <v>656</v>
      </c>
      <c r="C162" s="96"/>
      <c r="D162" s="163" t="s">
        <v>151</v>
      </c>
      <c r="E162" s="163"/>
      <c r="F162" s="83"/>
      <c r="G162" s="90">
        <v>112</v>
      </c>
      <c r="H162" s="90">
        <v>124</v>
      </c>
      <c r="I162" s="90">
        <v>150</v>
      </c>
      <c r="J162" s="90">
        <v>122</v>
      </c>
      <c r="K162" s="90">
        <v>89</v>
      </c>
      <c r="L162" s="91">
        <v>30.9</v>
      </c>
      <c r="M162" s="91">
        <v>26.2</v>
      </c>
      <c r="N162" s="91">
        <v>24.7</v>
      </c>
      <c r="O162" s="91">
        <v>20.8</v>
      </c>
      <c r="P162" s="90">
        <v>102.6</v>
      </c>
      <c r="Q162" s="91">
        <v>26.3</v>
      </c>
      <c r="R162" s="86">
        <v>31.3</v>
      </c>
      <c r="S162" s="86">
        <v>32.9</v>
      </c>
      <c r="T162" s="86">
        <v>33.299999999999997</v>
      </c>
      <c r="U162" s="90">
        <v>123.8</v>
      </c>
      <c r="V162" s="91">
        <v>27.2</v>
      </c>
      <c r="W162" s="86">
        <v>28.5</v>
      </c>
      <c r="X162" s="86">
        <v>27.6</v>
      </c>
      <c r="Y162" s="86">
        <v>35.299999999999997</v>
      </c>
      <c r="Z162" s="90">
        <v>118.6</v>
      </c>
      <c r="AA162" s="91">
        <v>31.3</v>
      </c>
      <c r="AB162" s="91">
        <v>25.9</v>
      </c>
      <c r="AC162" s="97">
        <f t="shared" ref="AC162:AD163" si="97">AC158</f>
        <v>32.5</v>
      </c>
      <c r="AD162" s="97">
        <f t="shared" si="97"/>
        <v>31.499999999999989</v>
      </c>
      <c r="AE162" s="94">
        <f>SUM(AA162:AD162)</f>
        <v>121.19999999999999</v>
      </c>
      <c r="AF162" s="92">
        <f>AF158</f>
        <v>130</v>
      </c>
      <c r="AG162" s="92">
        <f t="shared" ref="AG162:AL162" si="98">AG158</f>
        <v>130</v>
      </c>
      <c r="AH162" s="92">
        <f>AH158</f>
        <v>150</v>
      </c>
      <c r="AI162" s="92">
        <f t="shared" si="98"/>
        <v>150</v>
      </c>
      <c r="AJ162" s="92">
        <f t="shared" si="98"/>
        <v>150</v>
      </c>
      <c r="AK162" s="92">
        <f t="shared" si="98"/>
        <v>150</v>
      </c>
      <c r="AL162" s="92">
        <f t="shared" si="98"/>
        <v>150</v>
      </c>
      <c r="AM162" s="92"/>
      <c r="AN162" s="92"/>
      <c r="AO162" s="83"/>
      <c r="CA162" s="477"/>
      <c r="CB162" s="478"/>
    </row>
    <row r="163" spans="1:80">
      <c r="A163" s="83"/>
      <c r="B163" s="95" t="s">
        <v>639</v>
      </c>
      <c r="C163" s="96"/>
      <c r="D163" s="163" t="s">
        <v>264</v>
      </c>
      <c r="E163" s="163"/>
      <c r="F163" s="83"/>
      <c r="G163" s="85">
        <v>6.2</v>
      </c>
      <c r="H163" s="85">
        <v>4.9000000000000004</v>
      </c>
      <c r="I163" s="85">
        <v>3.7</v>
      </c>
      <c r="J163" s="85">
        <v>5.2</v>
      </c>
      <c r="K163" s="85">
        <v>8.9</v>
      </c>
      <c r="L163" s="86">
        <v>2.4</v>
      </c>
      <c r="M163" s="86">
        <v>2</v>
      </c>
      <c r="N163" s="86">
        <v>1.9</v>
      </c>
      <c r="O163" s="86">
        <v>2.7</v>
      </c>
      <c r="P163" s="85">
        <v>9</v>
      </c>
      <c r="Q163" s="86">
        <v>1.2</v>
      </c>
      <c r="R163" s="86">
        <v>2</v>
      </c>
      <c r="S163" s="86">
        <v>2.1</v>
      </c>
      <c r="T163" s="86">
        <v>1.4</v>
      </c>
      <c r="U163" s="85">
        <v>6.7</v>
      </c>
      <c r="V163" s="86">
        <v>1.4</v>
      </c>
      <c r="W163" s="86">
        <v>0.9</v>
      </c>
      <c r="X163" s="86">
        <v>0.6</v>
      </c>
      <c r="Y163" s="86">
        <v>0.4</v>
      </c>
      <c r="Z163" s="85">
        <v>3.4</v>
      </c>
      <c r="AA163" s="86">
        <v>0.2</v>
      </c>
      <c r="AB163" s="86">
        <v>0.4</v>
      </c>
      <c r="AC163" s="87">
        <f t="shared" si="97"/>
        <v>0.375</v>
      </c>
      <c r="AD163" s="87">
        <f t="shared" si="97"/>
        <v>0.36346153846153834</v>
      </c>
      <c r="AE163" s="955">
        <f>SUM(AA163:AD163)</f>
        <v>1.3384615384615384</v>
      </c>
      <c r="AF163" s="92">
        <f>AF159</f>
        <v>1.5</v>
      </c>
      <c r="AG163" s="92">
        <f t="shared" ref="AG163:AL163" si="99">AG159</f>
        <v>1.5</v>
      </c>
      <c r="AH163" s="92">
        <f t="shared" si="99"/>
        <v>1.5</v>
      </c>
      <c r="AI163" s="92">
        <f t="shared" si="99"/>
        <v>1.5</v>
      </c>
      <c r="AJ163" s="92">
        <f t="shared" si="99"/>
        <v>1.5</v>
      </c>
      <c r="AK163" s="92">
        <f t="shared" si="99"/>
        <v>1.5</v>
      </c>
      <c r="AL163" s="92">
        <f t="shared" si="99"/>
        <v>1.5</v>
      </c>
      <c r="AM163" s="167"/>
      <c r="AN163" s="167"/>
      <c r="AO163" s="83"/>
      <c r="CA163" s="477"/>
      <c r="CB163" s="478"/>
    </row>
    <row r="164" spans="1:80">
      <c r="A164" s="83"/>
      <c r="B164" s="95"/>
      <c r="C164" s="96"/>
      <c r="D164" s="163"/>
      <c r="E164" s="163"/>
      <c r="F164" s="83"/>
      <c r="G164" s="90"/>
      <c r="H164" s="90"/>
      <c r="I164" s="90"/>
      <c r="J164" s="90"/>
      <c r="K164" s="90"/>
      <c r="L164" s="91"/>
      <c r="M164" s="91"/>
      <c r="N164" s="91"/>
      <c r="O164" s="91"/>
      <c r="P164" s="90"/>
      <c r="Q164" s="91"/>
      <c r="R164" s="91"/>
      <c r="S164" s="91"/>
      <c r="T164" s="91"/>
      <c r="U164" s="90"/>
      <c r="V164" s="91"/>
      <c r="W164" s="91"/>
      <c r="X164" s="91"/>
      <c r="Y164" s="91"/>
      <c r="Z164" s="92"/>
      <c r="AA164" s="99"/>
      <c r="AB164" s="99"/>
      <c r="AC164" s="99"/>
      <c r="AD164" s="99"/>
      <c r="AE164" s="92"/>
      <c r="AF164" s="92"/>
      <c r="AG164" s="92"/>
      <c r="AH164" s="92"/>
      <c r="AI164" s="92"/>
      <c r="AJ164" s="92"/>
      <c r="AK164" s="92"/>
      <c r="AL164" s="92"/>
      <c r="AM164" s="92"/>
      <c r="AN164" s="92"/>
      <c r="AO164" s="83"/>
      <c r="CA164" s="477"/>
      <c r="CB164" s="478"/>
    </row>
    <row r="165" spans="1:80">
      <c r="A165" s="83"/>
      <c r="B165" s="95"/>
      <c r="C165" s="96"/>
      <c r="D165" s="173" t="s">
        <v>725</v>
      </c>
      <c r="E165" s="585"/>
      <c r="F165" s="586"/>
      <c r="G165" s="587"/>
      <c r="H165" s="587"/>
      <c r="I165" s="587"/>
      <c r="J165" s="587"/>
      <c r="K165" s="587"/>
      <c r="L165" s="177"/>
      <c r="M165" s="177"/>
      <c r="N165" s="177"/>
      <c r="O165" s="177"/>
      <c r="P165" s="587"/>
      <c r="Q165" s="177"/>
      <c r="R165" s="177"/>
      <c r="S165" s="177"/>
      <c r="T165" s="177"/>
      <c r="U165" s="587"/>
      <c r="V165" s="177"/>
      <c r="W165" s="177"/>
      <c r="X165" s="177"/>
      <c r="Y165" s="177"/>
      <c r="Z165" s="588"/>
      <c r="AA165" s="705"/>
      <c r="AB165" s="705"/>
      <c r="AC165" s="705"/>
      <c r="AD165" s="705"/>
      <c r="AE165" s="588"/>
      <c r="AF165" s="588"/>
      <c r="AG165" s="588"/>
      <c r="AH165" s="588"/>
      <c r="AI165" s="588"/>
      <c r="AJ165" s="588"/>
      <c r="AK165" s="588"/>
      <c r="AL165" s="588"/>
      <c r="AM165" s="92"/>
      <c r="AN165" s="92"/>
      <c r="AO165" s="83"/>
      <c r="CA165" s="477"/>
      <c r="CB165" s="478"/>
    </row>
    <row r="166" spans="1:80">
      <c r="A166" s="83"/>
      <c r="B166" s="95" t="s">
        <v>618</v>
      </c>
      <c r="C166" s="96"/>
      <c r="D166" s="163" t="s">
        <v>146</v>
      </c>
      <c r="E166" s="163"/>
      <c r="F166" s="83"/>
      <c r="G166" s="589">
        <f t="shared" ref="G166:V166" si="100">G16</f>
        <v>3.32</v>
      </c>
      <c r="H166" s="589">
        <f t="shared" si="100"/>
        <v>3.11</v>
      </c>
      <c r="I166" s="589">
        <f t="shared" si="100"/>
        <v>2.4900000000000002</v>
      </c>
      <c r="J166" s="589">
        <f t="shared" si="100"/>
        <v>2.21</v>
      </c>
      <c r="K166" s="589">
        <f t="shared" si="100"/>
        <v>2.8</v>
      </c>
      <c r="L166" s="590">
        <f t="shared" si="100"/>
        <v>3.16</v>
      </c>
      <c r="M166" s="590">
        <f t="shared" si="100"/>
        <v>3.12</v>
      </c>
      <c r="N166" s="590">
        <f t="shared" si="100"/>
        <v>2.77</v>
      </c>
      <c r="O166" s="590">
        <f t="shared" si="100"/>
        <v>2.8</v>
      </c>
      <c r="P166" s="589">
        <f t="shared" si="100"/>
        <v>2.96</v>
      </c>
      <c r="Q166" s="590">
        <f t="shared" si="100"/>
        <v>2.82</v>
      </c>
      <c r="R166" s="590">
        <f t="shared" si="100"/>
        <v>2.77</v>
      </c>
      <c r="S166" s="590">
        <f t="shared" si="100"/>
        <v>2.63</v>
      </c>
      <c r="T166" s="590">
        <f t="shared" si="100"/>
        <v>2.67</v>
      </c>
      <c r="U166" s="589">
        <f t="shared" si="100"/>
        <v>2.72</v>
      </c>
      <c r="V166" s="590">
        <f t="shared" si="100"/>
        <v>2.5567456964982314</v>
      </c>
      <c r="W166" s="590">
        <f t="shared" ref="W166:AE166" si="101">W16</f>
        <v>2.4255515593495116</v>
      </c>
      <c r="X166" s="590">
        <f t="shared" si="101"/>
        <v>2.953751659752748</v>
      </c>
      <c r="Y166" s="590">
        <f t="shared" si="101"/>
        <v>3.250681813027307</v>
      </c>
      <c r="Z166" s="589">
        <f t="shared" si="101"/>
        <v>2.7966826821569493</v>
      </c>
      <c r="AA166" s="590">
        <f t="shared" si="101"/>
        <v>3.8572270965902482</v>
      </c>
      <c r="AB166" s="590">
        <f t="shared" si="101"/>
        <v>4.393529804250937</v>
      </c>
      <c r="AC166" s="590">
        <f t="shared" si="101"/>
        <v>4.1730926245123836</v>
      </c>
      <c r="AD166" s="590">
        <f t="shared" si="101"/>
        <v>4.1730926245123836</v>
      </c>
      <c r="AE166" s="589">
        <f t="shared" si="101"/>
        <v>4.1730926245123836</v>
      </c>
      <c r="AF166" s="589">
        <f t="shared" ref="AF166:AL166" si="102">AF16</f>
        <v>4.3148820326678763</v>
      </c>
      <c r="AG166" s="589">
        <f t="shared" si="102"/>
        <v>4.3148820326678763</v>
      </c>
      <c r="AH166" s="589">
        <f>AH16</f>
        <v>4.3148820326678763</v>
      </c>
      <c r="AI166" s="589">
        <f t="shared" si="102"/>
        <v>3.8688787081556746</v>
      </c>
      <c r="AJ166" s="589">
        <f t="shared" si="102"/>
        <v>3.8688787081556746</v>
      </c>
      <c r="AK166" s="589">
        <f t="shared" si="102"/>
        <v>3.8688787081556746</v>
      </c>
      <c r="AL166" s="589">
        <f t="shared" si="102"/>
        <v>3.8688787081556746</v>
      </c>
      <c r="AM166" s="92"/>
      <c r="AN166" s="92"/>
      <c r="AO166" s="83"/>
      <c r="CA166" s="477"/>
      <c r="CB166" s="478"/>
    </row>
    <row r="167" spans="1:80">
      <c r="A167" s="83"/>
      <c r="B167" s="95" t="s">
        <v>618</v>
      </c>
      <c r="C167" s="96"/>
      <c r="D167" s="163" t="s">
        <v>532</v>
      </c>
      <c r="E167" s="163"/>
      <c r="F167" s="83"/>
      <c r="G167" s="589">
        <f t="shared" ref="G167:W167" si="103">G17</f>
        <v>10.352399999999999</v>
      </c>
      <c r="H167" s="589">
        <f t="shared" si="103"/>
        <v>11.447800000000001</v>
      </c>
      <c r="I167" s="589">
        <f t="shared" si="103"/>
        <v>6.6521999999999997</v>
      </c>
      <c r="J167" s="589">
        <f t="shared" si="103"/>
        <v>6.5213999999999999</v>
      </c>
      <c r="K167" s="589">
        <f t="shared" si="103"/>
        <v>8.1874000000000002</v>
      </c>
      <c r="L167" s="590">
        <f t="shared" si="103"/>
        <v>12.2052</v>
      </c>
      <c r="M167" s="590">
        <f t="shared" si="103"/>
        <v>11.634</v>
      </c>
      <c r="N167" s="590">
        <f t="shared" si="103"/>
        <v>11.803800000000001</v>
      </c>
      <c r="O167" s="590">
        <f t="shared" si="103"/>
        <v>12.038500000000001</v>
      </c>
      <c r="P167" s="589">
        <f t="shared" si="103"/>
        <v>11.9152</v>
      </c>
      <c r="Q167" s="590">
        <f t="shared" si="103"/>
        <v>11.779199999999999</v>
      </c>
      <c r="R167" s="590">
        <f t="shared" si="103"/>
        <v>12.199</v>
      </c>
      <c r="S167" s="590">
        <f t="shared" si="103"/>
        <v>11.8269</v>
      </c>
      <c r="T167" s="590">
        <f t="shared" si="103"/>
        <v>9.6753999999999998</v>
      </c>
      <c r="U167" s="589">
        <f t="shared" si="103"/>
        <v>11.3955</v>
      </c>
      <c r="V167" s="590">
        <f t="shared" si="103"/>
        <v>9.6760000000000002</v>
      </c>
      <c r="W167" s="590">
        <f t="shared" si="103"/>
        <v>8.3416999999999994</v>
      </c>
      <c r="X167" s="590">
        <f t="shared" ref="X167:AE167" si="104">X17</f>
        <v>7.6525999999999996</v>
      </c>
      <c r="Y167" s="590">
        <f t="shared" si="104"/>
        <v>8.8781999999999996</v>
      </c>
      <c r="Z167" s="589">
        <f t="shared" si="104"/>
        <v>8.6371249999999993</v>
      </c>
      <c r="AA167" s="590">
        <f>AA17</f>
        <v>11.369199999999999</v>
      </c>
      <c r="AB167" s="590">
        <f t="shared" si="104"/>
        <v>14.206300000000001</v>
      </c>
      <c r="AC167" s="590">
        <f t="shared" si="104"/>
        <v>20</v>
      </c>
      <c r="AD167" s="590">
        <f t="shared" si="104"/>
        <v>20</v>
      </c>
      <c r="AE167" s="589">
        <f t="shared" si="104"/>
        <v>20</v>
      </c>
      <c r="AF167" s="589">
        <f t="shared" ref="AF167:AL167" si="105">AF17</f>
        <v>20</v>
      </c>
      <c r="AG167" s="589">
        <f t="shared" si="105"/>
        <v>20</v>
      </c>
      <c r="AH167" s="589">
        <f t="shared" si="105"/>
        <v>20</v>
      </c>
      <c r="AI167" s="589">
        <f t="shared" si="105"/>
        <v>20</v>
      </c>
      <c r="AJ167" s="589">
        <f t="shared" si="105"/>
        <v>20</v>
      </c>
      <c r="AK167" s="589">
        <f t="shared" si="105"/>
        <v>20</v>
      </c>
      <c r="AL167" s="589">
        <f t="shared" si="105"/>
        <v>20</v>
      </c>
      <c r="AM167" s="92"/>
      <c r="AN167" s="92"/>
      <c r="AO167" s="83"/>
      <c r="CA167" s="477"/>
      <c r="CB167" s="478"/>
    </row>
    <row r="168" spans="1:80">
      <c r="A168" s="83"/>
      <c r="B168" s="95" t="s">
        <v>619</v>
      </c>
      <c r="C168" s="96"/>
      <c r="D168" s="163" t="s">
        <v>620</v>
      </c>
      <c r="E168" s="163"/>
      <c r="F168" s="83"/>
      <c r="G168" s="589">
        <f t="shared" ref="G168:W168" si="106">G23</f>
        <v>1.03</v>
      </c>
      <c r="H168" s="589">
        <f t="shared" si="106"/>
        <v>1.1046</v>
      </c>
      <c r="I168" s="589">
        <f t="shared" si="106"/>
        <v>1.2789999999999999</v>
      </c>
      <c r="J168" s="589">
        <f t="shared" si="106"/>
        <v>1.3248</v>
      </c>
      <c r="K168" s="589">
        <f t="shared" si="106"/>
        <v>1.2982</v>
      </c>
      <c r="L168" s="590">
        <f t="shared" si="106"/>
        <v>1.2647999999999999</v>
      </c>
      <c r="M168" s="590">
        <f t="shared" si="106"/>
        <v>1.2907999999999999</v>
      </c>
      <c r="N168" s="590">
        <f t="shared" si="106"/>
        <v>1.3068</v>
      </c>
      <c r="O168" s="590">
        <f t="shared" si="106"/>
        <v>1.3218000000000001</v>
      </c>
      <c r="P168" s="589">
        <f t="shared" si="106"/>
        <v>1.2961</v>
      </c>
      <c r="Q168" s="590">
        <f t="shared" si="106"/>
        <v>1.3295999999999999</v>
      </c>
      <c r="R168" s="590">
        <f t="shared" si="106"/>
        <v>1.3376999999999999</v>
      </c>
      <c r="S168" s="590">
        <f t="shared" si="106"/>
        <v>1.3204</v>
      </c>
      <c r="T168" s="590">
        <f t="shared" si="106"/>
        <v>1.3198000000000001</v>
      </c>
      <c r="U168" s="589">
        <f t="shared" si="106"/>
        <v>1.3268</v>
      </c>
      <c r="V168" s="590">
        <f t="shared" si="106"/>
        <v>1.3436999999999999</v>
      </c>
      <c r="W168" s="590">
        <f t="shared" si="106"/>
        <v>1.3858999999999999</v>
      </c>
      <c r="X168" s="590">
        <f>X23</f>
        <v>1.3326</v>
      </c>
      <c r="Y168" s="590">
        <f t="shared" ref="Y168:AE168" si="107">Y23</f>
        <v>1.3027</v>
      </c>
      <c r="Z168" s="589">
        <f t="shared" si="107"/>
        <v>1.3412249999999999</v>
      </c>
      <c r="AA168" s="590">
        <f t="shared" si="107"/>
        <v>1.266</v>
      </c>
      <c r="AB168" s="590">
        <f t="shared" si="107"/>
        <v>1.2287999999999999</v>
      </c>
      <c r="AC168" s="590">
        <f t="shared" si="107"/>
        <v>1.24</v>
      </c>
      <c r="AD168" s="590">
        <f t="shared" si="107"/>
        <v>1.24</v>
      </c>
      <c r="AE168" s="589">
        <f t="shared" si="107"/>
        <v>1.24</v>
      </c>
      <c r="AF168" s="589">
        <f t="shared" ref="AF168:AL168" si="108">AF23</f>
        <v>1.22</v>
      </c>
      <c r="AG168" s="589">
        <f t="shared" si="108"/>
        <v>1.22</v>
      </c>
      <c r="AH168" s="589">
        <f t="shared" si="108"/>
        <v>1.23</v>
      </c>
      <c r="AI168" s="589">
        <f t="shared" si="108"/>
        <v>1.23</v>
      </c>
      <c r="AJ168" s="589">
        <f t="shared" si="108"/>
        <v>1.23</v>
      </c>
      <c r="AK168" s="589">
        <f t="shared" si="108"/>
        <v>1.23</v>
      </c>
      <c r="AL168" s="589">
        <f t="shared" si="108"/>
        <v>1.23</v>
      </c>
      <c r="AM168" s="92"/>
      <c r="AN168" s="92"/>
      <c r="AO168" s="83"/>
      <c r="CA168" s="477"/>
      <c r="CB168" s="478"/>
    </row>
    <row r="169" spans="1:80">
      <c r="A169" s="83"/>
      <c r="B169" s="95"/>
      <c r="C169" s="96"/>
      <c r="D169" s="163"/>
      <c r="E169" s="163"/>
      <c r="F169" s="83"/>
      <c r="G169" s="168"/>
      <c r="H169" s="168"/>
      <c r="I169" s="168"/>
      <c r="J169" s="168"/>
      <c r="K169" s="168"/>
      <c r="L169" s="169"/>
      <c r="M169" s="169"/>
      <c r="N169" s="169"/>
      <c r="O169" s="169"/>
      <c r="P169" s="168"/>
      <c r="Q169" s="169"/>
      <c r="R169" s="169"/>
      <c r="S169" s="169"/>
      <c r="T169" s="169"/>
      <c r="U169" s="168"/>
      <c r="V169" s="169"/>
      <c r="W169" s="169"/>
      <c r="X169" s="169"/>
      <c r="Y169" s="169"/>
      <c r="Z169" s="92"/>
      <c r="AA169" s="99"/>
      <c r="AB169" s="99"/>
      <c r="AC169" s="99"/>
      <c r="AD169" s="99"/>
      <c r="AE169" s="92"/>
      <c r="AF169" s="92"/>
      <c r="AG169" s="92"/>
      <c r="AH169" s="92"/>
      <c r="AI169" s="92"/>
      <c r="AJ169" s="92"/>
      <c r="AK169" s="92"/>
      <c r="AL169" s="92"/>
      <c r="AM169" s="92"/>
      <c r="AN169" s="92"/>
      <c r="AO169" s="83"/>
      <c r="CA169" s="477"/>
      <c r="CB169" s="478"/>
    </row>
    <row r="170" spans="1:80">
      <c r="A170" s="83"/>
      <c r="B170" s="95"/>
      <c r="C170" s="96"/>
      <c r="D170" s="173" t="s">
        <v>267</v>
      </c>
      <c r="E170" s="173"/>
      <c r="F170" s="174"/>
      <c r="G170" s="591"/>
      <c r="H170" s="591"/>
      <c r="I170" s="591"/>
      <c r="J170" s="591"/>
      <c r="K170" s="591"/>
      <c r="L170" s="592"/>
      <c r="M170" s="592"/>
      <c r="N170" s="592"/>
      <c r="O170" s="592"/>
      <c r="P170" s="591"/>
      <c r="Q170" s="592"/>
      <c r="R170" s="592"/>
      <c r="S170" s="592"/>
      <c r="T170" s="592"/>
      <c r="U170" s="591"/>
      <c r="V170" s="592"/>
      <c r="W170" s="592"/>
      <c r="X170" s="592"/>
      <c r="Y170" s="592"/>
      <c r="Z170" s="179"/>
      <c r="AA170" s="995"/>
      <c r="AB170" s="995"/>
      <c r="AC170" s="995"/>
      <c r="AD170" s="995"/>
      <c r="AE170" s="179"/>
      <c r="AF170" s="179"/>
      <c r="AG170" s="179"/>
      <c r="AH170" s="179"/>
      <c r="AI170" s="179"/>
      <c r="AJ170" s="179"/>
      <c r="AK170" s="179"/>
      <c r="AL170" s="179"/>
      <c r="AM170" s="92"/>
      <c r="AN170" s="92"/>
      <c r="AO170" s="83"/>
      <c r="CA170" s="477"/>
      <c r="CB170" s="478"/>
    </row>
    <row r="171" spans="1:80">
      <c r="A171" s="83"/>
      <c r="B171" s="95" t="s">
        <v>221</v>
      </c>
      <c r="C171" s="96"/>
      <c r="D171" s="163" t="s">
        <v>626</v>
      </c>
      <c r="E171" s="163"/>
      <c r="F171" s="83"/>
      <c r="G171" s="647">
        <f t="shared" ref="G171:U171" si="109">G30</f>
        <v>0.96499999999999997</v>
      </c>
      <c r="H171" s="647">
        <f t="shared" si="109"/>
        <v>0.96499999999999997</v>
      </c>
      <c r="I171" s="647">
        <f t="shared" si="109"/>
        <v>0.96499999999999997</v>
      </c>
      <c r="J171" s="647">
        <f t="shared" si="109"/>
        <v>0.96499999999999997</v>
      </c>
      <c r="K171" s="647">
        <f t="shared" si="109"/>
        <v>0.96499999999999997</v>
      </c>
      <c r="L171" s="680">
        <f t="shared" si="109"/>
        <v>0.96499999999999997</v>
      </c>
      <c r="M171" s="680">
        <f t="shared" si="109"/>
        <v>0.96499999999999997</v>
      </c>
      <c r="N171" s="680">
        <f t="shared" si="109"/>
        <v>0.96499999999999997</v>
      </c>
      <c r="O171" s="680">
        <f t="shared" si="109"/>
        <v>0.96499999999999997</v>
      </c>
      <c r="P171" s="647">
        <f t="shared" si="109"/>
        <v>0.96499999999999997</v>
      </c>
      <c r="Q171" s="680">
        <f t="shared" si="109"/>
        <v>0.96499999999999997</v>
      </c>
      <c r="R171" s="680">
        <f t="shared" si="109"/>
        <v>0.96499999999999997</v>
      </c>
      <c r="S171" s="680">
        <f t="shared" si="109"/>
        <v>0.96499999999999997</v>
      </c>
      <c r="T171" s="680">
        <f t="shared" si="109"/>
        <v>0.96499999999999997</v>
      </c>
      <c r="U171" s="647">
        <f t="shared" si="109"/>
        <v>0.96499999999999997</v>
      </c>
      <c r="V171" s="680">
        <f>V30</f>
        <v>0.96499999999999997</v>
      </c>
      <c r="W171" s="680">
        <f t="shared" ref="W171:AB171" si="110">W30</f>
        <v>0.96499999999999997</v>
      </c>
      <c r="X171" s="680">
        <f>X30</f>
        <v>0.96499999999999997</v>
      </c>
      <c r="Y171" s="680">
        <f t="shared" si="110"/>
        <v>0.96499999999999997</v>
      </c>
      <c r="Z171" s="647">
        <f t="shared" si="110"/>
        <v>0.96499999999999997</v>
      </c>
      <c r="AA171" s="680">
        <f>AA30</f>
        <v>0.96499999999999997</v>
      </c>
      <c r="AB171" s="680">
        <f t="shared" si="110"/>
        <v>0.96499999999999997</v>
      </c>
      <c r="AC171" s="680">
        <f t="shared" ref="AC171:AL171" si="111">AC30</f>
        <v>0.96499999999999997</v>
      </c>
      <c r="AD171" s="680">
        <f t="shared" si="111"/>
        <v>0.96499999999999997</v>
      </c>
      <c r="AE171" s="647">
        <f t="shared" si="111"/>
        <v>0.96499999999999997</v>
      </c>
      <c r="AF171" s="647">
        <f>AF30</f>
        <v>0.96499999999999997</v>
      </c>
      <c r="AG171" s="647">
        <f t="shared" si="111"/>
        <v>0.96499999999999997</v>
      </c>
      <c r="AH171" s="647">
        <f t="shared" si="111"/>
        <v>0.96499999999999997</v>
      </c>
      <c r="AI171" s="647">
        <f t="shared" si="111"/>
        <v>0.96499999999999997</v>
      </c>
      <c r="AJ171" s="647">
        <f t="shared" si="111"/>
        <v>0.96499999999999997</v>
      </c>
      <c r="AK171" s="647">
        <f t="shared" si="111"/>
        <v>0.96499999999999997</v>
      </c>
      <c r="AL171" s="647">
        <f t="shared" si="111"/>
        <v>0.96499999999999997</v>
      </c>
      <c r="AM171" s="92"/>
      <c r="AN171" s="92"/>
      <c r="AO171" s="83"/>
      <c r="CA171" s="477"/>
      <c r="CB171" s="478"/>
    </row>
    <row r="172" spans="1:80">
      <c r="A172" s="83"/>
      <c r="B172" s="95" t="s">
        <v>628</v>
      </c>
      <c r="C172" s="96"/>
      <c r="D172" s="163" t="s">
        <v>627</v>
      </c>
      <c r="E172" s="163"/>
      <c r="F172" s="83"/>
      <c r="G172" s="216">
        <f t="shared" ref="G172:AE172" si="112">G162*2204.62*G171</f>
        <v>238275.3296</v>
      </c>
      <c r="H172" s="216">
        <f t="shared" si="112"/>
        <v>263804.82919999998</v>
      </c>
      <c r="I172" s="216">
        <f t="shared" si="112"/>
        <v>319118.745</v>
      </c>
      <c r="J172" s="216">
        <f t="shared" si="112"/>
        <v>259549.91260000001</v>
      </c>
      <c r="K172" s="216">
        <f t="shared" si="112"/>
        <v>189343.78869999998</v>
      </c>
      <c r="L172" s="217">
        <f t="shared" si="112"/>
        <v>65738.46146999998</v>
      </c>
      <c r="M172" s="217">
        <f t="shared" si="112"/>
        <v>55739.407459999995</v>
      </c>
      <c r="N172" s="217">
        <f t="shared" si="112"/>
        <v>52548.22000999999</v>
      </c>
      <c r="O172" s="217">
        <f t="shared" si="112"/>
        <v>44251.132639999996</v>
      </c>
      <c r="P172" s="216">
        <f t="shared" si="112"/>
        <v>218277.22157999998</v>
      </c>
      <c r="Q172" s="217">
        <f t="shared" si="112"/>
        <v>55952.153290000002</v>
      </c>
      <c r="R172" s="217">
        <f t="shared" si="112"/>
        <v>66589.444789999994</v>
      </c>
      <c r="S172" s="217">
        <f t="shared" si="112"/>
        <v>69993.378069999992</v>
      </c>
      <c r="T172" s="217">
        <f t="shared" si="112"/>
        <v>70844.361389999991</v>
      </c>
      <c r="U172" s="216">
        <f t="shared" si="112"/>
        <v>263379.33753999998</v>
      </c>
      <c r="V172" s="217">
        <f t="shared" si="112"/>
        <v>57866.865759999993</v>
      </c>
      <c r="W172" s="217">
        <f>W162*2204.62*W171</f>
        <v>60632.561549999999</v>
      </c>
      <c r="X172" s="217">
        <f>X162*2204.62*X171</f>
        <v>58717.84908</v>
      </c>
      <c r="Y172" s="217">
        <f t="shared" si="112"/>
        <v>75099.277989999988</v>
      </c>
      <c r="Z172" s="216">
        <f t="shared" si="112"/>
        <v>252316.55437999996</v>
      </c>
      <c r="AA172" s="217">
        <f t="shared" si="112"/>
        <v>66589.444789999994</v>
      </c>
      <c r="AB172" s="217">
        <f t="shared" si="112"/>
        <v>55101.169969999995</v>
      </c>
      <c r="AC172" s="217">
        <f t="shared" si="112"/>
        <v>69142.394749999992</v>
      </c>
      <c r="AD172" s="217">
        <f t="shared" si="112"/>
        <v>67014.936449999965</v>
      </c>
      <c r="AE172" s="216">
        <f t="shared" si="112"/>
        <v>257847.94595999995</v>
      </c>
      <c r="AF172" s="216">
        <f t="shared" ref="AF172:AL172" si="113">AF162*2204.62*AF171</f>
        <v>276569.57899999997</v>
      </c>
      <c r="AG172" s="216">
        <f t="shared" si="113"/>
        <v>276569.57899999997</v>
      </c>
      <c r="AH172" s="216">
        <f t="shared" si="113"/>
        <v>319118.745</v>
      </c>
      <c r="AI172" s="216">
        <f t="shared" si="113"/>
        <v>319118.745</v>
      </c>
      <c r="AJ172" s="216">
        <f t="shared" si="113"/>
        <v>319118.745</v>
      </c>
      <c r="AK172" s="216">
        <f t="shared" si="113"/>
        <v>319118.745</v>
      </c>
      <c r="AL172" s="216">
        <f t="shared" si="113"/>
        <v>319118.745</v>
      </c>
      <c r="AM172" s="92"/>
      <c r="AN172" s="92"/>
      <c r="AO172" s="83"/>
      <c r="CA172" s="477"/>
      <c r="CB172" s="478"/>
    </row>
    <row r="173" spans="1:80">
      <c r="A173" s="83"/>
      <c r="B173" s="95" t="s">
        <v>632</v>
      </c>
      <c r="C173" s="96"/>
      <c r="D173" s="163" t="s">
        <v>629</v>
      </c>
      <c r="E173" s="163"/>
      <c r="F173" s="83"/>
      <c r="G173" s="681">
        <f t="shared" ref="G173:W173" si="114">G31</f>
        <v>0.18719999999999998</v>
      </c>
      <c r="H173" s="681">
        <f t="shared" si="114"/>
        <v>0.23600000000000002</v>
      </c>
      <c r="I173" s="681">
        <f t="shared" si="114"/>
        <v>0.27440000000000003</v>
      </c>
      <c r="J173" s="681">
        <f t="shared" si="114"/>
        <v>0.24960000000000002</v>
      </c>
      <c r="K173" s="681">
        <f t="shared" si="114"/>
        <v>0.23719999999999999</v>
      </c>
      <c r="L173" s="593">
        <f t="shared" si="114"/>
        <v>0.2109</v>
      </c>
      <c r="M173" s="593">
        <f t="shared" si="114"/>
        <v>0.2109</v>
      </c>
      <c r="N173" s="593">
        <f t="shared" si="114"/>
        <v>0.2109</v>
      </c>
      <c r="O173" s="593">
        <f t="shared" si="114"/>
        <v>0.2109</v>
      </c>
      <c r="P173" s="681">
        <f t="shared" si="114"/>
        <v>0.2109</v>
      </c>
      <c r="Q173" s="593">
        <f t="shared" si="114"/>
        <v>0.2072</v>
      </c>
      <c r="R173" s="593">
        <f t="shared" si="114"/>
        <v>0.2072</v>
      </c>
      <c r="S173" s="593">
        <f t="shared" si="114"/>
        <v>0.2072</v>
      </c>
      <c r="T173" s="593">
        <f t="shared" si="114"/>
        <v>0.2072</v>
      </c>
      <c r="U173" s="681">
        <f t="shared" si="114"/>
        <v>0.2072</v>
      </c>
      <c r="V173" s="593">
        <f>V31</f>
        <v>0.16700000000000001</v>
      </c>
      <c r="W173" s="593">
        <f t="shared" si="114"/>
        <v>0.16700000000000001</v>
      </c>
      <c r="X173" s="593">
        <f>X31</f>
        <v>0.16700000000000001</v>
      </c>
      <c r="Y173" s="593">
        <f t="shared" ref="Y173:AE173" si="115">Y31</f>
        <v>0.16700000000000001</v>
      </c>
      <c r="Z173" s="681">
        <f t="shared" si="115"/>
        <v>0.16700000000000001</v>
      </c>
      <c r="AA173" s="593">
        <f>AA31</f>
        <v>0.16700000000000001</v>
      </c>
      <c r="AB173" s="593">
        <f t="shared" si="115"/>
        <v>0.16700000000000001</v>
      </c>
      <c r="AC173" s="593">
        <f t="shared" si="115"/>
        <v>0.16700000000000001</v>
      </c>
      <c r="AD173" s="593">
        <f t="shared" si="115"/>
        <v>0.16700000000000001</v>
      </c>
      <c r="AE173" s="681">
        <f t="shared" si="115"/>
        <v>0.16700000000000001</v>
      </c>
      <c r="AF173" s="681">
        <f t="shared" ref="AF173:AL173" si="116">AF31</f>
        <v>0.16700000000000001</v>
      </c>
      <c r="AG173" s="681">
        <f t="shared" si="116"/>
        <v>0.16700000000000001</v>
      </c>
      <c r="AH173" s="681">
        <f t="shared" si="116"/>
        <v>0.16700000000000001</v>
      </c>
      <c r="AI173" s="681">
        <f t="shared" si="116"/>
        <v>0.16700000000000001</v>
      </c>
      <c r="AJ173" s="681">
        <f t="shared" si="116"/>
        <v>0.16700000000000001</v>
      </c>
      <c r="AK173" s="681">
        <f t="shared" si="116"/>
        <v>0.16700000000000001</v>
      </c>
      <c r="AL173" s="681">
        <f t="shared" si="116"/>
        <v>0.16700000000000001</v>
      </c>
      <c r="AM173" s="92"/>
      <c r="AN173" s="92"/>
      <c r="AO173" s="83"/>
      <c r="CA173" s="477"/>
      <c r="CB173" s="478"/>
    </row>
    <row r="174" spans="1:80">
      <c r="A174" s="83"/>
      <c r="B174" s="95" t="s">
        <v>631</v>
      </c>
      <c r="C174" s="96"/>
      <c r="D174" s="163" t="s">
        <v>630</v>
      </c>
      <c r="E174" s="163"/>
      <c r="F174" s="83"/>
      <c r="G174" s="589">
        <f>G173*1000*G172/1000000</f>
        <v>44.605141701119997</v>
      </c>
      <c r="H174" s="589">
        <f t="shared" ref="H174:U174" si="117">H173*1000*H172/1000000</f>
        <v>62.257939691200001</v>
      </c>
      <c r="I174" s="589">
        <f t="shared" si="117"/>
        <v>87.566183628000005</v>
      </c>
      <c r="J174" s="589">
        <f t="shared" si="117"/>
        <v>64.783658184960004</v>
      </c>
      <c r="K174" s="589">
        <f t="shared" si="117"/>
        <v>44.912346679639995</v>
      </c>
      <c r="L174" s="590">
        <f t="shared" si="117"/>
        <v>13.864241524022997</v>
      </c>
      <c r="M174" s="590">
        <f t="shared" si="117"/>
        <v>11.755441033314</v>
      </c>
      <c r="N174" s="590">
        <f t="shared" si="117"/>
        <v>11.082419600108999</v>
      </c>
      <c r="O174" s="590">
        <f t="shared" si="117"/>
        <v>9.3325638737759995</v>
      </c>
      <c r="P174" s="589">
        <f t="shared" si="117"/>
        <v>46.034666031222002</v>
      </c>
      <c r="Q174" s="590">
        <f t="shared" si="117"/>
        <v>11.593286161688001</v>
      </c>
      <c r="R174" s="590">
        <f t="shared" si="117"/>
        <v>13.797332960487998</v>
      </c>
      <c r="S174" s="590">
        <f t="shared" si="117"/>
        <v>14.502627936103998</v>
      </c>
      <c r="T174" s="590">
        <f t="shared" si="117"/>
        <v>14.678951680007998</v>
      </c>
      <c r="U174" s="589">
        <f t="shared" si="117"/>
        <v>54.572198738287995</v>
      </c>
      <c r="V174" s="590">
        <f t="shared" ref="V174:AL174" si="118">V173*1000*V172/1000000</f>
        <v>9.6637665819199992</v>
      </c>
      <c r="W174" s="590">
        <f>W173*1000*W172/1000000</f>
        <v>10.125637778850001</v>
      </c>
      <c r="X174" s="590">
        <f>X173*1000*X172/1000000</f>
        <v>9.8058807963599985</v>
      </c>
      <c r="Y174" s="590">
        <f t="shared" si="118"/>
        <v>12.541579424329997</v>
      </c>
      <c r="Z174" s="589">
        <f t="shared" si="118"/>
        <v>42.136864581459989</v>
      </c>
      <c r="AA174" s="590">
        <f t="shared" si="118"/>
        <v>11.12043727993</v>
      </c>
      <c r="AB174" s="590">
        <f t="shared" si="118"/>
        <v>9.2018953849899994</v>
      </c>
      <c r="AC174" s="590">
        <f t="shared" si="118"/>
        <v>11.54677992325</v>
      </c>
      <c r="AD174" s="590">
        <f t="shared" si="118"/>
        <v>11.191494387149993</v>
      </c>
      <c r="AE174" s="589">
        <f t="shared" si="118"/>
        <v>43.060606975319992</v>
      </c>
      <c r="AF174" s="589">
        <f t="shared" si="118"/>
        <v>46.187119693</v>
      </c>
      <c r="AG174" s="589">
        <f t="shared" si="118"/>
        <v>46.187119693</v>
      </c>
      <c r="AH174" s="589">
        <f t="shared" si="118"/>
        <v>53.292830414999997</v>
      </c>
      <c r="AI174" s="589">
        <f t="shared" si="118"/>
        <v>53.292830414999997</v>
      </c>
      <c r="AJ174" s="589">
        <f t="shared" si="118"/>
        <v>53.292830414999997</v>
      </c>
      <c r="AK174" s="589">
        <f t="shared" si="118"/>
        <v>53.292830414999997</v>
      </c>
      <c r="AL174" s="589">
        <f t="shared" si="118"/>
        <v>53.292830414999997</v>
      </c>
      <c r="AM174" s="223"/>
      <c r="AN174" s="223"/>
      <c r="AO174" s="83"/>
      <c r="CA174" s="477"/>
      <c r="CB174" s="478"/>
    </row>
    <row r="175" spans="1:80">
      <c r="A175" s="83"/>
      <c r="B175" s="95" t="s">
        <v>631</v>
      </c>
      <c r="C175" s="96"/>
      <c r="D175" s="163" t="s">
        <v>267</v>
      </c>
      <c r="E175" s="163"/>
      <c r="F175" s="83"/>
      <c r="G175" s="130">
        <f>(G172*G166/1000)-G174</f>
        <v>746.46895257087988</v>
      </c>
      <c r="H175" s="130">
        <f t="shared" ref="H175:V175" si="119">(H172*H166/1000)-H174</f>
        <v>758.17507912079986</v>
      </c>
      <c r="I175" s="130">
        <f t="shared" si="119"/>
        <v>707.03949142200008</v>
      </c>
      <c r="J175" s="130">
        <f t="shared" si="119"/>
        <v>508.82164866104006</v>
      </c>
      <c r="K175" s="130">
        <f t="shared" si="119"/>
        <v>485.25026168035993</v>
      </c>
      <c r="L175" s="97">
        <f t="shared" si="119"/>
        <v>193.86929672117697</v>
      </c>
      <c r="M175" s="97">
        <f t="shared" si="119"/>
        <v>162.151510241886</v>
      </c>
      <c r="N175" s="97">
        <f t="shared" si="119"/>
        <v>134.47614982759097</v>
      </c>
      <c r="O175" s="97">
        <f t="shared" si="119"/>
        <v>114.57060751822398</v>
      </c>
      <c r="P175" s="130">
        <f t="shared" si="119"/>
        <v>600.06590984557806</v>
      </c>
      <c r="Q175" s="97">
        <f t="shared" si="119"/>
        <v>146.19178611611198</v>
      </c>
      <c r="R175" s="97">
        <f t="shared" si="119"/>
        <v>170.65542910781198</v>
      </c>
      <c r="S175" s="97">
        <f t="shared" si="119"/>
        <v>169.57995638799596</v>
      </c>
      <c r="T175" s="97">
        <f t="shared" si="119"/>
        <v>174.47549323129198</v>
      </c>
      <c r="U175" s="130">
        <f t="shared" si="119"/>
        <v>661.81959937051204</v>
      </c>
      <c r="V175" s="97">
        <f t="shared" si="119"/>
        <v>138.28709341980084</v>
      </c>
      <c r="W175" s="97">
        <f t="shared" ref="W175:AE175" si="120">(W172*W166/1000)-W174</f>
        <v>136.94176643610771</v>
      </c>
      <c r="X175" s="97">
        <f t="shared" si="120"/>
        <v>163.63206338080138</v>
      </c>
      <c r="Y175" s="97">
        <f t="shared" si="120"/>
        <v>231.58227770924489</v>
      </c>
      <c r="Z175" s="130">
        <f t="shared" si="120"/>
        <v>663.51247347459798</v>
      </c>
      <c r="AA175" s="97">
        <f t="shared" si="120"/>
        <v>245.73017351095831</v>
      </c>
      <c r="AB175" s="97">
        <f t="shared" si="120"/>
        <v>232.8867371273017</v>
      </c>
      <c r="AC175" s="97">
        <f t="shared" si="120"/>
        <v>276.99083764909869</v>
      </c>
      <c r="AD175" s="97">
        <f t="shared" si="120"/>
        <v>268.468042644511</v>
      </c>
      <c r="AE175" s="130">
        <f t="shared" si="120"/>
        <v>1032.9627545560236</v>
      </c>
      <c r="AF175" s="130">
        <f t="shared" ref="AF175:AL175" si="121">(AF172*AF166/1000)-AF174</f>
        <v>1147.1779875166185</v>
      </c>
      <c r="AG175" s="130">
        <f t="shared" si="121"/>
        <v>1147.1779875166185</v>
      </c>
      <c r="AH175" s="130">
        <f>(AH172*AH166/1000)-AH174</f>
        <v>1323.6669086730217</v>
      </c>
      <c r="AI175" s="130">
        <f t="shared" si="121"/>
        <v>1181.3388874888601</v>
      </c>
      <c r="AJ175" s="130">
        <f>(AJ172*AJ166/1000)-AJ174</f>
        <v>1181.3388874888601</v>
      </c>
      <c r="AK175" s="130">
        <f t="shared" si="121"/>
        <v>1181.3388874888601</v>
      </c>
      <c r="AL175" s="130">
        <f t="shared" si="121"/>
        <v>1181.3388874888601</v>
      </c>
      <c r="AM175" s="223"/>
      <c r="AN175" s="223"/>
      <c r="AO175" s="83"/>
      <c r="CA175" s="477"/>
      <c r="CB175" s="478"/>
    </row>
    <row r="176" spans="1:80">
      <c r="A176" s="83"/>
      <c r="B176" s="95" t="s">
        <v>633</v>
      </c>
      <c r="C176" s="96"/>
      <c r="D176" s="183" t="s">
        <v>267</v>
      </c>
      <c r="E176" s="183"/>
      <c r="F176" s="103"/>
      <c r="G176" s="184">
        <f>G175*G168</f>
        <v>768.86302114800628</v>
      </c>
      <c r="H176" s="184">
        <f t="shared" ref="H176:V176" si="122">H175*H168</f>
        <v>837.4801923968356</v>
      </c>
      <c r="I176" s="184">
        <f t="shared" si="122"/>
        <v>904.303509528738</v>
      </c>
      <c r="J176" s="184">
        <f t="shared" si="122"/>
        <v>674.08692014614587</v>
      </c>
      <c r="K176" s="184">
        <f>K175*K168</f>
        <v>629.95188971344328</v>
      </c>
      <c r="L176" s="106">
        <f t="shared" si="122"/>
        <v>245.20588649294461</v>
      </c>
      <c r="M176" s="106">
        <f t="shared" si="122"/>
        <v>209.30516942022643</v>
      </c>
      <c r="N176" s="106">
        <f t="shared" si="122"/>
        <v>175.73343259469587</v>
      </c>
      <c r="O176" s="106">
        <f t="shared" si="122"/>
        <v>151.43942901758848</v>
      </c>
      <c r="P176" s="184">
        <f>P175*P168</f>
        <v>777.74542575085377</v>
      </c>
      <c r="Q176" s="106">
        <f t="shared" si="122"/>
        <v>194.37659881998249</v>
      </c>
      <c r="R176" s="106">
        <f t="shared" si="122"/>
        <v>228.28576751752007</v>
      </c>
      <c r="S176" s="106">
        <f t="shared" si="122"/>
        <v>223.91337441470986</v>
      </c>
      <c r="T176" s="106">
        <f t="shared" si="122"/>
        <v>230.27275596665916</v>
      </c>
      <c r="U176" s="184">
        <f t="shared" si="122"/>
        <v>878.10224444479536</v>
      </c>
      <c r="V176" s="106">
        <f t="shared" si="122"/>
        <v>185.81636742818637</v>
      </c>
      <c r="W176" s="106">
        <f t="shared" ref="W176:AE176" si="123">W175*W168</f>
        <v>189.78759410380167</v>
      </c>
      <c r="X176" s="106">
        <f>X175*X168</f>
        <v>218.05608766125593</v>
      </c>
      <c r="Y176" s="106">
        <f t="shared" si="123"/>
        <v>301.68223317183333</v>
      </c>
      <c r="Z176" s="184">
        <f t="shared" si="123"/>
        <v>889.91951723596765</v>
      </c>
      <c r="AA176" s="106">
        <f t="shared" si="123"/>
        <v>311.09439966487321</v>
      </c>
      <c r="AB176" s="106">
        <f t="shared" si="123"/>
        <v>286.17122258202829</v>
      </c>
      <c r="AC176" s="106">
        <f t="shared" si="123"/>
        <v>343.46863868488236</v>
      </c>
      <c r="AD176" s="106">
        <f t="shared" si="123"/>
        <v>332.90037287919364</v>
      </c>
      <c r="AE176" s="184">
        <f t="shared" si="123"/>
        <v>1280.8738156494692</v>
      </c>
      <c r="AF176" s="184">
        <f t="shared" ref="AF176:AL176" si="124">AF175*AF168</f>
        <v>1399.5571447702746</v>
      </c>
      <c r="AG176" s="184">
        <f t="shared" si="124"/>
        <v>1399.5571447702746</v>
      </c>
      <c r="AH176" s="184">
        <f>AH175*AH168</f>
        <v>1628.1102976678167</v>
      </c>
      <c r="AI176" s="184">
        <f t="shared" si="124"/>
        <v>1453.0468316112979</v>
      </c>
      <c r="AJ176" s="184">
        <f t="shared" si="124"/>
        <v>1453.0468316112979</v>
      </c>
      <c r="AK176" s="184">
        <f t="shared" si="124"/>
        <v>1453.0468316112979</v>
      </c>
      <c r="AL176" s="184">
        <f t="shared" si="124"/>
        <v>1453.0468316112979</v>
      </c>
      <c r="AM176" s="223"/>
      <c r="AN176" s="223"/>
      <c r="AO176" s="83"/>
      <c r="CA176" s="477"/>
      <c r="CB176" s="477"/>
    </row>
    <row r="177" spans="1:80">
      <c r="A177" s="83"/>
      <c r="B177" s="95"/>
      <c r="C177" s="96"/>
      <c r="D177" s="163"/>
      <c r="E177" s="163"/>
      <c r="F177" s="83"/>
      <c r="G177" s="90"/>
      <c r="H177" s="90"/>
      <c r="I177" s="90"/>
      <c r="J177" s="90"/>
      <c r="K177" s="90"/>
      <c r="L177" s="91"/>
      <c r="M177" s="91"/>
      <c r="N177" s="91"/>
      <c r="O177" s="91"/>
      <c r="P177" s="90"/>
      <c r="Q177" s="91"/>
      <c r="R177" s="91"/>
      <c r="S177" s="91"/>
      <c r="T177" s="91"/>
      <c r="U177" s="90"/>
      <c r="V177" s="91"/>
      <c r="W177" s="91"/>
      <c r="X177" s="91"/>
      <c r="Y177" s="91"/>
      <c r="Z177" s="92"/>
      <c r="AA177" s="99"/>
      <c r="AB177" s="99"/>
      <c r="AC177" s="99"/>
      <c r="AD177" s="99"/>
      <c r="AE177" s="92"/>
      <c r="AF177" s="92"/>
      <c r="AG177" s="92"/>
      <c r="AH177" s="92"/>
      <c r="AI177" s="92"/>
      <c r="AJ177" s="92"/>
      <c r="AK177" s="92"/>
      <c r="AL177" s="92"/>
      <c r="AM177" s="92"/>
      <c r="AN177" s="92"/>
      <c r="AO177" s="83"/>
      <c r="CA177" s="477"/>
      <c r="CB177" s="477"/>
    </row>
    <row r="178" spans="1:80">
      <c r="A178" s="83"/>
      <c r="B178" s="95"/>
      <c r="C178" s="96"/>
      <c r="D178" s="173" t="s">
        <v>634</v>
      </c>
      <c r="E178" s="173"/>
      <c r="F178" s="174"/>
      <c r="G178" s="175"/>
      <c r="H178" s="175"/>
      <c r="I178" s="175"/>
      <c r="J178" s="175"/>
      <c r="K178" s="175"/>
      <c r="L178" s="176"/>
      <c r="M178" s="176"/>
      <c r="N178" s="176"/>
      <c r="O178" s="176"/>
      <c r="P178" s="175"/>
      <c r="Q178" s="176"/>
      <c r="R178" s="176"/>
      <c r="S178" s="176"/>
      <c r="T178" s="176"/>
      <c r="U178" s="175"/>
      <c r="V178" s="176"/>
      <c r="W178" s="176"/>
      <c r="X178" s="176"/>
      <c r="Y178" s="176"/>
      <c r="Z178" s="179"/>
      <c r="AA178" s="995"/>
      <c r="AB178" s="995"/>
      <c r="AC178" s="995"/>
      <c r="AD178" s="995"/>
      <c r="AE178" s="179"/>
      <c r="AF178" s="179"/>
      <c r="AG178" s="179"/>
      <c r="AH178" s="179"/>
      <c r="AI178" s="179"/>
      <c r="AJ178" s="179"/>
      <c r="AK178" s="179"/>
      <c r="AL178" s="179"/>
      <c r="AM178" s="92"/>
      <c r="AN178" s="92"/>
      <c r="AO178" s="83"/>
      <c r="CA178" s="477"/>
      <c r="CB178" s="477"/>
    </row>
    <row r="179" spans="1:80">
      <c r="A179" s="83"/>
      <c r="B179" s="95" t="s">
        <v>628</v>
      </c>
      <c r="C179" s="96"/>
      <c r="D179" s="163" t="s">
        <v>635</v>
      </c>
      <c r="E179" s="163"/>
      <c r="F179" s="83"/>
      <c r="G179" s="93">
        <f>G163</f>
        <v>6.2</v>
      </c>
      <c r="H179" s="93">
        <f t="shared" ref="H179:U179" si="125">H163</f>
        <v>4.9000000000000004</v>
      </c>
      <c r="I179" s="93">
        <f t="shared" si="125"/>
        <v>3.7</v>
      </c>
      <c r="J179" s="93">
        <f t="shared" si="125"/>
        <v>5.2</v>
      </c>
      <c r="K179" s="93">
        <f t="shared" si="125"/>
        <v>8.9</v>
      </c>
      <c r="L179" s="87">
        <f t="shared" si="125"/>
        <v>2.4</v>
      </c>
      <c r="M179" s="87">
        <f t="shared" si="125"/>
        <v>2</v>
      </c>
      <c r="N179" s="87">
        <f t="shared" si="125"/>
        <v>1.9</v>
      </c>
      <c r="O179" s="87">
        <f t="shared" si="125"/>
        <v>2.7</v>
      </c>
      <c r="P179" s="93">
        <f t="shared" si="125"/>
        <v>9</v>
      </c>
      <c r="Q179" s="87">
        <f t="shared" si="125"/>
        <v>1.2</v>
      </c>
      <c r="R179" s="87">
        <f t="shared" si="125"/>
        <v>2</v>
      </c>
      <c r="S179" s="87">
        <f t="shared" si="125"/>
        <v>2.1</v>
      </c>
      <c r="T179" s="87">
        <f t="shared" si="125"/>
        <v>1.4</v>
      </c>
      <c r="U179" s="93">
        <f t="shared" si="125"/>
        <v>6.7</v>
      </c>
      <c r="V179" s="87">
        <f t="shared" ref="V179:AE179" si="126">V163</f>
        <v>1.4</v>
      </c>
      <c r="W179" s="87">
        <f>W163</f>
        <v>0.9</v>
      </c>
      <c r="X179" s="87">
        <f>X163</f>
        <v>0.6</v>
      </c>
      <c r="Y179" s="87">
        <f t="shared" si="126"/>
        <v>0.4</v>
      </c>
      <c r="Z179" s="93">
        <f t="shared" si="126"/>
        <v>3.4</v>
      </c>
      <c r="AA179" s="87">
        <f t="shared" si="126"/>
        <v>0.2</v>
      </c>
      <c r="AB179" s="87">
        <f t="shared" si="126"/>
        <v>0.4</v>
      </c>
      <c r="AC179" s="87">
        <f t="shared" si="126"/>
        <v>0.375</v>
      </c>
      <c r="AD179" s="87">
        <f t="shared" si="126"/>
        <v>0.36346153846153834</v>
      </c>
      <c r="AE179" s="93">
        <f t="shared" si="126"/>
        <v>1.3384615384615384</v>
      </c>
      <c r="AF179" s="93">
        <f t="shared" ref="AF179:AL179" si="127">AF163</f>
        <v>1.5</v>
      </c>
      <c r="AG179" s="93">
        <f t="shared" si="127"/>
        <v>1.5</v>
      </c>
      <c r="AH179" s="93">
        <f t="shared" si="127"/>
        <v>1.5</v>
      </c>
      <c r="AI179" s="93">
        <f t="shared" si="127"/>
        <v>1.5</v>
      </c>
      <c r="AJ179" s="93">
        <f t="shared" si="127"/>
        <v>1.5</v>
      </c>
      <c r="AK179" s="93">
        <f t="shared" si="127"/>
        <v>1.5</v>
      </c>
      <c r="AL179" s="93">
        <f t="shared" si="127"/>
        <v>1.5</v>
      </c>
      <c r="AM179" s="92"/>
      <c r="AN179" s="92"/>
      <c r="AO179" s="83"/>
      <c r="CA179" s="477"/>
      <c r="CB179" s="477"/>
    </row>
    <row r="180" spans="1:80">
      <c r="A180" s="83"/>
      <c r="B180" s="95" t="s">
        <v>631</v>
      </c>
      <c r="C180" s="96"/>
      <c r="D180" s="163" t="s">
        <v>634</v>
      </c>
      <c r="E180" s="163"/>
      <c r="F180" s="83"/>
      <c r="G180" s="130">
        <f>G179*G167</f>
        <v>64.184879999999993</v>
      </c>
      <c r="H180" s="130">
        <f t="shared" ref="H180:U180" si="128">H179*H167</f>
        <v>56.094220000000007</v>
      </c>
      <c r="I180" s="130">
        <f t="shared" si="128"/>
        <v>24.613140000000001</v>
      </c>
      <c r="J180" s="130">
        <f t="shared" si="128"/>
        <v>33.911279999999998</v>
      </c>
      <c r="K180" s="130">
        <f t="shared" si="128"/>
        <v>72.867860000000007</v>
      </c>
      <c r="L180" s="97">
        <f t="shared" si="128"/>
        <v>29.292479999999998</v>
      </c>
      <c r="M180" s="97">
        <f t="shared" si="128"/>
        <v>23.268000000000001</v>
      </c>
      <c r="N180" s="97">
        <f t="shared" si="128"/>
        <v>22.427220000000002</v>
      </c>
      <c r="O180" s="97">
        <f t="shared" si="128"/>
        <v>32.503950000000003</v>
      </c>
      <c r="P180" s="130">
        <f t="shared" si="128"/>
        <v>107.2368</v>
      </c>
      <c r="Q180" s="97">
        <f t="shared" si="128"/>
        <v>14.135039999999998</v>
      </c>
      <c r="R180" s="97">
        <f t="shared" si="128"/>
        <v>24.398</v>
      </c>
      <c r="S180" s="97">
        <f t="shared" si="128"/>
        <v>24.836490000000001</v>
      </c>
      <c r="T180" s="97">
        <f t="shared" si="128"/>
        <v>13.545559999999998</v>
      </c>
      <c r="U180" s="130">
        <f t="shared" si="128"/>
        <v>76.349850000000004</v>
      </c>
      <c r="V180" s="97">
        <f t="shared" ref="V180:AE180" si="129">V179*V167</f>
        <v>13.5464</v>
      </c>
      <c r="W180" s="97">
        <f t="shared" si="129"/>
        <v>7.50753</v>
      </c>
      <c r="X180" s="97">
        <f>X179*X167</f>
        <v>4.5915599999999994</v>
      </c>
      <c r="Y180" s="97">
        <f t="shared" si="129"/>
        <v>3.5512800000000002</v>
      </c>
      <c r="Z180" s="130">
        <f t="shared" si="129"/>
        <v>29.366224999999996</v>
      </c>
      <c r="AA180" s="97">
        <f>AA179*AA167</f>
        <v>2.2738399999999999</v>
      </c>
      <c r="AB180" s="97">
        <f t="shared" si="129"/>
        <v>5.6825200000000002</v>
      </c>
      <c r="AC180" s="97">
        <f t="shared" si="129"/>
        <v>7.5</v>
      </c>
      <c r="AD180" s="97">
        <f t="shared" si="129"/>
        <v>7.2692307692307665</v>
      </c>
      <c r="AE180" s="130">
        <f t="shared" si="129"/>
        <v>26.769230769230766</v>
      </c>
      <c r="AF180" s="130">
        <f t="shared" ref="AF180:AL180" si="130">AF179*AF167</f>
        <v>30</v>
      </c>
      <c r="AG180" s="130">
        <f t="shared" si="130"/>
        <v>30</v>
      </c>
      <c r="AH180" s="130">
        <f t="shared" si="130"/>
        <v>30</v>
      </c>
      <c r="AI180" s="130">
        <f t="shared" si="130"/>
        <v>30</v>
      </c>
      <c r="AJ180" s="130">
        <f t="shared" si="130"/>
        <v>30</v>
      </c>
      <c r="AK180" s="130">
        <f t="shared" si="130"/>
        <v>30</v>
      </c>
      <c r="AL180" s="130">
        <f t="shared" si="130"/>
        <v>30</v>
      </c>
      <c r="AM180" s="92"/>
      <c r="AN180" s="92"/>
      <c r="AO180" s="83"/>
      <c r="CA180" s="477"/>
      <c r="CB180" s="477"/>
    </row>
    <row r="181" spans="1:80">
      <c r="A181" s="83"/>
      <c r="B181" s="95" t="s">
        <v>633</v>
      </c>
      <c r="C181" s="96"/>
      <c r="D181" s="183" t="s">
        <v>634</v>
      </c>
      <c r="E181" s="183"/>
      <c r="F181" s="103"/>
      <c r="G181" s="184">
        <f>G180*G168</f>
        <v>66.110426399999994</v>
      </c>
      <c r="H181" s="184">
        <f t="shared" ref="H181:V181" si="131">H180*H168</f>
        <v>61.961675412000012</v>
      </c>
      <c r="I181" s="184">
        <f t="shared" si="131"/>
        <v>31.48020606</v>
      </c>
      <c r="J181" s="184">
        <f t="shared" si="131"/>
        <v>44.925663743999998</v>
      </c>
      <c r="K181" s="184">
        <f t="shared" si="131"/>
        <v>94.597055852000011</v>
      </c>
      <c r="L181" s="106">
        <f t="shared" si="131"/>
        <v>37.049128703999997</v>
      </c>
      <c r="M181" s="106">
        <f t="shared" si="131"/>
        <v>30.034334399999999</v>
      </c>
      <c r="N181" s="106">
        <f t="shared" si="131"/>
        <v>29.307891096000002</v>
      </c>
      <c r="O181" s="106">
        <f t="shared" si="131"/>
        <v>42.963721110000009</v>
      </c>
      <c r="P181" s="184">
        <f t="shared" si="131"/>
        <v>138.98961648</v>
      </c>
      <c r="Q181" s="106">
        <f t="shared" si="131"/>
        <v>18.793949183999995</v>
      </c>
      <c r="R181" s="106">
        <f t="shared" si="131"/>
        <v>32.637204599999997</v>
      </c>
      <c r="S181" s="106">
        <f t="shared" si="131"/>
        <v>32.794101396000002</v>
      </c>
      <c r="T181" s="106">
        <f t="shared" si="131"/>
        <v>17.877430088000001</v>
      </c>
      <c r="U181" s="184">
        <f t="shared" si="131"/>
        <v>101.30098098000001</v>
      </c>
      <c r="V181" s="106">
        <f t="shared" si="131"/>
        <v>18.202297679999997</v>
      </c>
      <c r="W181" s="106">
        <f t="shared" ref="W181:AF181" si="132">W180*W168</f>
        <v>10.404685827</v>
      </c>
      <c r="X181" s="106">
        <f>X180*X168</f>
        <v>6.1187128559999993</v>
      </c>
      <c r="Y181" s="106">
        <f t="shared" si="132"/>
        <v>4.6262524560000005</v>
      </c>
      <c r="Z181" s="184">
        <f t="shared" si="132"/>
        <v>39.386715125624995</v>
      </c>
      <c r="AA181" s="106">
        <f>AA180*AA168</f>
        <v>2.8786814399999998</v>
      </c>
      <c r="AB181" s="106">
        <f t="shared" si="132"/>
        <v>6.9826805759999999</v>
      </c>
      <c r="AC181" s="106">
        <f t="shared" si="132"/>
        <v>9.3000000000000007</v>
      </c>
      <c r="AD181" s="106">
        <f t="shared" si="132"/>
        <v>9.013846153846151</v>
      </c>
      <c r="AE181" s="184">
        <f t="shared" si="132"/>
        <v>33.193846153846152</v>
      </c>
      <c r="AF181" s="184">
        <f t="shared" si="132"/>
        <v>36.6</v>
      </c>
      <c r="AG181" s="184">
        <f t="shared" ref="AG181:AL181" si="133">AG180*AG168</f>
        <v>36.6</v>
      </c>
      <c r="AH181" s="184">
        <f t="shared" si="133"/>
        <v>36.9</v>
      </c>
      <c r="AI181" s="184">
        <f t="shared" si="133"/>
        <v>36.9</v>
      </c>
      <c r="AJ181" s="184">
        <f t="shared" si="133"/>
        <v>36.9</v>
      </c>
      <c r="AK181" s="184">
        <f t="shared" si="133"/>
        <v>36.9</v>
      </c>
      <c r="AL181" s="184">
        <f t="shared" si="133"/>
        <v>36.9</v>
      </c>
      <c r="AM181" s="92"/>
      <c r="AN181" s="92"/>
      <c r="AO181" s="83"/>
      <c r="CA181" s="477"/>
      <c r="CB181" s="477"/>
    </row>
    <row r="182" spans="1:80">
      <c r="A182" s="83"/>
      <c r="B182" s="95"/>
      <c r="C182" s="96"/>
      <c r="D182" s="163"/>
      <c r="E182" s="163"/>
      <c r="F182" s="83"/>
      <c r="G182" s="90"/>
      <c r="H182" s="90"/>
      <c r="I182" s="90"/>
      <c r="J182" s="90"/>
      <c r="K182" s="90"/>
      <c r="L182" s="91"/>
      <c r="M182" s="91"/>
      <c r="N182" s="91"/>
      <c r="O182" s="91"/>
      <c r="P182" s="90"/>
      <c r="Q182" s="91"/>
      <c r="R182" s="91"/>
      <c r="S182" s="91"/>
      <c r="T182" s="91"/>
      <c r="U182" s="90"/>
      <c r="V182" s="91"/>
      <c r="W182" s="91"/>
      <c r="X182" s="91"/>
      <c r="Y182" s="91"/>
      <c r="Z182" s="92"/>
      <c r="AA182" s="91"/>
      <c r="AB182" s="91"/>
      <c r="AC182" s="91"/>
      <c r="AD182" s="91"/>
      <c r="AE182" s="92"/>
      <c r="AF182" s="90"/>
      <c r="AG182" s="90"/>
      <c r="AH182" s="90"/>
      <c r="AI182" s="90"/>
      <c r="AJ182" s="90"/>
      <c r="AK182" s="90"/>
      <c r="AL182" s="90"/>
      <c r="AM182" s="92"/>
      <c r="AN182" s="92"/>
      <c r="AO182" s="83"/>
      <c r="CA182" s="477"/>
      <c r="CB182" s="477"/>
    </row>
    <row r="183" spans="1:80">
      <c r="A183" s="83"/>
      <c r="B183" s="95" t="s">
        <v>633</v>
      </c>
      <c r="C183" s="96" t="s">
        <v>225</v>
      </c>
      <c r="D183" s="164" t="s">
        <v>636</v>
      </c>
      <c r="E183" s="163"/>
      <c r="F183" s="83"/>
      <c r="G183" s="130">
        <f>G176+G181</f>
        <v>834.97344754800633</v>
      </c>
      <c r="H183" s="130">
        <f t="shared" ref="H183:T183" si="134">H176+H181</f>
        <v>899.44186780883558</v>
      </c>
      <c r="I183" s="130">
        <f t="shared" si="134"/>
        <v>935.783715588738</v>
      </c>
      <c r="J183" s="130">
        <f t="shared" si="134"/>
        <v>719.01258389014583</v>
      </c>
      <c r="K183" s="130">
        <f t="shared" si="134"/>
        <v>724.54894556544332</v>
      </c>
      <c r="L183" s="97">
        <f t="shared" si="134"/>
        <v>282.25501519694461</v>
      </c>
      <c r="M183" s="97">
        <f t="shared" si="134"/>
        <v>239.33950382022644</v>
      </c>
      <c r="N183" s="97">
        <f t="shared" si="134"/>
        <v>205.04132369069586</v>
      </c>
      <c r="O183" s="97">
        <f t="shared" si="134"/>
        <v>194.4031501275885</v>
      </c>
      <c r="P183" s="130">
        <f t="shared" si="134"/>
        <v>916.73504223085376</v>
      </c>
      <c r="Q183" s="97">
        <f t="shared" si="134"/>
        <v>213.17054800398247</v>
      </c>
      <c r="R183" s="97">
        <f t="shared" si="134"/>
        <v>260.92297211752009</v>
      </c>
      <c r="S183" s="97">
        <f t="shared" si="134"/>
        <v>256.70747581070987</v>
      </c>
      <c r="T183" s="97">
        <f t="shared" si="134"/>
        <v>248.15018605465917</v>
      </c>
      <c r="U183" s="130">
        <f>U176+U181</f>
        <v>979.40322542479532</v>
      </c>
      <c r="V183" s="97">
        <f>V176+V181</f>
        <v>204.01866510818635</v>
      </c>
      <c r="W183" s="97">
        <f>W176+W181</f>
        <v>200.19227993080167</v>
      </c>
      <c r="X183" s="97">
        <f>X176+X181</f>
        <v>224.17480051725593</v>
      </c>
      <c r="Y183" s="97">
        <f>Y176+Y181</f>
        <v>306.30848562783331</v>
      </c>
      <c r="Z183" s="130">
        <f>SUM(V183:Y183)</f>
        <v>934.69423118407724</v>
      </c>
      <c r="AA183" s="97">
        <f>AA176+AA181</f>
        <v>313.97308110487319</v>
      </c>
      <c r="AB183" s="97">
        <f>AB176+AB181</f>
        <v>293.1539031580283</v>
      </c>
      <c r="AC183" s="97">
        <f>AC176+AC181</f>
        <v>352.76863868488238</v>
      </c>
      <c r="AD183" s="97">
        <f>AD176+AD181</f>
        <v>341.91421903303979</v>
      </c>
      <c r="AE183" s="130">
        <f t="shared" ref="AE183:AE192" si="135">SUM(AA183:AD183)</f>
        <v>1301.8098419808236</v>
      </c>
      <c r="AF183" s="130">
        <f>AF176+AF181</f>
        <v>1436.1571447702745</v>
      </c>
      <c r="AG183" s="130">
        <f t="shared" ref="AG183:AL183" si="136">AG176+AG181</f>
        <v>1436.1571447702745</v>
      </c>
      <c r="AH183" s="130">
        <f t="shared" si="136"/>
        <v>1665.0102976678168</v>
      </c>
      <c r="AI183" s="130">
        <f t="shared" si="136"/>
        <v>1489.946831611298</v>
      </c>
      <c r="AJ183" s="130">
        <f t="shared" si="136"/>
        <v>1489.946831611298</v>
      </c>
      <c r="AK183" s="130">
        <f t="shared" si="136"/>
        <v>1489.946831611298</v>
      </c>
      <c r="AL183" s="130">
        <f t="shared" si="136"/>
        <v>1489.946831611298</v>
      </c>
      <c r="AM183" s="92"/>
      <c r="AN183" s="92"/>
      <c r="AO183" s="83"/>
      <c r="CA183" s="477"/>
      <c r="CB183" s="477"/>
    </row>
    <row r="184" spans="1:80">
      <c r="A184" s="83"/>
      <c r="B184" s="95" t="s">
        <v>633</v>
      </c>
      <c r="C184" s="96" t="s">
        <v>225</v>
      </c>
      <c r="D184" s="164" t="s">
        <v>637</v>
      </c>
      <c r="E184" s="163"/>
      <c r="F184" s="83"/>
      <c r="G184" s="130">
        <f>G185-G183</f>
        <v>47.026552451993666</v>
      </c>
      <c r="H184" s="130">
        <f t="shared" ref="H184:U184" si="137">H185-H183</f>
        <v>43.558132191164418</v>
      </c>
      <c r="I184" s="130">
        <f t="shared" si="137"/>
        <v>63.216284411261995</v>
      </c>
      <c r="J184" s="130">
        <f t="shared" si="137"/>
        <v>30.987416109854166</v>
      </c>
      <c r="K184" s="130">
        <f t="shared" si="137"/>
        <v>8.4510544345566814</v>
      </c>
      <c r="L184" s="97">
        <f>L185-L183</f>
        <v>5.7449848030553881</v>
      </c>
      <c r="M184" s="97">
        <f t="shared" si="137"/>
        <v>9.6604961797735598</v>
      </c>
      <c r="N184" s="97">
        <f t="shared" si="137"/>
        <v>2.9586763093041384</v>
      </c>
      <c r="O184" s="97">
        <f t="shared" si="137"/>
        <v>1.5968498724114966</v>
      </c>
      <c r="P184" s="130">
        <f t="shared" si="137"/>
        <v>24.264957769146235</v>
      </c>
      <c r="Q184" s="97">
        <f t="shared" si="137"/>
        <v>4.8294519960175251</v>
      </c>
      <c r="R184" s="97">
        <f t="shared" si="137"/>
        <v>2.0770278824799107</v>
      </c>
      <c r="S184" s="97">
        <f t="shared" si="137"/>
        <v>7.292524189290134</v>
      </c>
      <c r="T184" s="97">
        <f t="shared" si="137"/>
        <v>11.849813945340827</v>
      </c>
      <c r="U184" s="130">
        <f t="shared" si="137"/>
        <v>25.596774575204677</v>
      </c>
      <c r="V184" s="97">
        <f>V185-V183</f>
        <v>0.98133489181364553</v>
      </c>
      <c r="W184" s="97">
        <f>W185-W183</f>
        <v>12.807720069198325</v>
      </c>
      <c r="X184" s="97">
        <f>X185-X183</f>
        <v>14.825199482744068</v>
      </c>
      <c r="Y184" s="97">
        <f>Y185-Y183</f>
        <v>29.691514372166694</v>
      </c>
      <c r="Z184" s="231">
        <f>SUM(V184:Y184)</f>
        <v>58.305768815922733</v>
      </c>
      <c r="AA184" s="97">
        <f>AA185-AA183</f>
        <v>23.026918895126812</v>
      </c>
      <c r="AB184" s="97">
        <f>AB185-AB183</f>
        <v>20.846096841971701</v>
      </c>
      <c r="AC184" s="149"/>
      <c r="AD184" s="149"/>
      <c r="AE184" s="231">
        <f t="shared" si="135"/>
        <v>43.873015737098513</v>
      </c>
      <c r="AF184" s="223"/>
      <c r="AG184" s="223"/>
      <c r="AH184" s="223"/>
      <c r="AI184" s="223"/>
      <c r="AJ184" s="92"/>
      <c r="AK184" s="92"/>
      <c r="AL184" s="92"/>
      <c r="AM184" s="92"/>
      <c r="AN184" s="92"/>
      <c r="AO184" s="83"/>
      <c r="CA184" s="477"/>
      <c r="CB184" s="477"/>
    </row>
    <row r="185" spans="1:80">
      <c r="A185" s="83"/>
      <c r="B185" s="95" t="s">
        <v>633</v>
      </c>
      <c r="C185" s="96" t="s">
        <v>225</v>
      </c>
      <c r="D185" s="594" t="s">
        <v>638</v>
      </c>
      <c r="E185" s="594"/>
      <c r="F185" s="595"/>
      <c r="G185" s="596">
        <v>882</v>
      </c>
      <c r="H185" s="596">
        <v>943</v>
      </c>
      <c r="I185" s="596">
        <v>999</v>
      </c>
      <c r="J185" s="596">
        <v>750</v>
      </c>
      <c r="K185" s="596">
        <v>733</v>
      </c>
      <c r="L185" s="597">
        <v>288</v>
      </c>
      <c r="M185" s="597">
        <v>249</v>
      </c>
      <c r="N185" s="597">
        <v>208</v>
      </c>
      <c r="O185" s="597">
        <v>196</v>
      </c>
      <c r="P185" s="596">
        <v>941</v>
      </c>
      <c r="Q185" s="597">
        <v>218</v>
      </c>
      <c r="R185" s="597">
        <v>263</v>
      </c>
      <c r="S185" s="597">
        <v>264</v>
      </c>
      <c r="T185" s="597">
        <v>260</v>
      </c>
      <c r="U185" s="596">
        <v>1005</v>
      </c>
      <c r="V185" s="597">
        <v>205</v>
      </c>
      <c r="W185" s="597">
        <v>213</v>
      </c>
      <c r="X185" s="597">
        <v>239</v>
      </c>
      <c r="Y185" s="597">
        <v>336</v>
      </c>
      <c r="Z185" s="596">
        <v>993</v>
      </c>
      <c r="AA185" s="597">
        <v>337</v>
      </c>
      <c r="AB185" s="597">
        <v>314</v>
      </c>
      <c r="AC185" s="615">
        <f>AC183+AC184</f>
        <v>352.76863868488238</v>
      </c>
      <c r="AD185" s="615">
        <f>AD183+AD184</f>
        <v>341.91421903303979</v>
      </c>
      <c r="AE185" s="990">
        <f t="shared" si="135"/>
        <v>1345.6828577179222</v>
      </c>
      <c r="AF185" s="990">
        <f>AF183+AF184</f>
        <v>1436.1571447702745</v>
      </c>
      <c r="AG185" s="990">
        <f t="shared" ref="AG185:AL185" si="138">AG183+AG184</f>
        <v>1436.1571447702745</v>
      </c>
      <c r="AH185" s="990">
        <f t="shared" si="138"/>
        <v>1665.0102976678168</v>
      </c>
      <c r="AI185" s="990">
        <f t="shared" si="138"/>
        <v>1489.946831611298</v>
      </c>
      <c r="AJ185" s="990">
        <f t="shared" si="138"/>
        <v>1489.946831611298</v>
      </c>
      <c r="AK185" s="990">
        <f t="shared" si="138"/>
        <v>1489.946831611298</v>
      </c>
      <c r="AL185" s="990">
        <f t="shared" si="138"/>
        <v>1489.946831611298</v>
      </c>
      <c r="AM185" s="649"/>
      <c r="AN185" s="92"/>
      <c r="AO185" s="83"/>
      <c r="CA185" s="477"/>
      <c r="CB185" s="477"/>
    </row>
    <row r="186" spans="1:80">
      <c r="A186" s="83"/>
      <c r="B186" s="95" t="s">
        <v>633</v>
      </c>
      <c r="C186" s="96" t="s">
        <v>225</v>
      </c>
      <c r="D186" s="682" t="s">
        <v>642</v>
      </c>
      <c r="E186" s="683"/>
      <c r="F186" s="684"/>
      <c r="G186" s="1105">
        <v>-438</v>
      </c>
      <c r="H186" s="1105">
        <v>-484</v>
      </c>
      <c r="I186" s="1105">
        <v>-513</v>
      </c>
      <c r="J186" s="1105">
        <v>-452</v>
      </c>
      <c r="K186" s="1105">
        <v>-488</v>
      </c>
      <c r="L186" s="1104">
        <v>-140</v>
      </c>
      <c r="M186" s="1104">
        <v>-133</v>
      </c>
      <c r="N186" s="1104">
        <v>-144</v>
      </c>
      <c r="O186" s="1104">
        <v>-144</v>
      </c>
      <c r="P186" s="1105">
        <v>-561</v>
      </c>
      <c r="Q186" s="1104">
        <v>-140</v>
      </c>
      <c r="R186" s="1104">
        <v>-150</v>
      </c>
      <c r="S186" s="1104">
        <v>-145</v>
      </c>
      <c r="T186" s="1104">
        <v>-133</v>
      </c>
      <c r="U186" s="1105">
        <v>-568</v>
      </c>
      <c r="V186" s="1104">
        <v>-119</v>
      </c>
      <c r="W186" s="1104">
        <v>-112</v>
      </c>
      <c r="X186" s="1104">
        <v>-110</v>
      </c>
      <c r="Y186" s="1104">
        <v>-141</v>
      </c>
      <c r="Z186" s="1105">
        <v>-482</v>
      </c>
      <c r="AA186" s="1104">
        <v>-126</v>
      </c>
      <c r="AB186" s="1104">
        <v>-111</v>
      </c>
      <c r="AC186" s="685">
        <f>(-AC202*AC196)/1000</f>
        <v>-144.81445371938986</v>
      </c>
      <c r="AD186" s="685">
        <f>(-AD202*AD196)/1000</f>
        <v>-140.35862437417782</v>
      </c>
      <c r="AE186" s="993">
        <f t="shared" si="135"/>
        <v>-522.17307809356771</v>
      </c>
      <c r="AF186" s="606">
        <f>(-AF202*AF196)/1000</f>
        <v>-579.25781487755944</v>
      </c>
      <c r="AG186" s="606">
        <f t="shared" ref="AG186:AL186" si="139">(-AG202*AG196)/1000</f>
        <v>-579.25781487755944</v>
      </c>
      <c r="AH186" s="606">
        <f t="shared" si="139"/>
        <v>-668.37440178179941</v>
      </c>
      <c r="AI186" s="606">
        <f t="shared" si="139"/>
        <v>-668.37440178179941</v>
      </c>
      <c r="AJ186" s="606">
        <f t="shared" si="139"/>
        <v>-668.37440178179941</v>
      </c>
      <c r="AK186" s="606">
        <f t="shared" si="139"/>
        <v>-668.37440178179941</v>
      </c>
      <c r="AL186" s="606">
        <f t="shared" si="139"/>
        <v>-668.37440178179941</v>
      </c>
      <c r="AM186" s="649"/>
      <c r="AN186" s="92"/>
      <c r="AO186" s="83"/>
      <c r="CA186" s="477"/>
      <c r="CB186" s="477"/>
    </row>
    <row r="187" spans="1:80">
      <c r="A187" s="83"/>
      <c r="B187" s="95" t="s">
        <v>633</v>
      </c>
      <c r="C187" s="96" t="s">
        <v>225</v>
      </c>
      <c r="D187" s="682" t="s">
        <v>643</v>
      </c>
      <c r="E187" s="683"/>
      <c r="F187" s="684"/>
      <c r="G187" s="1105">
        <v>-34</v>
      </c>
      <c r="H187" s="1105">
        <v>-40</v>
      </c>
      <c r="I187" s="1105">
        <v>-37</v>
      </c>
      <c r="J187" s="1105">
        <v>-30</v>
      </c>
      <c r="K187" s="1105">
        <v>-32</v>
      </c>
      <c r="L187" s="1104">
        <v>-10</v>
      </c>
      <c r="M187" s="1104">
        <v>-10</v>
      </c>
      <c r="N187" s="1104">
        <v>-9</v>
      </c>
      <c r="O187" s="1104">
        <v>-8</v>
      </c>
      <c r="P187" s="1105">
        <v>-37</v>
      </c>
      <c r="Q187" s="1104">
        <v>-10</v>
      </c>
      <c r="R187" s="1104">
        <v>-10</v>
      </c>
      <c r="S187" s="1104">
        <v>-12</v>
      </c>
      <c r="T187" s="1104">
        <v>-10</v>
      </c>
      <c r="U187" s="1105">
        <v>-42</v>
      </c>
      <c r="V187" s="1104">
        <v>-9</v>
      </c>
      <c r="W187" s="1104">
        <v>-8</v>
      </c>
      <c r="X187" s="1104">
        <v>-8</v>
      </c>
      <c r="Y187" s="1104">
        <v>-10</v>
      </c>
      <c r="Z187" s="1105">
        <v>-35</v>
      </c>
      <c r="AA187" s="1104">
        <v>-9</v>
      </c>
      <c r="AB187" s="1104">
        <v>-9</v>
      </c>
      <c r="AC187" s="685">
        <f>-(AC203*AC198)/1000000</f>
        <v>-9.5910623946037106</v>
      </c>
      <c r="AD187" s="685">
        <f>-(AD203*AD198)/1000000</f>
        <v>-9.2959527824620523</v>
      </c>
      <c r="AE187" s="993">
        <f>SUM(AA187:AD187)</f>
        <v>-36.887015177065763</v>
      </c>
      <c r="AF187" s="606">
        <f>-(AF203*AF198)/1000000</f>
        <v>-38.364249578414842</v>
      </c>
      <c r="AG187" s="606">
        <f>-(AG203*AG198)/1000000</f>
        <v>-38.364249578414842</v>
      </c>
      <c r="AH187" s="606">
        <f t="shared" ref="AH187:AL187" si="140">-(AH203*AH198)/1000000</f>
        <v>-44.266441821247888</v>
      </c>
      <c r="AI187" s="606">
        <f t="shared" si="140"/>
        <v>-44.266441821247888</v>
      </c>
      <c r="AJ187" s="606">
        <f t="shared" si="140"/>
        <v>-44.266441821247888</v>
      </c>
      <c r="AK187" s="606">
        <f t="shared" si="140"/>
        <v>-44.266441821247888</v>
      </c>
      <c r="AL187" s="606">
        <f t="shared" si="140"/>
        <v>-44.266441821247888</v>
      </c>
      <c r="AM187" s="649"/>
      <c r="AN187" s="92"/>
      <c r="AO187" s="83"/>
      <c r="CA187" s="477"/>
      <c r="CB187" s="477"/>
    </row>
    <row r="188" spans="1:80">
      <c r="A188" s="83"/>
      <c r="B188" s="95" t="s">
        <v>633</v>
      </c>
      <c r="C188" s="96" t="s">
        <v>225</v>
      </c>
      <c r="D188" s="682" t="s">
        <v>644</v>
      </c>
      <c r="E188" s="608"/>
      <c r="F188" s="609"/>
      <c r="G188" s="1105">
        <v>-111</v>
      </c>
      <c r="H188" s="1105">
        <v>-154</v>
      </c>
      <c r="I188" s="1105">
        <v>-171</v>
      </c>
      <c r="J188" s="1105">
        <v>-182</v>
      </c>
      <c r="K188" s="1105">
        <v>-195</v>
      </c>
      <c r="L188" s="1104">
        <v>-52</v>
      </c>
      <c r="M188" s="1104">
        <v>-43</v>
      </c>
      <c r="N188" s="1104">
        <v>-43</v>
      </c>
      <c r="O188" s="1104">
        <v>-41</v>
      </c>
      <c r="P188" s="1105">
        <v>-179</v>
      </c>
      <c r="Q188" s="1104">
        <v>-47</v>
      </c>
      <c r="R188" s="1104">
        <v>-53</v>
      </c>
      <c r="S188" s="1104">
        <v>-52</v>
      </c>
      <c r="T188" s="1104">
        <v>-47</v>
      </c>
      <c r="U188" s="1105">
        <v>-199</v>
      </c>
      <c r="V188" s="1104">
        <v>-34</v>
      </c>
      <c r="W188" s="1104">
        <v>-34</v>
      </c>
      <c r="X188" s="1104">
        <v>-35</v>
      </c>
      <c r="Y188" s="1104">
        <v>-42</v>
      </c>
      <c r="Z188" s="1105">
        <v>-145</v>
      </c>
      <c r="AA188" s="1104">
        <v>-41</v>
      </c>
      <c r="AB188" s="1104">
        <v>-35</v>
      </c>
      <c r="AC188" s="685">
        <f>(-AC206*AC197)/1000</f>
        <v>-39.73440134907252</v>
      </c>
      <c r="AD188" s="685">
        <f>(-AD206*AD197)/1000</f>
        <v>-38.511804384485657</v>
      </c>
      <c r="AE188" s="993">
        <f t="shared" si="135"/>
        <v>-154.24620573355818</v>
      </c>
      <c r="AF188" s="606">
        <f>(-AF206*AF197)/1000</f>
        <v>-158.93760539629008</v>
      </c>
      <c r="AG188" s="606">
        <f t="shared" ref="AG188:AL188" si="141">(-AG206*AG197)/1000</f>
        <v>-158.93760539629008</v>
      </c>
      <c r="AH188" s="606">
        <f>(-AH206*AH197)/1000</f>
        <v>-183.389544688027</v>
      </c>
      <c r="AI188" s="606">
        <f t="shared" si="141"/>
        <v>-183.389544688027</v>
      </c>
      <c r="AJ188" s="606">
        <f t="shared" si="141"/>
        <v>-183.389544688027</v>
      </c>
      <c r="AK188" s="606">
        <f t="shared" si="141"/>
        <v>-183.389544688027</v>
      </c>
      <c r="AL188" s="606">
        <f t="shared" si="141"/>
        <v>-183.389544688027</v>
      </c>
      <c r="AM188" s="649"/>
      <c r="AN188" s="92"/>
      <c r="AO188" s="83"/>
      <c r="CA188" s="477"/>
      <c r="CB188" s="477"/>
    </row>
    <row r="189" spans="1:80">
      <c r="A189" s="83"/>
      <c r="B189" s="95" t="s">
        <v>633</v>
      </c>
      <c r="C189" s="96" t="s">
        <v>225</v>
      </c>
      <c r="D189" s="600" t="s">
        <v>645</v>
      </c>
      <c r="E189" s="594"/>
      <c r="F189" s="595"/>
      <c r="G189" s="601">
        <f>SUM(G186:G188)</f>
        <v>-583</v>
      </c>
      <c r="H189" s="601">
        <f t="shared" ref="H189:T189" si="142">SUM(H186:H188)</f>
        <v>-678</v>
      </c>
      <c r="I189" s="601">
        <f t="shared" si="142"/>
        <v>-721</v>
      </c>
      <c r="J189" s="601">
        <f t="shared" si="142"/>
        <v>-664</v>
      </c>
      <c r="K189" s="601">
        <f t="shared" si="142"/>
        <v>-715</v>
      </c>
      <c r="L189" s="614">
        <f t="shared" si="142"/>
        <v>-202</v>
      </c>
      <c r="M189" s="614">
        <f t="shared" si="142"/>
        <v>-186</v>
      </c>
      <c r="N189" s="614">
        <f t="shared" si="142"/>
        <v>-196</v>
      </c>
      <c r="O189" s="614">
        <f t="shared" si="142"/>
        <v>-193</v>
      </c>
      <c r="P189" s="601">
        <f t="shared" si="142"/>
        <v>-777</v>
      </c>
      <c r="Q189" s="614">
        <f t="shared" si="142"/>
        <v>-197</v>
      </c>
      <c r="R189" s="614">
        <f t="shared" si="142"/>
        <v>-213</v>
      </c>
      <c r="S189" s="614">
        <f t="shared" si="142"/>
        <v>-209</v>
      </c>
      <c r="T189" s="614">
        <f t="shared" si="142"/>
        <v>-190</v>
      </c>
      <c r="U189" s="601">
        <f>SUM(U186:U188)</f>
        <v>-809</v>
      </c>
      <c r="V189" s="614">
        <f>SUM(V186:V188)</f>
        <v>-162</v>
      </c>
      <c r="W189" s="614">
        <f>SUM(W186:W188)</f>
        <v>-154</v>
      </c>
      <c r="X189" s="614">
        <f>SUM(X186:X188)</f>
        <v>-153</v>
      </c>
      <c r="Y189" s="614">
        <f>SUM(Y186:Y188)</f>
        <v>-193</v>
      </c>
      <c r="Z189" s="601">
        <f>SUM(V189:Y189)</f>
        <v>-662</v>
      </c>
      <c r="AA189" s="614">
        <f>SUM(AA186:AA188)</f>
        <v>-176</v>
      </c>
      <c r="AB189" s="614">
        <f>SUM(AB186:AB188)</f>
        <v>-155</v>
      </c>
      <c r="AC189" s="614">
        <f>SUM(AC186:AC188)</f>
        <v>-194.1399174630661</v>
      </c>
      <c r="AD189" s="614">
        <f>SUM(AD186:AD188)</f>
        <v>-188.16638154112553</v>
      </c>
      <c r="AE189" s="601">
        <f t="shared" si="135"/>
        <v>-713.30629900419171</v>
      </c>
      <c r="AF189" s="601">
        <f>SUM(AF186:AF188)</f>
        <v>-776.55966985226439</v>
      </c>
      <c r="AG189" s="601">
        <f t="shared" ref="AG189:AL189" si="143">SUM(AG186:AG188)</f>
        <v>-776.55966985226439</v>
      </c>
      <c r="AH189" s="601">
        <f t="shared" si="143"/>
        <v>-896.03038829107436</v>
      </c>
      <c r="AI189" s="601">
        <f t="shared" si="143"/>
        <v>-896.03038829107436</v>
      </c>
      <c r="AJ189" s="601">
        <f t="shared" si="143"/>
        <v>-896.03038829107436</v>
      </c>
      <c r="AK189" s="601">
        <f t="shared" si="143"/>
        <v>-896.03038829107436</v>
      </c>
      <c r="AL189" s="601">
        <f t="shared" si="143"/>
        <v>-896.03038829107436</v>
      </c>
      <c r="AM189" s="649"/>
      <c r="AN189" s="92"/>
      <c r="AO189" s="83"/>
      <c r="CA189" s="477"/>
      <c r="CB189" s="477"/>
    </row>
    <row r="190" spans="1:80">
      <c r="A190" s="83"/>
      <c r="B190" s="95" t="s">
        <v>633</v>
      </c>
      <c r="C190" s="96" t="s">
        <v>225</v>
      </c>
      <c r="D190" s="163" t="s">
        <v>226</v>
      </c>
      <c r="E190" s="186"/>
      <c r="F190" s="136"/>
      <c r="G190" s="95">
        <f>G185+G186+G187</f>
        <v>410</v>
      </c>
      <c r="H190" s="95">
        <f t="shared" ref="H190:U190" si="144">H185+H186+H187</f>
        <v>419</v>
      </c>
      <c r="I190" s="95">
        <f t="shared" si="144"/>
        <v>449</v>
      </c>
      <c r="J190" s="95">
        <f t="shared" si="144"/>
        <v>268</v>
      </c>
      <c r="K190" s="95">
        <f t="shared" si="144"/>
        <v>213</v>
      </c>
      <c r="L190" s="126">
        <f t="shared" si="144"/>
        <v>138</v>
      </c>
      <c r="M190" s="126">
        <f t="shared" si="144"/>
        <v>106</v>
      </c>
      <c r="N190" s="126">
        <f t="shared" si="144"/>
        <v>55</v>
      </c>
      <c r="O190" s="126">
        <f t="shared" si="144"/>
        <v>44</v>
      </c>
      <c r="P190" s="95">
        <f t="shared" si="144"/>
        <v>343</v>
      </c>
      <c r="Q190" s="126">
        <f t="shared" si="144"/>
        <v>68</v>
      </c>
      <c r="R190" s="126">
        <f t="shared" si="144"/>
        <v>103</v>
      </c>
      <c r="S190" s="126">
        <f t="shared" si="144"/>
        <v>107</v>
      </c>
      <c r="T190" s="126">
        <f t="shared" si="144"/>
        <v>117</v>
      </c>
      <c r="U190" s="95">
        <f t="shared" si="144"/>
        <v>395</v>
      </c>
      <c r="V190" s="126">
        <f>V185+V186+V187</f>
        <v>77</v>
      </c>
      <c r="W190" s="126">
        <f>W185+W186+W187</f>
        <v>93</v>
      </c>
      <c r="X190" s="126">
        <f>X185+X186+X187</f>
        <v>121</v>
      </c>
      <c r="Y190" s="126">
        <f>Y185+Y186+Y187</f>
        <v>185</v>
      </c>
      <c r="Z190" s="95">
        <f t="shared" ref="Z190:Z191" si="145">SUM(V190:Y190)</f>
        <v>476</v>
      </c>
      <c r="AA190" s="126">
        <f>AA185+AA186+AA187</f>
        <v>202</v>
      </c>
      <c r="AB190" s="126">
        <f>AB185+AB186+AB187</f>
        <v>194</v>
      </c>
      <c r="AC190" s="126">
        <f>AC185+AC186+AC187</f>
        <v>198.36312257088881</v>
      </c>
      <c r="AD190" s="126">
        <f>AD185+AD186+AD187</f>
        <v>192.25964187639991</v>
      </c>
      <c r="AE190" s="95">
        <f t="shared" si="135"/>
        <v>786.62276444728866</v>
      </c>
      <c r="AF190" s="95">
        <f t="shared" ref="AF190:AL190" si="146">AF185+AF186+AF187</f>
        <v>818.53508031430022</v>
      </c>
      <c r="AG190" s="95">
        <f t="shared" si="146"/>
        <v>818.53508031430022</v>
      </c>
      <c r="AH190" s="95">
        <f t="shared" si="146"/>
        <v>952.36945406476946</v>
      </c>
      <c r="AI190" s="95">
        <f t="shared" si="146"/>
        <v>777.30598800825067</v>
      </c>
      <c r="AJ190" s="95">
        <f t="shared" si="146"/>
        <v>777.30598800825067</v>
      </c>
      <c r="AK190" s="95">
        <f t="shared" si="146"/>
        <v>777.30598800825067</v>
      </c>
      <c r="AL190" s="95">
        <f t="shared" si="146"/>
        <v>777.30598800825067</v>
      </c>
      <c r="AM190" s="649"/>
      <c r="AN190" s="92"/>
      <c r="AO190" s="83"/>
      <c r="CA190" s="477"/>
      <c r="CB190" s="477"/>
    </row>
    <row r="191" spans="1:80">
      <c r="A191" s="83"/>
      <c r="B191" s="95" t="s">
        <v>633</v>
      </c>
      <c r="C191" s="96" t="s">
        <v>225</v>
      </c>
      <c r="D191" s="594" t="s">
        <v>178</v>
      </c>
      <c r="E191" s="594"/>
      <c r="F191" s="595"/>
      <c r="G191" s="602">
        <f>G190+G188</f>
        <v>299</v>
      </c>
      <c r="H191" s="602">
        <f t="shared" ref="H191:V191" si="147">H190+H188</f>
        <v>265</v>
      </c>
      <c r="I191" s="602">
        <f t="shared" si="147"/>
        <v>278</v>
      </c>
      <c r="J191" s="602">
        <f t="shared" si="147"/>
        <v>86</v>
      </c>
      <c r="K191" s="602">
        <f t="shared" si="147"/>
        <v>18</v>
      </c>
      <c r="L191" s="615">
        <f t="shared" si="147"/>
        <v>86</v>
      </c>
      <c r="M191" s="615">
        <f t="shared" si="147"/>
        <v>63</v>
      </c>
      <c r="N191" s="615">
        <f t="shared" si="147"/>
        <v>12</v>
      </c>
      <c r="O191" s="615">
        <f t="shared" si="147"/>
        <v>3</v>
      </c>
      <c r="P191" s="602">
        <f t="shared" si="147"/>
        <v>164</v>
      </c>
      <c r="Q191" s="615">
        <f t="shared" si="147"/>
        <v>21</v>
      </c>
      <c r="R191" s="615">
        <f t="shared" si="147"/>
        <v>50</v>
      </c>
      <c r="S191" s="615">
        <f t="shared" si="147"/>
        <v>55</v>
      </c>
      <c r="T191" s="615">
        <f t="shared" si="147"/>
        <v>70</v>
      </c>
      <c r="U191" s="602">
        <f t="shared" si="147"/>
        <v>196</v>
      </c>
      <c r="V191" s="615">
        <f t="shared" si="147"/>
        <v>43</v>
      </c>
      <c r="W191" s="615">
        <f>W190+W188</f>
        <v>59</v>
      </c>
      <c r="X191" s="615">
        <f>X190+X188</f>
        <v>86</v>
      </c>
      <c r="Y191" s="615">
        <f>Y190+Y188</f>
        <v>143</v>
      </c>
      <c r="Z191" s="602">
        <f t="shared" si="145"/>
        <v>331</v>
      </c>
      <c r="AA191" s="615">
        <f>AA190+AA188</f>
        <v>161</v>
      </c>
      <c r="AB191" s="615">
        <f>AB190+AB188</f>
        <v>159</v>
      </c>
      <c r="AC191" s="615">
        <f>AC190+AC188</f>
        <v>158.62872122181628</v>
      </c>
      <c r="AD191" s="615">
        <f>AD190+AD188</f>
        <v>153.74783749191425</v>
      </c>
      <c r="AE191" s="602">
        <f t="shared" si="135"/>
        <v>632.37655871373045</v>
      </c>
      <c r="AF191" s="602">
        <f>AF190+AF188</f>
        <v>659.59747491801011</v>
      </c>
      <c r="AG191" s="602">
        <f t="shared" ref="AG191:AL191" si="148">AG190+AG188</f>
        <v>659.59747491801011</v>
      </c>
      <c r="AH191" s="602">
        <f>AH190+AH188</f>
        <v>768.9799093767424</v>
      </c>
      <c r="AI191" s="602">
        <f t="shared" si="148"/>
        <v>593.91644332022361</v>
      </c>
      <c r="AJ191" s="602">
        <f t="shared" si="148"/>
        <v>593.91644332022361</v>
      </c>
      <c r="AK191" s="602">
        <f t="shared" si="148"/>
        <v>593.91644332022361</v>
      </c>
      <c r="AL191" s="602">
        <f t="shared" si="148"/>
        <v>593.91644332022361</v>
      </c>
      <c r="AM191" s="649"/>
      <c r="AN191" s="92"/>
      <c r="AO191" s="83"/>
      <c r="CA191" s="477"/>
      <c r="CB191" s="477"/>
    </row>
    <row r="192" spans="1:80" s="612" customFormat="1">
      <c r="A192" s="558"/>
      <c r="B192" s="95" t="s">
        <v>633</v>
      </c>
      <c r="C192" s="96" t="s">
        <v>225</v>
      </c>
      <c r="D192" s="607" t="s">
        <v>261</v>
      </c>
      <c r="E192" s="608"/>
      <c r="F192" s="609"/>
      <c r="G192" s="1105">
        <v>113</v>
      </c>
      <c r="H192" s="1105">
        <v>123</v>
      </c>
      <c r="I192" s="1105">
        <v>124</v>
      </c>
      <c r="J192" s="1105">
        <v>70</v>
      </c>
      <c r="K192" s="1105">
        <v>69</v>
      </c>
      <c r="L192" s="1104">
        <v>22</v>
      </c>
      <c r="M192" s="1104">
        <v>19</v>
      </c>
      <c r="N192" s="1104">
        <v>19</v>
      </c>
      <c r="O192" s="1104">
        <v>19</v>
      </c>
      <c r="P192" s="1105">
        <v>79</v>
      </c>
      <c r="Q192" s="1104">
        <v>23</v>
      </c>
      <c r="R192" s="1104">
        <v>22</v>
      </c>
      <c r="S192" s="1104">
        <v>25</v>
      </c>
      <c r="T192" s="1104">
        <v>24</v>
      </c>
      <c r="U192" s="1105">
        <v>94</v>
      </c>
      <c r="V192" s="1104">
        <v>23</v>
      </c>
      <c r="W192" s="1104">
        <v>20</v>
      </c>
      <c r="X192" s="1104">
        <v>16</v>
      </c>
      <c r="Y192" s="1104">
        <v>25</v>
      </c>
      <c r="Z192" s="1105">
        <v>84</v>
      </c>
      <c r="AA192" s="1104">
        <v>21</v>
      </c>
      <c r="AB192" s="1104">
        <v>30</v>
      </c>
      <c r="AC192" s="611">
        <f>(AC205*AC197)/1000</f>
        <v>23.018549747048901</v>
      </c>
      <c r="AD192" s="611">
        <f>(AD205*AD197)/1000</f>
        <v>22.31028667790893</v>
      </c>
      <c r="AE192" s="993">
        <f t="shared" si="135"/>
        <v>96.328836424957828</v>
      </c>
      <c r="AF192" s="610">
        <f>(AF205*AF197)/1000</f>
        <v>92.074198988195604</v>
      </c>
      <c r="AG192" s="610">
        <f t="shared" ref="AG192:AL192" si="149">(AG205*AG197)/1000</f>
        <v>92.074198988195604</v>
      </c>
      <c r="AH192" s="610">
        <f t="shared" si="149"/>
        <v>106.23946037099495</v>
      </c>
      <c r="AI192" s="610">
        <f t="shared" si="149"/>
        <v>106.23946037099495</v>
      </c>
      <c r="AJ192" s="610">
        <f t="shared" si="149"/>
        <v>106.23946037099495</v>
      </c>
      <c r="AK192" s="610">
        <f t="shared" si="149"/>
        <v>106.23946037099495</v>
      </c>
      <c r="AL192" s="610">
        <f t="shared" si="149"/>
        <v>106.23946037099495</v>
      </c>
      <c r="AM192" s="650"/>
      <c r="AN192" s="559"/>
      <c r="AO192" s="558"/>
      <c r="CA192" s="613"/>
      <c r="CB192" s="613"/>
    </row>
    <row r="193" spans="1:80">
      <c r="A193" s="83"/>
      <c r="B193" s="95"/>
      <c r="C193" s="96"/>
      <c r="D193" s="163"/>
      <c r="E193" s="186"/>
      <c r="F193" s="136"/>
      <c r="G193" s="95"/>
      <c r="H193" s="95"/>
      <c r="I193" s="95"/>
      <c r="J193" s="95"/>
      <c r="K193" s="95"/>
      <c r="L193" s="126"/>
      <c r="M193" s="126"/>
      <c r="N193" s="126"/>
      <c r="O193" s="126"/>
      <c r="P193" s="95"/>
      <c r="Q193" s="126"/>
      <c r="R193" s="126"/>
      <c r="S193" s="126"/>
      <c r="T193" s="126"/>
      <c r="U193" s="95"/>
      <c r="V193" s="126"/>
      <c r="W193" s="126"/>
      <c r="X193" s="126"/>
      <c r="Y193" s="126"/>
      <c r="Z193" s="189"/>
      <c r="AA193" s="686"/>
      <c r="AB193" s="686"/>
      <c r="AC193" s="686"/>
      <c r="AD193" s="686"/>
      <c r="AE193" s="189"/>
      <c r="AF193" s="189"/>
      <c r="AG193" s="189"/>
      <c r="AH193" s="189"/>
      <c r="AI193" s="189"/>
      <c r="AJ193" s="189"/>
      <c r="AK193" s="189"/>
      <c r="AL193" s="189"/>
      <c r="AM193" s="649"/>
      <c r="AN193" s="92"/>
      <c r="AO193" s="83"/>
      <c r="CA193" s="477"/>
      <c r="CB193" s="477"/>
    </row>
    <row r="194" spans="1:80">
      <c r="A194" s="83"/>
      <c r="B194" s="95"/>
      <c r="C194" s="96"/>
      <c r="D194" s="173" t="s">
        <v>646</v>
      </c>
      <c r="E194" s="173"/>
      <c r="F194" s="174"/>
      <c r="G194" s="605"/>
      <c r="H194" s="605"/>
      <c r="I194" s="605"/>
      <c r="J194" s="605"/>
      <c r="K194" s="605"/>
      <c r="L194" s="182"/>
      <c r="M194" s="182"/>
      <c r="N194" s="182"/>
      <c r="O194" s="182"/>
      <c r="P194" s="605"/>
      <c r="Q194" s="182"/>
      <c r="R194" s="182"/>
      <c r="S194" s="182"/>
      <c r="T194" s="182"/>
      <c r="U194" s="605"/>
      <c r="V194" s="182"/>
      <c r="W194" s="182"/>
      <c r="X194" s="182"/>
      <c r="Y194" s="182"/>
      <c r="Z194" s="179"/>
      <c r="AA194" s="995"/>
      <c r="AB194" s="995"/>
      <c r="AC194" s="995"/>
      <c r="AD194" s="995"/>
      <c r="AE194" s="179"/>
      <c r="AF194" s="179"/>
      <c r="AG194" s="179"/>
      <c r="AH194" s="179"/>
      <c r="AI194" s="179"/>
      <c r="AJ194" s="179"/>
      <c r="AK194" s="179"/>
      <c r="AL194" s="179"/>
      <c r="AM194" s="649"/>
      <c r="AN194" s="92"/>
      <c r="AO194" s="83"/>
      <c r="CA194" s="477"/>
      <c r="CB194" s="477"/>
    </row>
    <row r="195" spans="1:80">
      <c r="A195" s="83"/>
      <c r="B195" s="95" t="s">
        <v>649</v>
      </c>
      <c r="C195" s="96"/>
      <c r="D195" s="203" t="s">
        <v>657</v>
      </c>
      <c r="E195" s="186"/>
      <c r="F195" s="136"/>
      <c r="G195" s="90">
        <v>110532</v>
      </c>
      <c r="H195" s="90">
        <v>124217</v>
      </c>
      <c r="I195" s="90">
        <v>116231</v>
      </c>
      <c r="J195" s="90">
        <v>115369</v>
      </c>
      <c r="K195" s="90">
        <v>118766</v>
      </c>
      <c r="L195" s="91">
        <v>26965</v>
      </c>
      <c r="M195" s="91">
        <v>27778</v>
      </c>
      <c r="N195" s="91">
        <v>27422</v>
      </c>
      <c r="O195" s="91">
        <v>29872</v>
      </c>
      <c r="P195" s="90">
        <v>112037</v>
      </c>
      <c r="Q195" s="91">
        <v>26408</v>
      </c>
      <c r="R195" s="91">
        <v>27297</v>
      </c>
      <c r="S195" s="91">
        <v>26122</v>
      </c>
      <c r="T195" s="91">
        <v>30085</v>
      </c>
      <c r="U195" s="90">
        <v>109912</v>
      </c>
      <c r="V195" s="91">
        <v>25853</v>
      </c>
      <c r="W195" s="91">
        <v>25607</v>
      </c>
      <c r="X195" s="91">
        <v>23691</v>
      </c>
      <c r="Y195" s="91">
        <v>23841</v>
      </c>
      <c r="Z195" s="90">
        <v>98992</v>
      </c>
      <c r="AA195" s="91">
        <v>21395</v>
      </c>
      <c r="AB195" s="91">
        <v>23056</v>
      </c>
      <c r="AC195" s="126">
        <f t="shared" ref="AC195:AE195" si="150">X195</f>
        <v>23691</v>
      </c>
      <c r="AD195" s="126">
        <f t="shared" si="150"/>
        <v>23841</v>
      </c>
      <c r="AE195" s="310">
        <f t="shared" si="150"/>
        <v>98992</v>
      </c>
      <c r="AF195" s="310">
        <f>AE195</f>
        <v>98992</v>
      </c>
      <c r="AG195" s="310">
        <f t="shared" ref="AG195:AL195" si="151">AF195</f>
        <v>98992</v>
      </c>
      <c r="AH195" s="310">
        <f t="shared" si="151"/>
        <v>98992</v>
      </c>
      <c r="AI195" s="310">
        <f t="shared" si="151"/>
        <v>98992</v>
      </c>
      <c r="AJ195" s="310">
        <f t="shared" si="151"/>
        <v>98992</v>
      </c>
      <c r="AK195" s="310">
        <f t="shared" si="151"/>
        <v>98992</v>
      </c>
      <c r="AL195" s="310">
        <f t="shared" si="151"/>
        <v>98992</v>
      </c>
      <c r="AM195" s="649"/>
      <c r="AN195" s="92"/>
      <c r="AO195" s="83"/>
      <c r="CA195" s="477"/>
      <c r="CB195" s="477"/>
    </row>
    <row r="196" spans="1:80">
      <c r="A196" s="83"/>
      <c r="B196" s="95" t="s">
        <v>649</v>
      </c>
      <c r="C196" s="96"/>
      <c r="D196" s="163" t="s">
        <v>614</v>
      </c>
      <c r="E196" s="186"/>
      <c r="F196" s="136"/>
      <c r="G196" s="95">
        <f>G153</f>
        <v>44861</v>
      </c>
      <c r="H196" s="95">
        <f>H153</f>
        <v>49932</v>
      </c>
      <c r="I196" s="95">
        <f t="shared" ref="I196:T196" si="152">I153</f>
        <v>47257</v>
      </c>
      <c r="J196" s="95">
        <f t="shared" si="152"/>
        <v>49499</v>
      </c>
      <c r="K196" s="95">
        <f t="shared" si="152"/>
        <v>52285</v>
      </c>
      <c r="L196" s="126">
        <f t="shared" si="152"/>
        <v>12212</v>
      </c>
      <c r="M196" s="126">
        <f t="shared" si="152"/>
        <v>12441</v>
      </c>
      <c r="N196" s="126">
        <f t="shared" si="152"/>
        <v>12311</v>
      </c>
      <c r="O196" s="126">
        <f t="shared" si="152"/>
        <v>14924</v>
      </c>
      <c r="P196" s="95">
        <f t="shared" si="152"/>
        <v>51888</v>
      </c>
      <c r="Q196" s="126">
        <f>Q153</f>
        <v>12302</v>
      </c>
      <c r="R196" s="126">
        <f t="shared" si="152"/>
        <v>13100</v>
      </c>
      <c r="S196" s="126">
        <f t="shared" si="152"/>
        <v>12825</v>
      </c>
      <c r="T196" s="126">
        <f t="shared" si="152"/>
        <v>13354</v>
      </c>
      <c r="U196" s="95">
        <f t="shared" ref="U196:AF196" si="153">U153</f>
        <v>51581</v>
      </c>
      <c r="V196" s="126">
        <f t="shared" si="153"/>
        <v>11626</v>
      </c>
      <c r="W196" s="126">
        <f t="shared" si="153"/>
        <v>11936</v>
      </c>
      <c r="X196" s="126">
        <f t="shared" si="153"/>
        <v>11454</v>
      </c>
      <c r="Y196" s="126">
        <f t="shared" si="153"/>
        <v>11530</v>
      </c>
      <c r="Z196" s="95">
        <f t="shared" si="153"/>
        <v>46546</v>
      </c>
      <c r="AA196" s="126">
        <f>AA153</f>
        <v>10275</v>
      </c>
      <c r="AB196" s="126">
        <f>AB153</f>
        <v>10793</v>
      </c>
      <c r="AC196" s="126">
        <f t="shared" si="153"/>
        <v>13984.509466437177</v>
      </c>
      <c r="AD196" s="126">
        <f t="shared" si="153"/>
        <v>13554.216867469877</v>
      </c>
      <c r="AE196" s="95">
        <f t="shared" si="153"/>
        <v>55938.037865748709</v>
      </c>
      <c r="AF196" s="95">
        <f t="shared" si="153"/>
        <v>55938.037865748709</v>
      </c>
      <c r="AG196" s="95">
        <f t="shared" ref="AG196:AL196" si="154">AG153</f>
        <v>55938.037865748709</v>
      </c>
      <c r="AH196" s="95">
        <f t="shared" si="154"/>
        <v>64543.889845094673</v>
      </c>
      <c r="AI196" s="95">
        <f t="shared" si="154"/>
        <v>64543.889845094673</v>
      </c>
      <c r="AJ196" s="95">
        <f t="shared" si="154"/>
        <v>64543.889845094673</v>
      </c>
      <c r="AK196" s="95">
        <f t="shared" si="154"/>
        <v>64543.889845094673</v>
      </c>
      <c r="AL196" s="95">
        <f t="shared" si="154"/>
        <v>64543.889845094673</v>
      </c>
      <c r="AM196" s="649"/>
      <c r="AN196" s="92"/>
      <c r="AO196" s="83"/>
      <c r="CA196" s="477"/>
      <c r="CB196" s="477"/>
    </row>
    <row r="197" spans="1:80">
      <c r="A197" s="83"/>
      <c r="B197" s="95" t="s">
        <v>650</v>
      </c>
      <c r="C197" s="96"/>
      <c r="D197" s="163" t="s">
        <v>647</v>
      </c>
      <c r="E197" s="186"/>
      <c r="F197" s="136"/>
      <c r="G197" s="95">
        <f>G162*1000</f>
        <v>112000</v>
      </c>
      <c r="H197" s="95">
        <f t="shared" ref="H197:T197" si="155">H162*1000</f>
        <v>124000</v>
      </c>
      <c r="I197" s="95">
        <f t="shared" si="155"/>
        <v>150000</v>
      </c>
      <c r="J197" s="95">
        <f t="shared" si="155"/>
        <v>122000</v>
      </c>
      <c r="K197" s="95">
        <f t="shared" si="155"/>
        <v>89000</v>
      </c>
      <c r="L197" s="126">
        <f t="shared" si="155"/>
        <v>30900</v>
      </c>
      <c r="M197" s="126">
        <f t="shared" si="155"/>
        <v>26200</v>
      </c>
      <c r="N197" s="126">
        <f t="shared" si="155"/>
        <v>24700</v>
      </c>
      <c r="O197" s="126">
        <f t="shared" si="155"/>
        <v>20800</v>
      </c>
      <c r="P197" s="95">
        <f t="shared" si="155"/>
        <v>102600</v>
      </c>
      <c r="Q197" s="126">
        <f>Q162*1000</f>
        <v>26300</v>
      </c>
      <c r="R197" s="126">
        <f t="shared" si="155"/>
        <v>31300</v>
      </c>
      <c r="S197" s="126">
        <f t="shared" si="155"/>
        <v>32900</v>
      </c>
      <c r="T197" s="126">
        <f t="shared" si="155"/>
        <v>33300</v>
      </c>
      <c r="U197" s="95">
        <f t="shared" ref="U197:AF197" si="156">U162*1000</f>
        <v>123800</v>
      </c>
      <c r="V197" s="126">
        <f t="shared" si="156"/>
        <v>27200</v>
      </c>
      <c r="W197" s="126">
        <f t="shared" si="156"/>
        <v>28500</v>
      </c>
      <c r="X197" s="126">
        <f>X162*1000</f>
        <v>27600</v>
      </c>
      <c r="Y197" s="126">
        <f t="shared" si="156"/>
        <v>35300</v>
      </c>
      <c r="Z197" s="95">
        <f t="shared" si="156"/>
        <v>118600</v>
      </c>
      <c r="AA197" s="126">
        <f>AA162*1000</f>
        <v>31300</v>
      </c>
      <c r="AB197" s="126">
        <f>AB162*1000</f>
        <v>25900</v>
      </c>
      <c r="AC197" s="126">
        <f t="shared" si="156"/>
        <v>32500</v>
      </c>
      <c r="AD197" s="126">
        <f t="shared" si="156"/>
        <v>31499.999999999989</v>
      </c>
      <c r="AE197" s="95">
        <f t="shared" si="156"/>
        <v>121199.99999999999</v>
      </c>
      <c r="AF197" s="95">
        <f t="shared" si="156"/>
        <v>130000</v>
      </c>
      <c r="AG197" s="95">
        <f t="shared" ref="AG197:AL197" si="157">AG162*1000</f>
        <v>130000</v>
      </c>
      <c r="AH197" s="95">
        <f t="shared" si="157"/>
        <v>150000</v>
      </c>
      <c r="AI197" s="95">
        <f t="shared" si="157"/>
        <v>150000</v>
      </c>
      <c r="AJ197" s="95">
        <f t="shared" si="157"/>
        <v>150000</v>
      </c>
      <c r="AK197" s="95">
        <f t="shared" si="157"/>
        <v>150000</v>
      </c>
      <c r="AL197" s="95">
        <f t="shared" si="157"/>
        <v>150000</v>
      </c>
      <c r="AM197" s="649"/>
      <c r="AN197" s="92"/>
      <c r="AO197" s="83"/>
      <c r="CA197" s="477"/>
      <c r="CB197" s="477"/>
    </row>
    <row r="198" spans="1:80">
      <c r="A198" s="83"/>
      <c r="B198" s="95" t="s">
        <v>650</v>
      </c>
      <c r="C198" s="96"/>
      <c r="D198" s="163" t="s">
        <v>648</v>
      </c>
      <c r="E198" s="186"/>
      <c r="F198" s="136"/>
      <c r="G198" s="95">
        <f t="shared" ref="G198:V198" si="158">G197/0.35</f>
        <v>320000</v>
      </c>
      <c r="H198" s="95">
        <f t="shared" si="158"/>
        <v>354285.71428571432</v>
      </c>
      <c r="I198" s="95">
        <f t="shared" si="158"/>
        <v>428571.42857142858</v>
      </c>
      <c r="J198" s="95">
        <f t="shared" si="158"/>
        <v>348571.42857142858</v>
      </c>
      <c r="K198" s="95">
        <f t="shared" si="158"/>
        <v>254285.71428571429</v>
      </c>
      <c r="L198" s="126">
        <f t="shared" si="158"/>
        <v>88285.71428571429</v>
      </c>
      <c r="M198" s="126">
        <f t="shared" si="158"/>
        <v>74857.142857142855</v>
      </c>
      <c r="N198" s="126">
        <f t="shared" si="158"/>
        <v>70571.42857142858</v>
      </c>
      <c r="O198" s="126">
        <f t="shared" si="158"/>
        <v>59428.571428571435</v>
      </c>
      <c r="P198" s="95">
        <f t="shared" si="158"/>
        <v>293142.85714285716</v>
      </c>
      <c r="Q198" s="126">
        <f t="shared" si="158"/>
        <v>75142.857142857145</v>
      </c>
      <c r="R198" s="126">
        <f t="shared" si="158"/>
        <v>89428.571428571435</v>
      </c>
      <c r="S198" s="126">
        <f t="shared" si="158"/>
        <v>94000</v>
      </c>
      <c r="T198" s="126">
        <f t="shared" si="158"/>
        <v>95142.857142857145</v>
      </c>
      <c r="U198" s="95">
        <f>U197/0.35</f>
        <v>353714.28571428574</v>
      </c>
      <c r="V198" s="126">
        <f t="shared" si="158"/>
        <v>77714.285714285725</v>
      </c>
      <c r="W198" s="126">
        <f t="shared" ref="W198:AF198" si="159">W197/0.35</f>
        <v>81428.571428571435</v>
      </c>
      <c r="X198" s="126">
        <f t="shared" si="159"/>
        <v>78857.142857142855</v>
      </c>
      <c r="Y198" s="126">
        <f t="shared" si="159"/>
        <v>100857.14285714287</v>
      </c>
      <c r="Z198" s="95">
        <f t="shared" si="159"/>
        <v>338857.1428571429</v>
      </c>
      <c r="AA198" s="126">
        <f>AA197/0.35</f>
        <v>89428.571428571435</v>
      </c>
      <c r="AB198" s="126">
        <f>AB197/0.35</f>
        <v>74000</v>
      </c>
      <c r="AC198" s="126">
        <f t="shared" si="159"/>
        <v>92857.14285714287</v>
      </c>
      <c r="AD198" s="126">
        <f t="shared" si="159"/>
        <v>89999.999999999971</v>
      </c>
      <c r="AE198" s="95">
        <f t="shared" si="159"/>
        <v>346285.71428571426</v>
      </c>
      <c r="AF198" s="95">
        <f t="shared" si="159"/>
        <v>371428.57142857148</v>
      </c>
      <c r="AG198" s="95">
        <f t="shared" ref="AG198:AL198" si="160">AG197/0.35</f>
        <v>371428.57142857148</v>
      </c>
      <c r="AH198" s="95">
        <f t="shared" si="160"/>
        <v>428571.42857142858</v>
      </c>
      <c r="AI198" s="95">
        <f t="shared" si="160"/>
        <v>428571.42857142858</v>
      </c>
      <c r="AJ198" s="95">
        <f t="shared" si="160"/>
        <v>428571.42857142858</v>
      </c>
      <c r="AK198" s="95">
        <f t="shared" si="160"/>
        <v>428571.42857142858</v>
      </c>
      <c r="AL198" s="95">
        <f t="shared" si="160"/>
        <v>428571.42857142858</v>
      </c>
      <c r="AM198" s="649"/>
      <c r="AN198" s="92"/>
      <c r="AO198" s="83"/>
      <c r="CA198" s="477"/>
      <c r="CB198" s="477"/>
    </row>
    <row r="199" spans="1:80">
      <c r="A199" s="83"/>
      <c r="B199" s="95"/>
      <c r="C199" s="96"/>
      <c r="D199" s="163"/>
      <c r="E199" s="186"/>
      <c r="F199" s="136"/>
      <c r="G199" s="95"/>
      <c r="H199" s="95"/>
      <c r="I199" s="95"/>
      <c r="J199" s="95"/>
      <c r="K199" s="95"/>
      <c r="L199" s="126"/>
      <c r="M199" s="126"/>
      <c r="N199" s="126"/>
      <c r="O199" s="126"/>
      <c r="P199" s="95"/>
      <c r="Q199" s="126"/>
      <c r="R199" s="126"/>
      <c r="S199" s="126"/>
      <c r="T199" s="126"/>
      <c r="U199" s="95"/>
      <c r="V199" s="126"/>
      <c r="W199" s="126"/>
      <c r="X199" s="126"/>
      <c r="Y199" s="126"/>
      <c r="Z199" s="189"/>
      <c r="AA199" s="686"/>
      <c r="AB199" s="686"/>
      <c r="AC199" s="686"/>
      <c r="AD199" s="686"/>
      <c r="AE199" s="189"/>
      <c r="AF199" s="189"/>
      <c r="AG199" s="189"/>
      <c r="AH199" s="189"/>
      <c r="AI199" s="189"/>
      <c r="AJ199" s="189"/>
      <c r="AK199" s="189"/>
      <c r="AL199" s="189"/>
      <c r="AM199" s="649"/>
      <c r="AN199" s="92"/>
      <c r="AO199" s="83"/>
      <c r="CA199" s="477"/>
      <c r="CB199" s="477"/>
    </row>
    <row r="200" spans="1:80">
      <c r="A200" s="83"/>
      <c r="B200" s="95"/>
      <c r="C200" s="96"/>
      <c r="D200" s="163"/>
      <c r="E200" s="186"/>
      <c r="F200" s="136"/>
      <c r="G200" s="95"/>
      <c r="H200" s="95"/>
      <c r="I200" s="95"/>
      <c r="J200" s="95"/>
      <c r="K200" s="95"/>
      <c r="L200" s="126"/>
      <c r="M200" s="126"/>
      <c r="N200" s="126"/>
      <c r="O200" s="126"/>
      <c r="P200" s="95"/>
      <c r="Q200" s="126"/>
      <c r="R200" s="126"/>
      <c r="S200" s="126"/>
      <c r="T200" s="126"/>
      <c r="U200" s="95"/>
      <c r="V200" s="126"/>
      <c r="W200" s="126"/>
      <c r="X200" s="126"/>
      <c r="Y200" s="126"/>
      <c r="Z200" s="189"/>
      <c r="AA200" s="686"/>
      <c r="AB200" s="686"/>
      <c r="AC200" s="686"/>
      <c r="AD200" s="686"/>
      <c r="AE200" s="189"/>
      <c r="AF200" s="189"/>
      <c r="AG200" s="189"/>
      <c r="AH200" s="189"/>
      <c r="AI200" s="189"/>
      <c r="AJ200" s="189"/>
      <c r="AK200" s="189"/>
      <c r="AL200" s="189"/>
      <c r="AM200" s="649"/>
      <c r="AN200" s="92"/>
      <c r="AO200" s="83"/>
      <c r="CA200" s="477"/>
      <c r="CB200" s="477"/>
    </row>
    <row r="201" spans="1:80">
      <c r="A201" s="83"/>
      <c r="B201" s="95"/>
      <c r="C201" s="96"/>
      <c r="D201" s="173" t="s">
        <v>651</v>
      </c>
      <c r="E201" s="173"/>
      <c r="F201" s="174"/>
      <c r="G201" s="605"/>
      <c r="H201" s="605"/>
      <c r="I201" s="605"/>
      <c r="J201" s="605"/>
      <c r="K201" s="605"/>
      <c r="L201" s="182"/>
      <c r="M201" s="182"/>
      <c r="N201" s="182"/>
      <c r="O201" s="182"/>
      <c r="P201" s="605"/>
      <c r="Q201" s="182"/>
      <c r="R201" s="182"/>
      <c r="S201" s="182"/>
      <c r="T201" s="182"/>
      <c r="U201" s="605"/>
      <c r="V201" s="182"/>
      <c r="W201" s="182"/>
      <c r="X201" s="182"/>
      <c r="Y201" s="182"/>
      <c r="Z201" s="179"/>
      <c r="AA201" s="995"/>
      <c r="AB201" s="995"/>
      <c r="AC201" s="995"/>
      <c r="AD201" s="995"/>
      <c r="AE201" s="179"/>
      <c r="AF201" s="179"/>
      <c r="AG201" s="179"/>
      <c r="AH201" s="179"/>
      <c r="AI201" s="179"/>
      <c r="AJ201" s="179"/>
      <c r="AK201" s="179"/>
      <c r="AL201" s="179"/>
      <c r="AM201" s="649"/>
      <c r="AN201" s="92"/>
      <c r="AO201" s="83"/>
      <c r="CA201" s="477"/>
      <c r="CB201" s="477"/>
    </row>
    <row r="202" spans="1:80">
      <c r="A202" s="83"/>
      <c r="B202" s="95"/>
      <c r="C202" s="96"/>
      <c r="D202" s="163" t="s">
        <v>652</v>
      </c>
      <c r="E202" s="186"/>
      <c r="F202" s="136"/>
      <c r="G202" s="603">
        <f t="shared" ref="G202:T202" si="161">(-G186*1000)/(G196)</f>
        <v>9.7634916742827844</v>
      </c>
      <c r="H202" s="603">
        <f t="shared" si="161"/>
        <v>9.6931827285107754</v>
      </c>
      <c r="I202" s="603">
        <f t="shared" si="161"/>
        <v>10.855534629790295</v>
      </c>
      <c r="J202" s="603">
        <f t="shared" si="161"/>
        <v>9.1314976060122426</v>
      </c>
      <c r="K202" s="603">
        <f t="shared" si="161"/>
        <v>9.3334608396289571</v>
      </c>
      <c r="L202" s="616">
        <f>(-L186*1000)/(L196)</f>
        <v>11.464133639043563</v>
      </c>
      <c r="M202" s="616">
        <f t="shared" si="161"/>
        <v>10.690458966321035</v>
      </c>
      <c r="N202" s="616">
        <f t="shared" si="161"/>
        <v>11.696856469823734</v>
      </c>
      <c r="O202" s="616">
        <f t="shared" si="161"/>
        <v>9.6488876976681848</v>
      </c>
      <c r="P202" s="603">
        <f t="shared" si="161"/>
        <v>10.811748381128584</v>
      </c>
      <c r="Q202" s="616">
        <f>(-Q186*1000)/(Q196)</f>
        <v>11.380263371809463</v>
      </c>
      <c r="R202" s="616">
        <f>(-R186*1000)/(R196)</f>
        <v>11.450381679389313</v>
      </c>
      <c r="S202" s="616">
        <f t="shared" si="161"/>
        <v>11.306042884990253</v>
      </c>
      <c r="T202" s="616">
        <f t="shared" si="161"/>
        <v>9.959562677849334</v>
      </c>
      <c r="U202" s="603">
        <f t="shared" ref="U202:Z202" si="162">(-U186*1000)/(U196)</f>
        <v>11.011806672999748</v>
      </c>
      <c r="V202" s="616">
        <f t="shared" si="162"/>
        <v>10.235678651298812</v>
      </c>
      <c r="W202" s="616">
        <f t="shared" si="162"/>
        <v>9.3833780160857909</v>
      </c>
      <c r="X202" s="616">
        <f t="shared" si="162"/>
        <v>9.6036319189802697</v>
      </c>
      <c r="Y202" s="616">
        <f t="shared" si="162"/>
        <v>12.22896790980052</v>
      </c>
      <c r="Z202" s="603">
        <f t="shared" si="162"/>
        <v>10.355347398272677</v>
      </c>
      <c r="AA202" s="616">
        <f>(-AA186*1000)/(AA196)</f>
        <v>12.262773722627736</v>
      </c>
      <c r="AB202" s="616">
        <f>(-AB186*1000)/(AB196)</f>
        <v>10.284443620865376</v>
      </c>
      <c r="AC202" s="616">
        <f>$Z$202</f>
        <v>10.355347398272677</v>
      </c>
      <c r="AD202" s="616">
        <f>$Z$202</f>
        <v>10.355347398272677</v>
      </c>
      <c r="AE202" s="1174">
        <f>Z202</f>
        <v>10.355347398272677</v>
      </c>
      <c r="AF202" s="994">
        <f>AE202</f>
        <v>10.355347398272677</v>
      </c>
      <c r="AG202" s="994">
        <f t="shared" ref="AG202:AL202" si="163">AF202</f>
        <v>10.355347398272677</v>
      </c>
      <c r="AH202" s="994">
        <f t="shared" si="163"/>
        <v>10.355347398272677</v>
      </c>
      <c r="AI202" s="994">
        <f t="shared" si="163"/>
        <v>10.355347398272677</v>
      </c>
      <c r="AJ202" s="994">
        <f t="shared" si="163"/>
        <v>10.355347398272677</v>
      </c>
      <c r="AK202" s="994">
        <f t="shared" si="163"/>
        <v>10.355347398272677</v>
      </c>
      <c r="AL202" s="994">
        <f t="shared" si="163"/>
        <v>10.355347398272677</v>
      </c>
      <c r="AM202" s="649"/>
      <c r="AN202" s="92"/>
      <c r="AO202" s="83"/>
      <c r="CA202" s="477"/>
      <c r="CB202" s="477"/>
    </row>
    <row r="203" spans="1:80">
      <c r="A203" s="83"/>
      <c r="B203" s="95"/>
      <c r="C203" s="96"/>
      <c r="D203" s="163" t="s">
        <v>653</v>
      </c>
      <c r="E203" s="186"/>
      <c r="F203" s="136"/>
      <c r="G203" s="603">
        <f t="shared" ref="G203:T203" si="164">(-G187*1000000)/(G198)</f>
        <v>106.25</v>
      </c>
      <c r="H203" s="603">
        <f t="shared" si="164"/>
        <v>112.9032258064516</v>
      </c>
      <c r="I203" s="603">
        <f t="shared" si="164"/>
        <v>86.333333333333329</v>
      </c>
      <c r="J203" s="603">
        <f t="shared" si="164"/>
        <v>86.065573770491795</v>
      </c>
      <c r="K203" s="603">
        <f t="shared" si="164"/>
        <v>125.84269662921348</v>
      </c>
      <c r="L203" s="616">
        <f t="shared" si="164"/>
        <v>113.26860841423948</v>
      </c>
      <c r="M203" s="616">
        <f t="shared" si="164"/>
        <v>133.58778625954199</v>
      </c>
      <c r="N203" s="616">
        <f t="shared" si="164"/>
        <v>127.53036437246962</v>
      </c>
      <c r="O203" s="616">
        <f t="shared" si="164"/>
        <v>134.61538461538461</v>
      </c>
      <c r="P203" s="603">
        <f t="shared" si="164"/>
        <v>126.21832358674463</v>
      </c>
      <c r="Q203" s="616">
        <f t="shared" si="164"/>
        <v>133.07984790874525</v>
      </c>
      <c r="R203" s="616">
        <f t="shared" si="164"/>
        <v>111.82108626198082</v>
      </c>
      <c r="S203" s="616">
        <f t="shared" si="164"/>
        <v>127.65957446808511</v>
      </c>
      <c r="T203" s="616">
        <f t="shared" si="164"/>
        <v>105.1051051051051</v>
      </c>
      <c r="U203" s="603">
        <f t="shared" ref="U203:Z203" si="165">(-U187*1000000)/(U198)</f>
        <v>118.73990306946688</v>
      </c>
      <c r="V203" s="616">
        <f t="shared" si="165"/>
        <v>115.80882352941175</v>
      </c>
      <c r="W203" s="616">
        <f t="shared" si="165"/>
        <v>98.245614035087712</v>
      </c>
      <c r="X203" s="616">
        <f t="shared" si="165"/>
        <v>101.44927536231884</v>
      </c>
      <c r="Y203" s="616">
        <f t="shared" si="165"/>
        <v>99.150141643059484</v>
      </c>
      <c r="Z203" s="603">
        <f t="shared" si="165"/>
        <v>103.28836424957841</v>
      </c>
      <c r="AA203" s="616">
        <f t="shared" ref="AA203:AB203" si="166">(-AA187*1000000)/(AA198)</f>
        <v>100.63897763578274</v>
      </c>
      <c r="AB203" s="616">
        <f t="shared" si="166"/>
        <v>121.62162162162163</v>
      </c>
      <c r="AC203" s="616">
        <f>$Z$203</f>
        <v>103.28836424957841</v>
      </c>
      <c r="AD203" s="616">
        <f>$Z$203</f>
        <v>103.28836424957841</v>
      </c>
      <c r="AE203" s="1174">
        <f>Z203</f>
        <v>103.28836424957841</v>
      </c>
      <c r="AF203" s="994">
        <f t="shared" ref="AF203:AL206" si="167">AE203</f>
        <v>103.28836424957841</v>
      </c>
      <c r="AG203" s="994">
        <f t="shared" si="167"/>
        <v>103.28836424957841</v>
      </c>
      <c r="AH203" s="994">
        <f t="shared" si="167"/>
        <v>103.28836424957841</v>
      </c>
      <c r="AI203" s="994">
        <f t="shared" si="167"/>
        <v>103.28836424957841</v>
      </c>
      <c r="AJ203" s="994">
        <f t="shared" si="167"/>
        <v>103.28836424957841</v>
      </c>
      <c r="AK203" s="994">
        <f t="shared" si="167"/>
        <v>103.28836424957841</v>
      </c>
      <c r="AL203" s="994">
        <f t="shared" si="167"/>
        <v>103.28836424957841</v>
      </c>
      <c r="AM203" s="649"/>
      <c r="AN203" s="92"/>
      <c r="AO203" s="83"/>
      <c r="CA203" s="477"/>
      <c r="CB203" s="477"/>
    </row>
    <row r="204" spans="1:80">
      <c r="A204" s="83"/>
      <c r="B204" s="95"/>
      <c r="C204" s="96"/>
      <c r="D204" s="163" t="s">
        <v>654</v>
      </c>
      <c r="E204" s="186"/>
      <c r="F204" s="136"/>
      <c r="G204" s="604">
        <f t="shared" ref="G204:T204" si="168">(G192*1000000)/(G195*1000)</f>
        <v>1.0223283754930699</v>
      </c>
      <c r="H204" s="604">
        <f t="shared" si="168"/>
        <v>0.99020262926974567</v>
      </c>
      <c r="I204" s="604">
        <f t="shared" si="168"/>
        <v>1.0668410320826629</v>
      </c>
      <c r="J204" s="604">
        <f t="shared" si="168"/>
        <v>0.60674878000156018</v>
      </c>
      <c r="K204" s="604">
        <f t="shared" si="168"/>
        <v>0.58097435292928956</v>
      </c>
      <c r="L204" s="617">
        <f t="shared" si="168"/>
        <v>0.81587242722047093</v>
      </c>
      <c r="M204" s="617">
        <f t="shared" si="168"/>
        <v>0.6839945280437757</v>
      </c>
      <c r="N204" s="617">
        <f t="shared" si="168"/>
        <v>0.69287433447596825</v>
      </c>
      <c r="O204" s="617">
        <f t="shared" si="168"/>
        <v>0.63604713444027849</v>
      </c>
      <c r="P204" s="604">
        <f t="shared" si="168"/>
        <v>0.70512420004105791</v>
      </c>
      <c r="Q204" s="617">
        <f t="shared" si="168"/>
        <v>0.87094819751590424</v>
      </c>
      <c r="R204" s="617">
        <f t="shared" si="168"/>
        <v>0.8059493717258307</v>
      </c>
      <c r="S204" s="617">
        <f t="shared" si="168"/>
        <v>0.95704769925733102</v>
      </c>
      <c r="T204" s="617">
        <f t="shared" si="168"/>
        <v>0.79773973741066972</v>
      </c>
      <c r="U204" s="604">
        <f t="shared" ref="U204:Z204" si="169">(U192*1000000)/(U195*1000)</f>
        <v>0.85522963825605935</v>
      </c>
      <c r="V204" s="617">
        <f t="shared" si="169"/>
        <v>0.88964530228600158</v>
      </c>
      <c r="W204" s="617">
        <f t="shared" si="169"/>
        <v>0.78103643534970901</v>
      </c>
      <c r="X204" s="617">
        <f t="shared" si="169"/>
        <v>0.67536195179604064</v>
      </c>
      <c r="Y204" s="617">
        <f t="shared" si="169"/>
        <v>1.0486137326454428</v>
      </c>
      <c r="Z204" s="604">
        <f t="shared" si="169"/>
        <v>0.84855341845805721</v>
      </c>
      <c r="AA204" s="617">
        <f t="shared" ref="AA204:AB204" si="170">(AA192*1000000)/(AA195*1000)</f>
        <v>0.98153774246319236</v>
      </c>
      <c r="AB204" s="617">
        <f t="shared" si="170"/>
        <v>1.3011797362942401</v>
      </c>
      <c r="AC204" s="616">
        <f>$Z$204</f>
        <v>0.84855341845805721</v>
      </c>
      <c r="AD204" s="616">
        <f>$Z$204</f>
        <v>0.84855341845805721</v>
      </c>
      <c r="AE204" s="1174">
        <f>Z204</f>
        <v>0.84855341845805721</v>
      </c>
      <c r="AF204" s="994">
        <f t="shared" si="167"/>
        <v>0.84855341845805721</v>
      </c>
      <c r="AG204" s="994">
        <f t="shared" si="167"/>
        <v>0.84855341845805721</v>
      </c>
      <c r="AH204" s="994">
        <f t="shared" si="167"/>
        <v>0.84855341845805721</v>
      </c>
      <c r="AI204" s="994">
        <f t="shared" si="167"/>
        <v>0.84855341845805721</v>
      </c>
      <c r="AJ204" s="994">
        <f t="shared" si="167"/>
        <v>0.84855341845805721</v>
      </c>
      <c r="AK204" s="994">
        <f t="shared" si="167"/>
        <v>0.84855341845805721</v>
      </c>
      <c r="AL204" s="994">
        <f t="shared" si="167"/>
        <v>0.84855341845805721</v>
      </c>
      <c r="AM204" s="649"/>
      <c r="AN204" s="92"/>
      <c r="AO204" s="83"/>
      <c r="CA204" s="477"/>
      <c r="CB204" s="477"/>
    </row>
    <row r="205" spans="1:80">
      <c r="A205" s="83"/>
      <c r="B205" s="95"/>
      <c r="C205" s="96"/>
      <c r="D205" s="163" t="s">
        <v>655</v>
      </c>
      <c r="E205" s="186"/>
      <c r="F205" s="136"/>
      <c r="G205" s="604">
        <f>(G192*1000000)/(G197*1000)</f>
        <v>1.0089285714285714</v>
      </c>
      <c r="H205" s="604">
        <f t="shared" ref="H205:T205" si="171">(H192*1000000)/(H197*1000)</f>
        <v>0.99193548387096775</v>
      </c>
      <c r="I205" s="604">
        <f t="shared" si="171"/>
        <v>0.82666666666666666</v>
      </c>
      <c r="J205" s="604">
        <f t="shared" si="171"/>
        <v>0.57377049180327866</v>
      </c>
      <c r="K205" s="604">
        <f t="shared" si="171"/>
        <v>0.7752808988764045</v>
      </c>
      <c r="L205" s="617">
        <f t="shared" si="171"/>
        <v>0.71197411003236244</v>
      </c>
      <c r="M205" s="617">
        <f t="shared" si="171"/>
        <v>0.72519083969465647</v>
      </c>
      <c r="N205" s="617">
        <f t="shared" si="171"/>
        <v>0.76923076923076927</v>
      </c>
      <c r="O205" s="617">
        <f t="shared" si="171"/>
        <v>0.91346153846153844</v>
      </c>
      <c r="P205" s="604">
        <f t="shared" si="171"/>
        <v>0.7699805068226121</v>
      </c>
      <c r="Q205" s="617">
        <f t="shared" si="171"/>
        <v>0.87452471482889738</v>
      </c>
      <c r="R205" s="617">
        <f t="shared" si="171"/>
        <v>0.70287539936102239</v>
      </c>
      <c r="S205" s="617">
        <f t="shared" si="171"/>
        <v>0.75987841945288759</v>
      </c>
      <c r="T205" s="617">
        <f t="shared" si="171"/>
        <v>0.72072072072072069</v>
      </c>
      <c r="U205" s="604">
        <f t="shared" ref="U205:Z205" si="172">(U192*1000000)/(U197*1000)</f>
        <v>0.75928917609046853</v>
      </c>
      <c r="V205" s="617">
        <f t="shared" si="172"/>
        <v>0.84558823529411764</v>
      </c>
      <c r="W205" s="617">
        <f t="shared" si="172"/>
        <v>0.70175438596491224</v>
      </c>
      <c r="X205" s="617">
        <f t="shared" si="172"/>
        <v>0.57971014492753625</v>
      </c>
      <c r="Y205" s="617">
        <f t="shared" si="172"/>
        <v>0.70821529745042489</v>
      </c>
      <c r="Z205" s="604">
        <f t="shared" si="172"/>
        <v>0.70826306913996628</v>
      </c>
      <c r="AA205" s="617">
        <f t="shared" ref="AA205:AB205" si="173">(AA192*1000000)/(AA197*1000)</f>
        <v>0.67092651757188504</v>
      </c>
      <c r="AB205" s="617">
        <f t="shared" si="173"/>
        <v>1.1583011583011582</v>
      </c>
      <c r="AC205" s="616">
        <f>$Z$205</f>
        <v>0.70826306913996628</v>
      </c>
      <c r="AD205" s="616">
        <f>$Z$205</f>
        <v>0.70826306913996628</v>
      </c>
      <c r="AE205" s="1174">
        <f>Z205</f>
        <v>0.70826306913996628</v>
      </c>
      <c r="AF205" s="994">
        <f t="shared" si="167"/>
        <v>0.70826306913996628</v>
      </c>
      <c r="AG205" s="994">
        <f t="shared" si="167"/>
        <v>0.70826306913996628</v>
      </c>
      <c r="AH205" s="994">
        <f t="shared" si="167"/>
        <v>0.70826306913996628</v>
      </c>
      <c r="AI205" s="994">
        <f t="shared" si="167"/>
        <v>0.70826306913996628</v>
      </c>
      <c r="AJ205" s="994">
        <f t="shared" si="167"/>
        <v>0.70826306913996628</v>
      </c>
      <c r="AK205" s="994">
        <f t="shared" si="167"/>
        <v>0.70826306913996628</v>
      </c>
      <c r="AL205" s="994">
        <f t="shared" si="167"/>
        <v>0.70826306913996628</v>
      </c>
      <c r="AM205" s="649"/>
      <c r="AN205" s="92"/>
      <c r="AO205" s="83"/>
      <c r="CA205" s="477"/>
      <c r="CB205" s="477"/>
    </row>
    <row r="206" spans="1:80">
      <c r="A206" s="83"/>
      <c r="B206" s="95"/>
      <c r="C206" s="96"/>
      <c r="D206" s="163" t="s">
        <v>861</v>
      </c>
      <c r="E206" s="186"/>
      <c r="F206" s="136"/>
      <c r="G206" s="604">
        <f>-G188*1000/G197</f>
        <v>0.9910714285714286</v>
      </c>
      <c r="H206" s="604">
        <f t="shared" ref="H206:U206" si="174">-H188*1000/H197</f>
        <v>1.2419354838709677</v>
      </c>
      <c r="I206" s="604">
        <f t="shared" si="174"/>
        <v>1.1399999999999999</v>
      </c>
      <c r="J206" s="604">
        <f t="shared" si="174"/>
        <v>1.4918032786885247</v>
      </c>
      <c r="K206" s="604">
        <f>-K188*1000/K197</f>
        <v>2.191011235955056</v>
      </c>
      <c r="L206" s="617">
        <f t="shared" si="174"/>
        <v>1.6828478964401294</v>
      </c>
      <c r="M206" s="617">
        <f t="shared" si="174"/>
        <v>1.6412213740458015</v>
      </c>
      <c r="N206" s="617">
        <f t="shared" si="174"/>
        <v>1.7408906882591093</v>
      </c>
      <c r="O206" s="617">
        <f t="shared" si="174"/>
        <v>1.9711538461538463</v>
      </c>
      <c r="P206" s="604">
        <f t="shared" si="174"/>
        <v>1.7446393762183237</v>
      </c>
      <c r="Q206" s="617">
        <f t="shared" si="174"/>
        <v>1.7870722433460076</v>
      </c>
      <c r="R206" s="617">
        <f t="shared" si="174"/>
        <v>1.6932907348242812</v>
      </c>
      <c r="S206" s="617">
        <f t="shared" si="174"/>
        <v>1.5805471124620061</v>
      </c>
      <c r="T206" s="617">
        <f t="shared" si="174"/>
        <v>1.4114114114114114</v>
      </c>
      <c r="U206" s="604">
        <f t="shared" si="174"/>
        <v>1.6074313408723748</v>
      </c>
      <c r="V206" s="617">
        <f>-V188*1000/V197</f>
        <v>1.25</v>
      </c>
      <c r="W206" s="617">
        <f>-W188*1000/W197</f>
        <v>1.1929824561403508</v>
      </c>
      <c r="X206" s="617">
        <f>-X188*1000/X197</f>
        <v>1.2681159420289856</v>
      </c>
      <c r="Y206" s="617">
        <f>-Y188*1000/Y197</f>
        <v>1.1898016997167138</v>
      </c>
      <c r="Z206" s="604">
        <f t="shared" ref="Z206" si="175">-Z188*1000/Z197</f>
        <v>1.2225969645868466</v>
      </c>
      <c r="AA206" s="617">
        <f>-AA188*1000/AA197</f>
        <v>1.3099041533546325</v>
      </c>
      <c r="AB206" s="617">
        <f>-AB188*1000/AB197</f>
        <v>1.3513513513513513</v>
      </c>
      <c r="AC206" s="616">
        <f>$AE$206</f>
        <v>1.2225969645868466</v>
      </c>
      <c r="AD206" s="616">
        <f>$AE$206</f>
        <v>1.2225969645868466</v>
      </c>
      <c r="AE206" s="1174">
        <f>Z206</f>
        <v>1.2225969645868466</v>
      </c>
      <c r="AF206" s="994">
        <f t="shared" si="167"/>
        <v>1.2225969645868466</v>
      </c>
      <c r="AG206" s="994">
        <f t="shared" si="167"/>
        <v>1.2225969645868466</v>
      </c>
      <c r="AH206" s="994">
        <f t="shared" si="167"/>
        <v>1.2225969645868466</v>
      </c>
      <c r="AI206" s="994">
        <f t="shared" si="167"/>
        <v>1.2225969645868466</v>
      </c>
      <c r="AJ206" s="994">
        <f t="shared" si="167"/>
        <v>1.2225969645868466</v>
      </c>
      <c r="AK206" s="994">
        <f t="shared" si="167"/>
        <v>1.2225969645868466</v>
      </c>
      <c r="AL206" s="994">
        <f t="shared" si="167"/>
        <v>1.2225969645868466</v>
      </c>
      <c r="AM206" s="649"/>
      <c r="AN206" s="92"/>
      <c r="AO206" s="83"/>
      <c r="CA206" s="477"/>
      <c r="CB206" s="477"/>
    </row>
    <row r="207" spans="1:80">
      <c r="A207" s="83"/>
      <c r="B207" s="95"/>
      <c r="C207" s="96"/>
      <c r="D207" s="163"/>
      <c r="E207" s="186"/>
      <c r="F207" s="136"/>
      <c r="G207" s="95"/>
      <c r="H207" s="95"/>
      <c r="I207" s="95"/>
      <c r="J207" s="95"/>
      <c r="K207" s="95"/>
      <c r="L207" s="126"/>
      <c r="M207" s="126"/>
      <c r="N207" s="126"/>
      <c r="O207" s="126"/>
      <c r="P207" s="95"/>
      <c r="Q207" s="126"/>
      <c r="R207" s="126"/>
      <c r="S207" s="126"/>
      <c r="T207" s="126"/>
      <c r="U207" s="95"/>
      <c r="V207" s="126"/>
      <c r="W207" s="126"/>
      <c r="X207" s="126"/>
      <c r="Y207" s="126"/>
      <c r="Z207" s="189"/>
      <c r="AA207" s="686"/>
      <c r="AB207" s="686"/>
      <c r="AC207" s="686"/>
      <c r="AD207" s="686"/>
      <c r="AE207" s="189"/>
      <c r="AF207" s="189"/>
      <c r="AG207" s="189"/>
      <c r="AH207" s="189"/>
      <c r="AI207" s="189"/>
      <c r="AJ207" s="189"/>
      <c r="AK207" s="189"/>
      <c r="AL207" s="189"/>
      <c r="AM207" s="649"/>
      <c r="AN207" s="92"/>
      <c r="AO207" s="83"/>
      <c r="CA207" s="477"/>
      <c r="CB207" s="477"/>
    </row>
    <row r="208" spans="1:80">
      <c r="A208" s="83"/>
      <c r="B208" s="95"/>
      <c r="C208" s="96"/>
      <c r="D208" s="119" t="s">
        <v>207</v>
      </c>
      <c r="E208" s="119"/>
      <c r="F208" s="136"/>
      <c r="G208" s="187"/>
      <c r="H208" s="187"/>
      <c r="I208" s="187"/>
      <c r="J208" s="187"/>
      <c r="K208" s="187"/>
      <c r="L208" s="188"/>
      <c r="M208" s="188"/>
      <c r="N208" s="188"/>
      <c r="O208" s="188"/>
      <c r="P208" s="187"/>
      <c r="Q208" s="188"/>
      <c r="R208" s="188"/>
      <c r="S208" s="188"/>
      <c r="T208" s="188"/>
      <c r="U208" s="189"/>
      <c r="V208" s="188"/>
      <c r="W208" s="188"/>
      <c r="X208" s="188"/>
      <c r="Y208" s="188"/>
      <c r="Z208" s="189"/>
      <c r="AA208" s="686"/>
      <c r="AB208" s="686"/>
      <c r="AC208" s="686"/>
      <c r="AD208" s="686"/>
      <c r="AE208" s="189"/>
      <c r="AF208" s="189"/>
      <c r="AG208" s="189"/>
      <c r="AH208" s="189"/>
      <c r="AI208" s="189"/>
      <c r="AJ208" s="189"/>
      <c r="AK208" s="189"/>
      <c r="AL208" s="189"/>
      <c r="AM208" s="649"/>
      <c r="AN208" s="92"/>
      <c r="AO208" s="83"/>
      <c r="CA208" s="477"/>
      <c r="CB208" s="477"/>
    </row>
    <row r="209" spans="1:80">
      <c r="A209" s="83"/>
      <c r="B209" s="95"/>
      <c r="C209" s="96"/>
      <c r="D209" s="83" t="s">
        <v>860</v>
      </c>
      <c r="E209" s="83"/>
      <c r="F209" s="134"/>
      <c r="G209" s="259"/>
      <c r="H209" s="259"/>
      <c r="I209" s="259"/>
      <c r="J209" s="259"/>
      <c r="K209" s="259"/>
      <c r="L209" s="191">
        <f>L158/$P$158</f>
        <v>0.27083333333333337</v>
      </c>
      <c r="M209" s="191">
        <f>M158/$P$158</f>
        <v>0.27480158730158732</v>
      </c>
      <c r="N209" s="191">
        <f>N158/$P$158</f>
        <v>0.22916666666666669</v>
      </c>
      <c r="O209" s="191">
        <f>O158/$P$158</f>
        <v>0.2251984126984127</v>
      </c>
      <c r="P209" s="190">
        <f>SUM(L209:O209)</f>
        <v>1.0000000000000002</v>
      </c>
      <c r="Q209" s="191">
        <f>Q158/$U$158</f>
        <v>0.21434460016488047</v>
      </c>
      <c r="R209" s="191">
        <f>R158/$U$158</f>
        <v>0.24896949711459193</v>
      </c>
      <c r="S209" s="191">
        <f>S158/$U$158</f>
        <v>0.26051112943116245</v>
      </c>
      <c r="T209" s="191">
        <f>T158/$U$158</f>
        <v>0.27617477328936524</v>
      </c>
      <c r="U209" s="190">
        <f>SUM(Q209:T209)</f>
        <v>1</v>
      </c>
      <c r="V209" s="191">
        <f t="shared" ref="V209" si="176">V158/$Z$158</f>
        <v>0.22715842414082146</v>
      </c>
      <c r="W209" s="191">
        <f>W158/$Z$158</f>
        <v>0.24559932942162616</v>
      </c>
      <c r="X209" s="191">
        <f>X158/$Z$158</f>
        <v>0.24308466051969824</v>
      </c>
      <c r="Y209" s="191">
        <f>Y158/$Z$158</f>
        <v>0.28415758591785412</v>
      </c>
      <c r="Z209" s="190">
        <v>1</v>
      </c>
      <c r="AA209" s="191">
        <f>AA158/$AE$158</f>
        <v>0.2507692307692308</v>
      </c>
      <c r="AB209" s="191">
        <f>AB158/$AE$158</f>
        <v>0.25692307692307692</v>
      </c>
      <c r="AC209" s="122">
        <v>0.25</v>
      </c>
      <c r="AD209" s="687">
        <f>AE209-AA209-AB209-AC209</f>
        <v>0.24230769230769222</v>
      </c>
      <c r="AE209" s="190">
        <v>1</v>
      </c>
      <c r="AF209" s="306"/>
      <c r="AG209" s="306"/>
      <c r="AH209" s="306"/>
      <c r="AI209" s="306"/>
      <c r="AJ209" s="306"/>
      <c r="AK209" s="306"/>
      <c r="AL209" s="306"/>
      <c r="AM209" s="649"/>
      <c r="AN209" s="92"/>
      <c r="AO209" s="83"/>
      <c r="CA209" s="477"/>
      <c r="CB209" s="477"/>
    </row>
    <row r="210" spans="1:80">
      <c r="A210" s="83"/>
      <c r="B210" s="95"/>
      <c r="C210" s="96"/>
      <c r="D210" s="83" t="s">
        <v>265</v>
      </c>
      <c r="E210" s="83"/>
      <c r="F210" s="136"/>
      <c r="G210" s="187"/>
      <c r="H210" s="190">
        <f t="shared" ref="H210:V210" si="177">H190/H183</f>
        <v>0.46584444753582771</v>
      </c>
      <c r="I210" s="190">
        <f t="shared" si="177"/>
        <v>0.47981172627856278</v>
      </c>
      <c r="J210" s="190">
        <f t="shared" si="177"/>
        <v>0.37273339299572861</v>
      </c>
      <c r="K210" s="190">
        <f t="shared" si="177"/>
        <v>0.29397599886612663</v>
      </c>
      <c r="L210" s="191">
        <f t="shared" si="177"/>
        <v>0.48891956766015271</v>
      </c>
      <c r="M210" s="191">
        <f t="shared" si="177"/>
        <v>0.44288551746818655</v>
      </c>
      <c r="N210" s="191">
        <f t="shared" si="177"/>
        <v>0.26823861166136109</v>
      </c>
      <c r="O210" s="191">
        <f t="shared" si="177"/>
        <v>0.22633378096559861</v>
      </c>
      <c r="P210" s="190">
        <f t="shared" si="177"/>
        <v>0.37415390947128774</v>
      </c>
      <c r="Q210" s="191">
        <f t="shared" si="177"/>
        <v>0.31899340990918512</v>
      </c>
      <c r="R210" s="191">
        <f t="shared" si="177"/>
        <v>0.3947525170516939</v>
      </c>
      <c r="S210" s="191">
        <f t="shared" si="177"/>
        <v>0.41681684439489919</v>
      </c>
      <c r="T210" s="191">
        <f t="shared" si="177"/>
        <v>0.47148866523206562</v>
      </c>
      <c r="U210" s="190">
        <f t="shared" si="177"/>
        <v>0.40330681964895221</v>
      </c>
      <c r="V210" s="191">
        <f t="shared" si="177"/>
        <v>0.37741644843705202</v>
      </c>
      <c r="W210" s="191">
        <f t="shared" ref="W210:AF210" si="178">W190/W183</f>
        <v>0.4645533785426007</v>
      </c>
      <c r="X210" s="191">
        <f t="shared" si="178"/>
        <v>0.53975736666568808</v>
      </c>
      <c r="Y210" s="191">
        <f t="shared" si="178"/>
        <v>0.60396629110946709</v>
      </c>
      <c r="Z210" s="190">
        <f t="shared" si="178"/>
        <v>0.50925744924840266</v>
      </c>
      <c r="AA210" s="191">
        <f t="shared" si="178"/>
        <v>0.64336725712013521</v>
      </c>
      <c r="AB210" s="191">
        <f t="shared" si="178"/>
        <v>0.66176843599937285</v>
      </c>
      <c r="AC210" s="191">
        <f t="shared" si="178"/>
        <v>0.56230373343385731</v>
      </c>
      <c r="AD210" s="191">
        <f t="shared" si="178"/>
        <v>0.56230373343385731</v>
      </c>
      <c r="AE210" s="190">
        <f t="shared" si="178"/>
        <v>0.60425320125892557</v>
      </c>
      <c r="AF210" s="190">
        <f t="shared" si="178"/>
        <v>0.569948130881758</v>
      </c>
      <c r="AG210" s="190">
        <f t="shared" ref="AG210:AL210" si="179">AG190/AG183</f>
        <v>0.569948130881758</v>
      </c>
      <c r="AH210" s="190">
        <f t="shared" si="179"/>
        <v>0.57199012846872799</v>
      </c>
      <c r="AI210" s="190">
        <f t="shared" si="179"/>
        <v>0.52170048723660545</v>
      </c>
      <c r="AJ210" s="190">
        <f t="shared" si="179"/>
        <v>0.52170048723660545</v>
      </c>
      <c r="AK210" s="190">
        <f t="shared" si="179"/>
        <v>0.52170048723660545</v>
      </c>
      <c r="AL210" s="190">
        <f t="shared" si="179"/>
        <v>0.52170048723660545</v>
      </c>
      <c r="AM210" s="649"/>
      <c r="AN210" s="92"/>
      <c r="AO210" s="83"/>
      <c r="CA210" s="477"/>
      <c r="CB210" s="477"/>
    </row>
    <row r="211" spans="1:80">
      <c r="A211" s="83"/>
      <c r="B211" s="95"/>
      <c r="C211" s="96"/>
      <c r="D211" s="83" t="s">
        <v>256</v>
      </c>
      <c r="E211" s="83"/>
      <c r="F211" s="136"/>
      <c r="G211" s="187"/>
      <c r="H211" s="190">
        <f t="shared" ref="H211:V211" si="180">(H188/H189)</f>
        <v>0.22713864306784662</v>
      </c>
      <c r="I211" s="190">
        <f t="shared" si="180"/>
        <v>0.23717059639389737</v>
      </c>
      <c r="J211" s="190">
        <f t="shared" si="180"/>
        <v>0.2740963855421687</v>
      </c>
      <c r="K211" s="190">
        <f t="shared" si="180"/>
        <v>0.27272727272727271</v>
      </c>
      <c r="L211" s="191">
        <f t="shared" si="180"/>
        <v>0.25742574257425743</v>
      </c>
      <c r="M211" s="191">
        <f t="shared" si="180"/>
        <v>0.23118279569892472</v>
      </c>
      <c r="N211" s="191">
        <f t="shared" si="180"/>
        <v>0.21938775510204081</v>
      </c>
      <c r="O211" s="191">
        <f t="shared" si="180"/>
        <v>0.21243523316062177</v>
      </c>
      <c r="P211" s="190">
        <f t="shared" si="180"/>
        <v>0.23037323037323038</v>
      </c>
      <c r="Q211" s="191">
        <f t="shared" si="180"/>
        <v>0.23857868020304568</v>
      </c>
      <c r="R211" s="191">
        <f t="shared" si="180"/>
        <v>0.24882629107981222</v>
      </c>
      <c r="S211" s="191">
        <f t="shared" si="180"/>
        <v>0.24880382775119617</v>
      </c>
      <c r="T211" s="191">
        <f t="shared" si="180"/>
        <v>0.24736842105263157</v>
      </c>
      <c r="U211" s="190">
        <f t="shared" si="180"/>
        <v>0.24598269468479605</v>
      </c>
      <c r="V211" s="191">
        <f t="shared" si="180"/>
        <v>0.20987654320987653</v>
      </c>
      <c r="W211" s="191">
        <f t="shared" ref="W211:AF211" si="181">(W188/W189)</f>
        <v>0.22077922077922077</v>
      </c>
      <c r="X211" s="191">
        <f t="shared" si="181"/>
        <v>0.22875816993464052</v>
      </c>
      <c r="Y211" s="191">
        <f t="shared" si="181"/>
        <v>0.21761658031088082</v>
      </c>
      <c r="Z211" s="190">
        <f t="shared" si="181"/>
        <v>0.2190332326283988</v>
      </c>
      <c r="AA211" s="191">
        <f t="shared" si="181"/>
        <v>0.23295454545454544</v>
      </c>
      <c r="AB211" s="191">
        <f t="shared" si="181"/>
        <v>0.22580645161290322</v>
      </c>
      <c r="AC211" s="191">
        <f t="shared" si="181"/>
        <v>0.20466888967660007</v>
      </c>
      <c r="AD211" s="191">
        <f t="shared" si="181"/>
        <v>0.20466888967660007</v>
      </c>
      <c r="AE211" s="190">
        <f t="shared" si="181"/>
        <v>0.21624119392874136</v>
      </c>
      <c r="AF211" s="190">
        <f t="shared" si="181"/>
        <v>0.20466888967660007</v>
      </c>
      <c r="AG211" s="190">
        <f t="shared" ref="AG211:AL211" si="182">(AG188/AG189)</f>
        <v>0.20466888967660007</v>
      </c>
      <c r="AH211" s="190">
        <f t="shared" si="182"/>
        <v>0.20466888967660005</v>
      </c>
      <c r="AI211" s="190">
        <f t="shared" si="182"/>
        <v>0.20466888967660005</v>
      </c>
      <c r="AJ211" s="190">
        <f t="shared" si="182"/>
        <v>0.20466888967660005</v>
      </c>
      <c r="AK211" s="190">
        <f t="shared" si="182"/>
        <v>0.20466888967660005</v>
      </c>
      <c r="AL211" s="190">
        <f t="shared" si="182"/>
        <v>0.20466888967660005</v>
      </c>
      <c r="AM211" s="649"/>
      <c r="AN211" s="92"/>
      <c r="AO211" s="83"/>
      <c r="CA211" s="477"/>
      <c r="CB211" s="477"/>
    </row>
    <row r="212" spans="1:80">
      <c r="A212" s="83"/>
      <c r="B212" s="95"/>
      <c r="C212" s="96"/>
      <c r="D212" s="163"/>
      <c r="E212" s="186"/>
      <c r="F212" s="136"/>
      <c r="G212" s="95"/>
      <c r="H212" s="95"/>
      <c r="I212" s="95"/>
      <c r="J212" s="95"/>
      <c r="K212" s="95"/>
      <c r="L212" s="126"/>
      <c r="M212" s="126"/>
      <c r="N212" s="126"/>
      <c r="O212" s="126"/>
      <c r="P212" s="95"/>
      <c r="Q212" s="126"/>
      <c r="R212" s="126"/>
      <c r="S212" s="126"/>
      <c r="T212" s="126"/>
      <c r="U212" s="95"/>
      <c r="V212" s="567"/>
      <c r="W212" s="567"/>
      <c r="X212" s="567"/>
      <c r="Y212" s="567"/>
      <c r="Z212" s="189"/>
      <c r="AA212" s="686"/>
      <c r="AB212" s="686"/>
      <c r="AC212" s="686"/>
      <c r="AD212" s="686"/>
      <c r="AE212" s="189"/>
      <c r="AF212" s="189"/>
      <c r="AG212" s="189"/>
      <c r="AH212" s="189"/>
      <c r="AI212" s="189"/>
      <c r="AJ212" s="189"/>
      <c r="AK212" s="189"/>
      <c r="AL212" s="189"/>
      <c r="AM212" s="649"/>
      <c r="AN212" s="92"/>
      <c r="AO212" s="83"/>
      <c r="CA212" s="477"/>
      <c r="CB212" s="477"/>
    </row>
    <row r="213" spans="1:80">
      <c r="A213" s="83"/>
      <c r="B213" s="95"/>
      <c r="C213" s="96"/>
      <c r="D213" s="163"/>
      <c r="E213" s="186"/>
      <c r="F213" s="136"/>
      <c r="G213" s="95"/>
      <c r="H213" s="95"/>
      <c r="I213" s="95"/>
      <c r="J213" s="95"/>
      <c r="K213" s="95"/>
      <c r="L213" s="126"/>
      <c r="M213" s="126"/>
      <c r="N213" s="126"/>
      <c r="O213" s="126"/>
      <c r="P213" s="95"/>
      <c r="Q213" s="126"/>
      <c r="R213" s="126"/>
      <c r="S213" s="126"/>
      <c r="T213" s="126"/>
      <c r="U213" s="95"/>
      <c r="V213" s="567"/>
      <c r="W213" s="567"/>
      <c r="X213" s="567"/>
      <c r="Y213" s="567"/>
      <c r="Z213" s="189"/>
      <c r="AA213" s="686"/>
      <c r="AB213" s="686"/>
      <c r="AC213" s="686"/>
      <c r="AD213" s="686"/>
      <c r="AE213" s="189"/>
      <c r="AF213" s="189"/>
      <c r="AG213" s="189"/>
      <c r="AH213" s="189"/>
      <c r="AI213" s="189"/>
      <c r="AJ213" s="189"/>
      <c r="AK213" s="189"/>
      <c r="AL213" s="189"/>
      <c r="AM213" s="649"/>
      <c r="AN213" s="92"/>
      <c r="AO213" s="83"/>
      <c r="CA213" s="477"/>
      <c r="CB213" s="477"/>
    </row>
    <row r="214" spans="1:80">
      <c r="A214" s="83"/>
      <c r="B214" s="95"/>
      <c r="C214" s="96"/>
      <c r="D214" s="163"/>
      <c r="E214" s="186"/>
      <c r="F214" s="136"/>
      <c r="G214" s="95"/>
      <c r="H214" s="95"/>
      <c r="I214" s="95"/>
      <c r="J214" s="95"/>
      <c r="K214" s="95"/>
      <c r="L214" s="126"/>
      <c r="M214" s="126"/>
      <c r="N214" s="126"/>
      <c r="O214" s="126"/>
      <c r="P214" s="95"/>
      <c r="Q214" s="126"/>
      <c r="R214" s="126"/>
      <c r="S214" s="126"/>
      <c r="T214" s="126"/>
      <c r="U214" s="95"/>
      <c r="V214" s="567"/>
      <c r="W214" s="567"/>
      <c r="X214" s="567"/>
      <c r="Y214" s="567"/>
      <c r="Z214" s="189"/>
      <c r="AA214" s="686"/>
      <c r="AB214" s="686"/>
      <c r="AC214" s="686"/>
      <c r="AD214" s="686"/>
      <c r="AE214" s="189"/>
      <c r="AF214" s="189"/>
      <c r="AG214" s="189"/>
      <c r="AH214" s="189"/>
      <c r="AI214" s="189"/>
      <c r="AJ214" s="189"/>
      <c r="AK214" s="189"/>
      <c r="AL214" s="189"/>
      <c r="AM214" s="649"/>
      <c r="AN214" s="92"/>
      <c r="AO214" s="83"/>
      <c r="CA214" s="477"/>
      <c r="CB214" s="477"/>
    </row>
    <row r="215" spans="1:80">
      <c r="A215" s="83"/>
      <c r="B215" s="95"/>
      <c r="C215" s="96"/>
      <c r="D215" s="163"/>
      <c r="E215" s="186"/>
      <c r="F215" s="136"/>
      <c r="G215" s="95"/>
      <c r="H215" s="95"/>
      <c r="I215" s="95"/>
      <c r="J215" s="95"/>
      <c r="K215" s="95"/>
      <c r="L215" s="126"/>
      <c r="M215" s="126"/>
      <c r="N215" s="126"/>
      <c r="O215" s="126"/>
      <c r="P215" s="95"/>
      <c r="Q215" s="126"/>
      <c r="R215" s="126"/>
      <c r="S215" s="126"/>
      <c r="T215" s="126"/>
      <c r="U215" s="95"/>
      <c r="V215" s="567"/>
      <c r="W215" s="567"/>
      <c r="X215" s="567"/>
      <c r="Y215" s="567"/>
      <c r="Z215" s="189"/>
      <c r="AA215" s="686"/>
      <c r="AB215" s="686"/>
      <c r="AC215" s="686"/>
      <c r="AD215" s="686"/>
      <c r="AE215" s="189"/>
      <c r="AF215" s="189"/>
      <c r="AG215" s="189"/>
      <c r="AH215" s="189"/>
      <c r="AI215" s="189"/>
      <c r="AJ215" s="189"/>
      <c r="AK215" s="189"/>
      <c r="AL215" s="189"/>
      <c r="AM215" s="649"/>
      <c r="AN215" s="92"/>
      <c r="AO215" s="83"/>
      <c r="CA215" s="477"/>
      <c r="CB215" s="477"/>
    </row>
    <row r="216" spans="1:80">
      <c r="A216" s="83"/>
      <c r="B216" s="95"/>
      <c r="C216" s="96"/>
      <c r="D216" s="163"/>
      <c r="E216" s="186"/>
      <c r="F216" s="136"/>
      <c r="G216" s="95"/>
      <c r="H216" s="95"/>
      <c r="I216" s="95"/>
      <c r="J216" s="95"/>
      <c r="K216" s="95"/>
      <c r="L216" s="126"/>
      <c r="M216" s="126"/>
      <c r="N216" s="126"/>
      <c r="O216" s="126"/>
      <c r="P216" s="95"/>
      <c r="Q216" s="126"/>
      <c r="R216" s="126"/>
      <c r="S216" s="126"/>
      <c r="T216" s="126"/>
      <c r="U216" s="95"/>
      <c r="V216" s="567"/>
      <c r="W216" s="567"/>
      <c r="X216" s="567"/>
      <c r="Y216" s="567"/>
      <c r="Z216" s="189"/>
      <c r="AA216" s="686"/>
      <c r="AB216" s="686"/>
      <c r="AC216" s="686"/>
      <c r="AD216" s="686"/>
      <c r="AE216" s="189"/>
      <c r="AF216" s="189"/>
      <c r="AG216" s="189"/>
      <c r="AH216" s="189"/>
      <c r="AI216" s="189"/>
      <c r="AJ216" s="189"/>
      <c r="AK216" s="189"/>
      <c r="AL216" s="189"/>
      <c r="AM216" s="649"/>
      <c r="AN216" s="92"/>
      <c r="AO216" s="83"/>
      <c r="CA216" s="477"/>
      <c r="CB216" s="477"/>
    </row>
    <row r="217" spans="1:80">
      <c r="A217" s="83"/>
      <c r="B217" s="95"/>
      <c r="C217" s="96"/>
      <c r="D217" s="186"/>
      <c r="E217" s="186"/>
      <c r="F217" s="136"/>
      <c r="G217" s="187"/>
      <c r="H217" s="187"/>
      <c r="I217" s="187"/>
      <c r="J217" s="187"/>
      <c r="K217" s="187"/>
      <c r="L217" s="188"/>
      <c r="M217" s="188"/>
      <c r="N217" s="188"/>
      <c r="O217" s="188"/>
      <c r="P217" s="187"/>
      <c r="Q217" s="188"/>
      <c r="R217" s="188"/>
      <c r="S217" s="188"/>
      <c r="T217" s="188"/>
      <c r="U217" s="189"/>
      <c r="V217" s="686"/>
      <c r="W217" s="686"/>
      <c r="X217" s="686"/>
      <c r="Y217" s="686"/>
      <c r="Z217" s="189"/>
      <c r="AA217" s="686"/>
      <c r="AB217" s="686"/>
      <c r="AC217" s="686"/>
      <c r="AD217" s="686"/>
      <c r="AE217" s="189"/>
      <c r="AF217" s="189"/>
      <c r="AG217" s="189"/>
      <c r="AH217" s="189"/>
      <c r="AI217" s="189"/>
      <c r="AJ217" s="92"/>
      <c r="AK217" s="470"/>
      <c r="AL217" s="470"/>
      <c r="AM217" s="649"/>
      <c r="AN217" s="92"/>
      <c r="AO217" s="83"/>
      <c r="CA217" s="477"/>
      <c r="CB217" s="478"/>
    </row>
    <row r="218" spans="1:80">
      <c r="A218" s="83"/>
      <c r="B218" s="95"/>
      <c r="C218" s="96"/>
      <c r="D218" s="186"/>
      <c r="E218" s="186"/>
      <c r="F218" s="136"/>
      <c r="G218" s="187"/>
      <c r="H218" s="187"/>
      <c r="I218" s="187"/>
      <c r="J218" s="187"/>
      <c r="K218" s="187"/>
      <c r="L218" s="188"/>
      <c r="M218" s="188"/>
      <c r="N218" s="188"/>
      <c r="O218" s="188"/>
      <c r="P218" s="187"/>
      <c r="Q218" s="188"/>
      <c r="R218" s="188"/>
      <c r="S218" s="188"/>
      <c r="T218" s="188"/>
      <c r="U218" s="189"/>
      <c r="V218" s="686"/>
      <c r="W218" s="686"/>
      <c r="X218" s="686"/>
      <c r="Y218" s="686"/>
      <c r="Z218" s="189"/>
      <c r="AA218" s="686"/>
      <c r="AB218" s="686"/>
      <c r="AC218" s="686"/>
      <c r="AD218" s="686"/>
      <c r="AE218" s="189"/>
      <c r="AF218" s="189"/>
      <c r="AG218" s="189"/>
      <c r="AH218" s="189"/>
      <c r="AI218" s="189"/>
      <c r="AJ218" s="92"/>
      <c r="AK218" s="470"/>
      <c r="AL218" s="470"/>
      <c r="AM218" s="649"/>
      <c r="AN218" s="92"/>
      <c r="AO218" s="83"/>
      <c r="CA218" s="477"/>
      <c r="CB218" s="478"/>
    </row>
    <row r="219" spans="1:80">
      <c r="A219" s="83"/>
      <c r="B219" s="95"/>
      <c r="C219" s="96"/>
      <c r="D219" s="84"/>
      <c r="E219" s="84"/>
      <c r="F219" s="83"/>
      <c r="G219" s="95"/>
      <c r="H219" s="95"/>
      <c r="I219" s="95"/>
      <c r="J219" s="95"/>
      <c r="K219" s="95"/>
      <c r="L219" s="126"/>
      <c r="M219" s="126"/>
      <c r="N219" s="126"/>
      <c r="O219" s="126"/>
      <c r="P219" s="95"/>
      <c r="Q219" s="126"/>
      <c r="R219" s="126"/>
      <c r="S219" s="126"/>
      <c r="T219" s="126"/>
      <c r="U219" s="92"/>
      <c r="V219" s="99"/>
      <c r="W219" s="99"/>
      <c r="X219" s="99"/>
      <c r="Y219" s="99"/>
      <c r="Z219" s="92"/>
      <c r="AA219" s="99"/>
      <c r="AB219" s="99"/>
      <c r="AC219" s="99"/>
      <c r="AD219" s="99"/>
      <c r="AE219" s="92"/>
      <c r="AF219" s="92"/>
      <c r="AG219" s="92"/>
      <c r="AH219" s="92"/>
      <c r="AI219" s="92"/>
      <c r="AJ219" s="92"/>
      <c r="AK219" s="92"/>
      <c r="AL219" s="92"/>
      <c r="AM219" s="649"/>
      <c r="AN219" s="92"/>
      <c r="AO219" s="83"/>
      <c r="CA219" s="477"/>
      <c r="CB219" s="478"/>
    </row>
    <row r="220" spans="1:80">
      <c r="A220" s="155" t="s">
        <v>40</v>
      </c>
      <c r="B220" s="192" t="s">
        <v>347</v>
      </c>
      <c r="C220" s="192" t="s">
        <v>348</v>
      </c>
      <c r="D220" s="193" t="s">
        <v>193</v>
      </c>
      <c r="E220" s="193"/>
      <c r="F220" s="161"/>
      <c r="G220" s="194" t="s">
        <v>0</v>
      </c>
      <c r="H220" s="194" t="s">
        <v>0</v>
      </c>
      <c r="I220" s="194" t="s">
        <v>0</v>
      </c>
      <c r="J220" s="194" t="s">
        <v>0</v>
      </c>
      <c r="K220" s="194" t="s">
        <v>0</v>
      </c>
      <c r="L220" s="194"/>
      <c r="M220" s="194"/>
      <c r="N220" s="194"/>
      <c r="O220" s="194"/>
      <c r="P220" s="195" t="s">
        <v>0</v>
      </c>
      <c r="Q220" s="194"/>
      <c r="R220" s="194"/>
      <c r="S220" s="194"/>
      <c r="T220" s="194"/>
      <c r="U220" s="161"/>
      <c r="V220" s="161"/>
      <c r="W220" s="161"/>
      <c r="X220" s="161"/>
      <c r="Y220" s="161"/>
      <c r="Z220" s="161"/>
      <c r="AA220" s="161"/>
      <c r="AB220" s="161"/>
      <c r="AC220" s="161"/>
      <c r="AD220" s="161"/>
      <c r="AE220" s="161"/>
      <c r="AF220" s="161"/>
      <c r="AG220" s="161"/>
      <c r="AH220" s="161"/>
      <c r="AI220" s="161"/>
      <c r="AJ220" s="161"/>
      <c r="AK220" s="161"/>
      <c r="AL220" s="161"/>
      <c r="AM220" s="651"/>
      <c r="AN220" s="161"/>
      <c r="AO220" s="161"/>
      <c r="AP220" s="158"/>
      <c r="AQ220" s="158"/>
      <c r="AR220" s="158"/>
      <c r="CA220" s="477"/>
      <c r="CB220" s="478"/>
    </row>
    <row r="221" spans="1:80">
      <c r="A221" s="83"/>
      <c r="B221" s="95"/>
      <c r="C221" s="96"/>
      <c r="D221" s="162"/>
      <c r="E221" s="162"/>
      <c r="F221" s="83"/>
      <c r="G221" s="95"/>
      <c r="H221" s="95"/>
      <c r="I221" s="95"/>
      <c r="J221" s="95"/>
      <c r="K221" s="95"/>
      <c r="L221" s="126"/>
      <c r="M221" s="126"/>
      <c r="N221" s="126"/>
      <c r="O221" s="126"/>
      <c r="P221" s="95"/>
      <c r="Q221" s="126"/>
      <c r="R221" s="126"/>
      <c r="S221" s="126"/>
      <c r="T221" s="126"/>
      <c r="U221" s="92"/>
      <c r="V221" s="126"/>
      <c r="W221" s="126"/>
      <c r="X221" s="126"/>
      <c r="Y221" s="126"/>
      <c r="Z221" s="92"/>
      <c r="AA221" s="99"/>
      <c r="AB221" s="99"/>
      <c r="AC221" s="99"/>
      <c r="AD221" s="99"/>
      <c r="AE221" s="92"/>
      <c r="AF221" s="83"/>
      <c r="AG221" s="83"/>
      <c r="AH221" s="83"/>
      <c r="AI221" s="83"/>
      <c r="AJ221" s="83"/>
      <c r="AK221" s="83"/>
      <c r="AL221" s="83"/>
      <c r="AM221" s="651"/>
      <c r="AN221" s="83"/>
      <c r="AO221" s="83"/>
      <c r="CA221" s="477"/>
      <c r="CB221" s="478"/>
    </row>
    <row r="222" spans="1:80">
      <c r="A222" s="83"/>
      <c r="B222" s="95"/>
      <c r="C222" s="96"/>
      <c r="D222" s="552" t="s">
        <v>658</v>
      </c>
      <c r="E222" s="162"/>
      <c r="F222" s="83"/>
      <c r="G222" s="95"/>
      <c r="H222" s="95"/>
      <c r="I222" s="95"/>
      <c r="J222" s="95"/>
      <c r="K222" s="95"/>
      <c r="L222" s="126"/>
      <c r="M222" s="126"/>
      <c r="N222" s="126"/>
      <c r="O222" s="126"/>
      <c r="P222" s="95"/>
      <c r="Q222" s="126"/>
      <c r="R222" s="126"/>
      <c r="S222" s="126"/>
      <c r="T222" s="126"/>
      <c r="U222" s="92"/>
      <c r="V222" s="126"/>
      <c r="W222" s="126"/>
      <c r="X222" s="126"/>
      <c r="Y222" s="126"/>
      <c r="Z222" s="92"/>
      <c r="AA222" s="99"/>
      <c r="AB222" s="99"/>
      <c r="AC222" s="99"/>
      <c r="AD222" s="99"/>
      <c r="AE222" s="92"/>
      <c r="AF222" s="83"/>
      <c r="AG222" s="83"/>
      <c r="AH222" s="83"/>
      <c r="AI222" s="83"/>
      <c r="AJ222" s="83"/>
      <c r="AK222" s="83"/>
      <c r="AL222" s="83"/>
      <c r="AM222" s="651"/>
      <c r="AN222" s="83"/>
      <c r="AO222" s="83"/>
      <c r="CA222" s="477"/>
      <c r="CB222" s="478"/>
    </row>
    <row r="223" spans="1:80">
      <c r="A223" s="83"/>
      <c r="B223" s="95" t="s">
        <v>656</v>
      </c>
      <c r="C223" s="96"/>
      <c r="D223" s="162" t="s">
        <v>614</v>
      </c>
      <c r="E223" s="162"/>
      <c r="F223" s="83"/>
      <c r="G223" s="90">
        <v>47039</v>
      </c>
      <c r="H223" s="90">
        <v>50450</v>
      </c>
      <c r="I223" s="90">
        <v>56196</v>
      </c>
      <c r="J223" s="90">
        <v>54045</v>
      </c>
      <c r="K223" s="90">
        <v>51104</v>
      </c>
      <c r="L223" s="91">
        <v>12166</v>
      </c>
      <c r="M223" s="91">
        <v>12973</v>
      </c>
      <c r="N223" s="91">
        <v>13197</v>
      </c>
      <c r="O223" s="91">
        <v>12911</v>
      </c>
      <c r="P223" s="90">
        <v>51247</v>
      </c>
      <c r="Q223" s="91">
        <v>11465</v>
      </c>
      <c r="R223" s="91">
        <v>12864</v>
      </c>
      <c r="S223" s="91">
        <v>13122</v>
      </c>
      <c r="T223" s="91">
        <v>13638</v>
      </c>
      <c r="U223" s="90">
        <v>51089</v>
      </c>
      <c r="V223" s="91">
        <v>12906</v>
      </c>
      <c r="W223" s="91">
        <v>6735</v>
      </c>
      <c r="X223" s="91">
        <v>13203</v>
      </c>
      <c r="Y223" s="91">
        <v>14084</v>
      </c>
      <c r="Z223" s="90">
        <v>46928</v>
      </c>
      <c r="AA223" s="91">
        <v>12651</v>
      </c>
      <c r="AB223" s="91">
        <v>13466</v>
      </c>
      <c r="AC223" s="97">
        <f t="shared" ref="AC223:AF223" si="183">AC233/AC225/AC224</f>
        <v>11610.486891385766</v>
      </c>
      <c r="AD223" s="97">
        <f t="shared" si="183"/>
        <v>10393.258426966289</v>
      </c>
      <c r="AE223" s="130">
        <f>AE233/AE225/AE224</f>
        <v>46441.947565543065</v>
      </c>
      <c r="AF223" s="130">
        <f t="shared" si="183"/>
        <v>46441.947565543065</v>
      </c>
      <c r="AG223" s="130">
        <f t="shared" ref="AG223:AL223" si="184">AG233/AG225/AG224</f>
        <v>46441.947565543065</v>
      </c>
      <c r="AH223" s="130">
        <f t="shared" si="184"/>
        <v>46441.947565543065</v>
      </c>
      <c r="AI223" s="130">
        <f t="shared" si="184"/>
        <v>46441.947565543065</v>
      </c>
      <c r="AJ223" s="130">
        <f t="shared" si="184"/>
        <v>46441.947565543065</v>
      </c>
      <c r="AK223" s="130">
        <f t="shared" si="184"/>
        <v>46441.947565543065</v>
      </c>
      <c r="AL223" s="130">
        <f t="shared" si="184"/>
        <v>46441.947565543065</v>
      </c>
      <c r="AM223" s="651"/>
      <c r="AN223" s="83"/>
      <c r="AO223" s="83"/>
      <c r="CA223" s="477"/>
      <c r="CB223" s="478"/>
    </row>
    <row r="224" spans="1:80">
      <c r="A224" s="83"/>
      <c r="B224" s="95" t="s">
        <v>221</v>
      </c>
      <c r="C224" s="96"/>
      <c r="D224" s="162" t="s">
        <v>615</v>
      </c>
      <c r="E224" s="162"/>
      <c r="F224" s="83"/>
      <c r="G224" s="580">
        <v>1.0699999999999999E-2</v>
      </c>
      <c r="H224" s="580">
        <v>8.3000000000000001E-3</v>
      </c>
      <c r="I224" s="580">
        <v>8.3000000000000001E-3</v>
      </c>
      <c r="J224" s="580">
        <v>8.9999999999999993E-3</v>
      </c>
      <c r="K224" s="580">
        <v>9.2999999999999992E-3</v>
      </c>
      <c r="L224" s="584">
        <v>0.01</v>
      </c>
      <c r="M224" s="584">
        <v>9.1000000000000004E-3</v>
      </c>
      <c r="N224" s="584">
        <v>9.5999999999999992E-3</v>
      </c>
      <c r="O224" s="584">
        <v>1.0200000000000001E-2</v>
      </c>
      <c r="P224" s="580">
        <v>9.7000000000000003E-3</v>
      </c>
      <c r="Q224" s="584">
        <v>1.04E-2</v>
      </c>
      <c r="R224" s="584">
        <v>1.0200000000000001E-2</v>
      </c>
      <c r="S224" s="584">
        <v>9.9000000000000008E-3</v>
      </c>
      <c r="T224" s="584">
        <v>9.7000000000000003E-3</v>
      </c>
      <c r="U224" s="580">
        <v>0.01</v>
      </c>
      <c r="V224" s="584">
        <v>8.8000000000000005E-3</v>
      </c>
      <c r="W224" s="584">
        <v>9.1000000000000004E-3</v>
      </c>
      <c r="X224" s="584">
        <v>9.4000000000000004E-3</v>
      </c>
      <c r="Y224" s="584">
        <v>9.7000000000000003E-3</v>
      </c>
      <c r="Z224" s="580">
        <v>9.2999999999999992E-3</v>
      </c>
      <c r="AA224" s="584">
        <v>9.4000000000000004E-3</v>
      </c>
      <c r="AB224" s="584">
        <v>9.2999999999999992E-3</v>
      </c>
      <c r="AC224" s="991">
        <v>0.01</v>
      </c>
      <c r="AD224" s="991">
        <v>0.01</v>
      </c>
      <c r="AE224" s="992">
        <v>0.01</v>
      </c>
      <c r="AF224" s="992">
        <v>0.01</v>
      </c>
      <c r="AG224" s="992">
        <v>0.01</v>
      </c>
      <c r="AH224" s="992">
        <v>0.01</v>
      </c>
      <c r="AI224" s="992">
        <v>0.01</v>
      </c>
      <c r="AJ224" s="992">
        <v>0.01</v>
      </c>
      <c r="AK224" s="992">
        <v>0.01</v>
      </c>
      <c r="AL224" s="992">
        <v>0.01</v>
      </c>
      <c r="AM224" s="651"/>
      <c r="AN224" s="83"/>
      <c r="AO224" s="83"/>
      <c r="CA224" s="477"/>
      <c r="CB224" s="478"/>
    </row>
    <row r="225" spans="1:80">
      <c r="A225" s="83"/>
      <c r="B225" s="95" t="s">
        <v>221</v>
      </c>
      <c r="C225" s="96"/>
      <c r="D225" s="162" t="s">
        <v>616</v>
      </c>
      <c r="E225" s="162"/>
      <c r="F225" s="83"/>
      <c r="G225" s="583">
        <v>0.872</v>
      </c>
      <c r="H225" s="583">
        <v>0.82799999999999996</v>
      </c>
      <c r="I225" s="583">
        <v>0.83399999999999996</v>
      </c>
      <c r="J225" s="583">
        <v>0.89200000000000002</v>
      </c>
      <c r="K225" s="583">
        <v>0.89200000000000002</v>
      </c>
      <c r="L225" s="584">
        <v>0.91</v>
      </c>
      <c r="M225" s="584">
        <v>0.89</v>
      </c>
      <c r="N225" s="584">
        <v>0.89300000000000002</v>
      </c>
      <c r="O225" s="584">
        <v>0.90800000000000003</v>
      </c>
      <c r="P225" s="583">
        <v>0.90100000000000002</v>
      </c>
      <c r="Q225" s="584">
        <v>0.89600000000000002</v>
      </c>
      <c r="R225" s="584">
        <v>0.877</v>
      </c>
      <c r="S225" s="584">
        <v>0.88400000000000001</v>
      </c>
      <c r="T225" s="584">
        <v>0.879</v>
      </c>
      <c r="U225" s="583">
        <v>0.88400000000000001</v>
      </c>
      <c r="V225" s="584">
        <v>0.89</v>
      </c>
      <c r="W225" s="584">
        <v>0.87</v>
      </c>
      <c r="X225" s="584">
        <v>0.85899999999999999</v>
      </c>
      <c r="Y225" s="584">
        <v>0.88100000000000001</v>
      </c>
      <c r="Z225" s="583">
        <v>0.86699999999999999</v>
      </c>
      <c r="AA225" s="584">
        <v>0.89500000000000002</v>
      </c>
      <c r="AB225" s="584">
        <v>0.88500000000000001</v>
      </c>
      <c r="AC225" s="991">
        <v>0.89</v>
      </c>
      <c r="AD225" s="991">
        <v>0.89</v>
      </c>
      <c r="AE225" s="992">
        <v>0.89</v>
      </c>
      <c r="AF225" s="992">
        <v>0.89</v>
      </c>
      <c r="AG225" s="992">
        <v>0.89</v>
      </c>
      <c r="AH225" s="992">
        <v>0.89</v>
      </c>
      <c r="AI225" s="992">
        <v>0.89</v>
      </c>
      <c r="AJ225" s="992">
        <v>0.89</v>
      </c>
      <c r="AK225" s="992">
        <v>0.89</v>
      </c>
      <c r="AL225" s="992">
        <v>0.89</v>
      </c>
      <c r="AM225" s="651"/>
      <c r="AN225" s="83"/>
      <c r="AO225" s="83"/>
      <c r="CA225" s="477"/>
      <c r="CB225" s="478"/>
    </row>
    <row r="226" spans="1:80">
      <c r="A226" s="83"/>
      <c r="B226" s="95"/>
      <c r="C226" s="96"/>
      <c r="D226" s="162"/>
      <c r="E226" s="162"/>
      <c r="F226" s="83"/>
      <c r="G226" s="583"/>
      <c r="H226" s="583"/>
      <c r="I226" s="583"/>
      <c r="J226" s="583"/>
      <c r="K226" s="583"/>
      <c r="L226" s="91"/>
      <c r="M226" s="91"/>
      <c r="N226" s="91"/>
      <c r="O226" s="91"/>
      <c r="P226" s="90"/>
      <c r="Q226" s="91"/>
      <c r="R226" s="91"/>
      <c r="S226" s="91"/>
      <c r="T226" s="91"/>
      <c r="U226" s="113"/>
      <c r="V226" s="91"/>
      <c r="W226" s="91"/>
      <c r="X226" s="91"/>
      <c r="Y226" s="91"/>
      <c r="Z226" s="90"/>
      <c r="AA226" s="91"/>
      <c r="AB226" s="91"/>
      <c r="AC226" s="91"/>
      <c r="AD226" s="91"/>
      <c r="AE226" s="90"/>
      <c r="AF226" s="90"/>
      <c r="AG226" s="90"/>
      <c r="AH226" s="90"/>
      <c r="AI226" s="90"/>
      <c r="AJ226" s="90"/>
      <c r="AK226" s="90"/>
      <c r="AL226" s="90"/>
      <c r="AM226" s="651"/>
      <c r="AN226" s="83"/>
      <c r="AO226" s="83"/>
      <c r="CA226" s="477"/>
      <c r="CB226" s="478"/>
    </row>
    <row r="227" spans="1:80">
      <c r="A227" s="83"/>
      <c r="B227" s="95"/>
      <c r="C227" s="96"/>
      <c r="D227" s="552" t="s">
        <v>659</v>
      </c>
      <c r="E227" s="162"/>
      <c r="F227" s="83"/>
      <c r="G227" s="648"/>
      <c r="H227" s="648"/>
      <c r="I227" s="648"/>
      <c r="J227" s="648"/>
      <c r="K227" s="648"/>
      <c r="L227" s="91"/>
      <c r="M227" s="91"/>
      <c r="N227" s="91"/>
      <c r="O227" s="91"/>
      <c r="P227" s="90"/>
      <c r="Q227" s="91"/>
      <c r="R227" s="91"/>
      <c r="S227" s="91"/>
      <c r="T227" s="91"/>
      <c r="U227" s="113"/>
      <c r="V227" s="91"/>
      <c r="W227" s="91"/>
      <c r="X227" s="91"/>
      <c r="Y227" s="91"/>
      <c r="Z227" s="90"/>
      <c r="AA227" s="91"/>
      <c r="AB227" s="91"/>
      <c r="AC227" s="91"/>
      <c r="AD227" s="91"/>
      <c r="AE227" s="90"/>
      <c r="AF227" s="90"/>
      <c r="AG227" s="90"/>
      <c r="AH227" s="90"/>
      <c r="AI227" s="90"/>
      <c r="AJ227" s="90"/>
      <c r="AK227" s="90"/>
      <c r="AL227" s="90"/>
      <c r="AM227" s="651"/>
      <c r="AN227" s="83"/>
      <c r="AO227" s="83"/>
      <c r="CA227" s="477"/>
      <c r="CB227" s="478"/>
    </row>
    <row r="228" spans="1:80">
      <c r="A228" s="83"/>
      <c r="B228" s="95" t="s">
        <v>656</v>
      </c>
      <c r="C228" s="96"/>
      <c r="D228" s="162" t="s">
        <v>614</v>
      </c>
      <c r="E228" s="162"/>
      <c r="F228" s="83"/>
      <c r="G228" s="90">
        <v>14571</v>
      </c>
      <c r="H228" s="90">
        <v>15343</v>
      </c>
      <c r="I228" s="90">
        <v>19033</v>
      </c>
      <c r="J228" s="90">
        <v>13318</v>
      </c>
      <c r="K228" s="90">
        <v>19336</v>
      </c>
      <c r="L228" s="91">
        <v>4802</v>
      </c>
      <c r="M228" s="91">
        <v>6072</v>
      </c>
      <c r="N228" s="91">
        <v>6046</v>
      </c>
      <c r="O228" s="91">
        <v>4994</v>
      </c>
      <c r="P228" s="90">
        <v>21914</v>
      </c>
      <c r="Q228" s="91">
        <v>5240</v>
      </c>
      <c r="R228" s="91">
        <v>5837</v>
      </c>
      <c r="S228" s="91">
        <v>5091</v>
      </c>
      <c r="T228" s="91">
        <v>4923</v>
      </c>
      <c r="U228" s="146">
        <v>21091</v>
      </c>
      <c r="V228" s="91">
        <v>6197</v>
      </c>
      <c r="W228" s="91">
        <v>2378</v>
      </c>
      <c r="X228" s="91">
        <v>6053</v>
      </c>
      <c r="Y228" s="91">
        <v>6554</v>
      </c>
      <c r="Z228" s="146">
        <v>21182</v>
      </c>
      <c r="AA228" s="91">
        <v>6000</v>
      </c>
      <c r="AB228" s="91">
        <v>6514</v>
      </c>
      <c r="AC228" s="97">
        <f t="shared" ref="AC228:AF228" si="185">AC234/AC230/AC229</f>
        <v>7435.5843586612827</v>
      </c>
      <c r="AD228" s="97">
        <f t="shared" si="185"/>
        <v>6656.047288801632</v>
      </c>
      <c r="AE228" s="130">
        <f t="shared" si="185"/>
        <v>22948.887651662688</v>
      </c>
      <c r="AF228" s="130">
        <f t="shared" si="185"/>
        <v>21949.585268362564</v>
      </c>
      <c r="AG228" s="130">
        <f t="shared" ref="AG228:AL228" si="186">AG234/AG230/AG229</f>
        <v>21949.585268362564</v>
      </c>
      <c r="AH228" s="130">
        <f t="shared" si="186"/>
        <v>21949.585268362564</v>
      </c>
      <c r="AI228" s="130">
        <f t="shared" si="186"/>
        <v>21949.585268362564</v>
      </c>
      <c r="AJ228" s="130">
        <f t="shared" si="186"/>
        <v>21949.585268362564</v>
      </c>
      <c r="AK228" s="130">
        <f t="shared" si="186"/>
        <v>21949.585268362564</v>
      </c>
      <c r="AL228" s="130">
        <f t="shared" si="186"/>
        <v>21949.585268362564</v>
      </c>
      <c r="AM228" s="651"/>
      <c r="AN228" s="83"/>
      <c r="AO228" s="83"/>
      <c r="CA228" s="477"/>
      <c r="CB228" s="478"/>
    </row>
    <row r="229" spans="1:80">
      <c r="A229" s="83"/>
      <c r="B229" s="95" t="s">
        <v>221</v>
      </c>
      <c r="C229" s="96"/>
      <c r="D229" s="162" t="s">
        <v>615</v>
      </c>
      <c r="E229" s="162"/>
      <c r="F229" s="83"/>
      <c r="G229" s="580">
        <v>2.12E-2</v>
      </c>
      <c r="H229" s="580">
        <v>1.66E-2</v>
      </c>
      <c r="I229" s="580">
        <v>1.52E-2</v>
      </c>
      <c r="J229" s="580">
        <v>1.7899999999999999E-2</v>
      </c>
      <c r="K229" s="580">
        <v>2.1299999999999999E-2</v>
      </c>
      <c r="L229" s="584">
        <v>2.2200000000000001E-2</v>
      </c>
      <c r="M229" s="584">
        <v>2.2700000000000001E-2</v>
      </c>
      <c r="N229" s="584">
        <v>2.1499999999999998E-2</v>
      </c>
      <c r="O229" s="584">
        <v>1.9099999999999999E-2</v>
      </c>
      <c r="P229" s="580">
        <v>2.1499999999999998E-2</v>
      </c>
      <c r="Q229" s="584">
        <v>1.5800000000000002E-2</v>
      </c>
      <c r="R229" s="584">
        <v>1.5900000000000001E-2</v>
      </c>
      <c r="S229" s="584">
        <v>1.7500000000000002E-2</v>
      </c>
      <c r="T229" s="584">
        <v>1.8800000000000001E-2</v>
      </c>
      <c r="U229" s="580">
        <v>1.6899999999999998E-2</v>
      </c>
      <c r="V229" s="584">
        <v>2.0299999999999999E-2</v>
      </c>
      <c r="W229" s="584">
        <v>2.3800000000000002E-2</v>
      </c>
      <c r="X229" s="584">
        <v>2.47E-2</v>
      </c>
      <c r="Y229" s="584">
        <v>2.3199999999999998E-2</v>
      </c>
      <c r="Z229" s="580">
        <v>2.29E-2</v>
      </c>
      <c r="AA229" s="584">
        <v>2.1899999999999999E-2</v>
      </c>
      <c r="AB229" s="584">
        <v>2.2499999999999999E-2</v>
      </c>
      <c r="AC229" s="991">
        <v>1.6899999999999998E-2</v>
      </c>
      <c r="AD229" s="991">
        <v>1.6899999999999998E-2</v>
      </c>
      <c r="AE229" s="992">
        <f>$Z$229</f>
        <v>2.29E-2</v>
      </c>
      <c r="AF229" s="992">
        <f t="shared" ref="AF229:AL229" si="187">$Z$229</f>
        <v>2.29E-2</v>
      </c>
      <c r="AG229" s="992">
        <f t="shared" si="187"/>
        <v>2.29E-2</v>
      </c>
      <c r="AH229" s="992">
        <f t="shared" si="187"/>
        <v>2.29E-2</v>
      </c>
      <c r="AI229" s="992">
        <f t="shared" si="187"/>
        <v>2.29E-2</v>
      </c>
      <c r="AJ229" s="992">
        <f t="shared" si="187"/>
        <v>2.29E-2</v>
      </c>
      <c r="AK229" s="992">
        <f t="shared" si="187"/>
        <v>2.29E-2</v>
      </c>
      <c r="AL229" s="992">
        <f t="shared" si="187"/>
        <v>2.29E-2</v>
      </c>
      <c r="AM229" s="651"/>
      <c r="AN229" s="83"/>
      <c r="AO229" s="83"/>
      <c r="CA229" s="477"/>
      <c r="CB229" s="478"/>
    </row>
    <row r="230" spans="1:80">
      <c r="A230" s="83"/>
      <c r="B230" s="95" t="s">
        <v>221</v>
      </c>
      <c r="C230" s="96"/>
      <c r="D230" s="162" t="s">
        <v>616</v>
      </c>
      <c r="E230" s="162"/>
      <c r="F230" s="83"/>
      <c r="G230" s="583">
        <v>0.84399999999999997</v>
      </c>
      <c r="H230" s="583">
        <v>0.82599999999999996</v>
      </c>
      <c r="I230" s="583">
        <v>0.81399999999999995</v>
      </c>
      <c r="J230" s="583">
        <v>0.85699999999999998</v>
      </c>
      <c r="K230" s="583">
        <v>0.88800000000000001</v>
      </c>
      <c r="L230" s="584">
        <v>0.88500000000000001</v>
      </c>
      <c r="M230" s="584">
        <v>0.88300000000000001</v>
      </c>
      <c r="N230" s="584">
        <v>0.878</v>
      </c>
      <c r="O230" s="584">
        <v>0.86099999999999999</v>
      </c>
      <c r="P230" s="583">
        <v>0.877</v>
      </c>
      <c r="Q230" s="584">
        <v>0.84399999999999997</v>
      </c>
      <c r="R230" s="584">
        <v>0.85199999999999998</v>
      </c>
      <c r="S230" s="584">
        <v>0.84299999999999997</v>
      </c>
      <c r="T230" s="584">
        <v>0.85299999999999998</v>
      </c>
      <c r="U230" s="583">
        <v>0.84799999999999998</v>
      </c>
      <c r="V230" s="584">
        <v>0.86399999999999999</v>
      </c>
      <c r="W230" s="584">
        <v>0.87</v>
      </c>
      <c r="X230" s="584">
        <v>0.877</v>
      </c>
      <c r="Y230" s="584">
        <v>0.84</v>
      </c>
      <c r="Z230" s="583">
        <v>0.84</v>
      </c>
      <c r="AA230" s="584">
        <v>0.85899999999999999</v>
      </c>
      <c r="AB230" s="584">
        <v>0.85399999999999998</v>
      </c>
      <c r="AC230" s="991">
        <v>0.84</v>
      </c>
      <c r="AD230" s="991">
        <v>0.84</v>
      </c>
      <c r="AE230" s="992">
        <v>0.84</v>
      </c>
      <c r="AF230" s="992">
        <v>0.84</v>
      </c>
      <c r="AG230" s="992">
        <v>0.84</v>
      </c>
      <c r="AH230" s="992">
        <v>0.84</v>
      </c>
      <c r="AI230" s="992">
        <v>0.84</v>
      </c>
      <c r="AJ230" s="992">
        <v>0.84</v>
      </c>
      <c r="AK230" s="992">
        <v>0.84</v>
      </c>
      <c r="AL230" s="992">
        <v>0.84</v>
      </c>
      <c r="AM230" s="651"/>
      <c r="AN230" s="83"/>
      <c r="AO230" s="83"/>
      <c r="CA230" s="477"/>
      <c r="CB230" s="478"/>
    </row>
    <row r="231" spans="1:80">
      <c r="A231" s="83"/>
      <c r="B231" s="95"/>
      <c r="C231" s="96"/>
      <c r="D231" s="162"/>
      <c r="E231" s="162"/>
      <c r="F231" s="83"/>
      <c r="G231" s="618"/>
      <c r="H231" s="618"/>
      <c r="I231" s="618"/>
      <c r="J231" s="618"/>
      <c r="K231" s="618"/>
      <c r="L231" s="126"/>
      <c r="M231" s="126"/>
      <c r="N231" s="126"/>
      <c r="O231" s="126"/>
      <c r="P231" s="95"/>
      <c r="Q231" s="126"/>
      <c r="R231" s="126"/>
      <c r="S231" s="126"/>
      <c r="T231" s="126"/>
      <c r="U231" s="92"/>
      <c r="V231" s="126"/>
      <c r="W231" s="126"/>
      <c r="X231" s="126"/>
      <c r="Y231" s="126"/>
      <c r="Z231" s="92"/>
      <c r="AA231" s="99"/>
      <c r="AB231" s="99"/>
      <c r="AC231" s="99"/>
      <c r="AD231" s="99"/>
      <c r="AE231" s="92"/>
      <c r="AF231" s="83"/>
      <c r="AG231" s="83"/>
      <c r="AH231" s="83"/>
      <c r="AI231" s="83"/>
      <c r="AJ231" s="83"/>
      <c r="AK231" s="83"/>
      <c r="AL231" s="83"/>
      <c r="AM231" s="651"/>
      <c r="AN231" s="83"/>
      <c r="AO231" s="83"/>
      <c r="CA231" s="477"/>
      <c r="CB231" s="478"/>
    </row>
    <row r="232" spans="1:80">
      <c r="A232" s="83"/>
      <c r="B232" s="95"/>
      <c r="C232" s="96"/>
      <c r="D232" s="554" t="s">
        <v>660</v>
      </c>
      <c r="E232" s="653"/>
      <c r="F232" s="586"/>
      <c r="G232" s="654"/>
      <c r="H232" s="654"/>
      <c r="I232" s="654"/>
      <c r="J232" s="654"/>
      <c r="K232" s="654"/>
      <c r="L232" s="655"/>
      <c r="M232" s="655"/>
      <c r="N232" s="655"/>
      <c r="O232" s="655"/>
      <c r="P232" s="654"/>
      <c r="Q232" s="655"/>
      <c r="R232" s="655"/>
      <c r="S232" s="655"/>
      <c r="T232" s="655"/>
      <c r="U232" s="654"/>
      <c r="V232" s="655"/>
      <c r="W232" s="655"/>
      <c r="X232" s="655"/>
      <c r="Y232" s="655"/>
      <c r="Z232" s="588"/>
      <c r="AA232" s="705"/>
      <c r="AB232" s="705"/>
      <c r="AC232" s="705"/>
      <c r="AD232" s="705"/>
      <c r="AE232" s="588"/>
      <c r="AF232" s="586"/>
      <c r="AG232" s="586"/>
      <c r="AH232" s="586"/>
      <c r="AI232" s="586"/>
      <c r="AJ232" s="586"/>
      <c r="AK232" s="586"/>
      <c r="AL232" s="586"/>
      <c r="AM232" s="651"/>
      <c r="AN232" s="83"/>
      <c r="AO232" s="83"/>
      <c r="CA232" s="477"/>
      <c r="CB232" s="478"/>
    </row>
    <row r="233" spans="1:80">
      <c r="A233" s="83"/>
      <c r="B233" s="95" t="s">
        <v>640</v>
      </c>
      <c r="C233" s="96"/>
      <c r="D233" s="163" t="s">
        <v>169</v>
      </c>
      <c r="E233" s="162"/>
      <c r="F233" s="83"/>
      <c r="G233" s="90">
        <v>438.89268559999999</v>
      </c>
      <c r="H233" s="90">
        <v>346.71258</v>
      </c>
      <c r="I233" s="90">
        <v>388.9999512</v>
      </c>
      <c r="J233" s="90">
        <v>433.87325999999996</v>
      </c>
      <c r="K233" s="90">
        <v>423.93834239999995</v>
      </c>
      <c r="L233" s="91">
        <v>108.2</v>
      </c>
      <c r="M233" s="91">
        <v>106.3</v>
      </c>
      <c r="N233" s="91">
        <v>113.6</v>
      </c>
      <c r="O233" s="91">
        <v>118</v>
      </c>
      <c r="P233" s="90">
        <v>446.1</v>
      </c>
      <c r="Q233" s="91">
        <v>106.2</v>
      </c>
      <c r="R233" s="91">
        <v>115.1</v>
      </c>
      <c r="S233" s="91">
        <v>115.8</v>
      </c>
      <c r="T233" s="91">
        <v>111.4</v>
      </c>
      <c r="U233" s="90">
        <v>448.5</v>
      </c>
      <c r="V233" s="91">
        <v>101.2</v>
      </c>
      <c r="W233" s="1107">
        <v>54.6</v>
      </c>
      <c r="X233" s="1107">
        <v>106.4</v>
      </c>
      <c r="Y233" s="91">
        <v>118.5</v>
      </c>
      <c r="Z233" s="90">
        <v>380.7</v>
      </c>
      <c r="AA233" s="91">
        <v>106.7</v>
      </c>
      <c r="AB233" s="91">
        <v>110.8</v>
      </c>
      <c r="AC233" s="772">
        <f t="shared" ref="AC233:AD235" si="188">AC238/0.225</f>
        <v>103.33333333333333</v>
      </c>
      <c r="AD233" s="772">
        <f t="shared" si="188"/>
        <v>92.499999999999986</v>
      </c>
      <c r="AE233" s="94">
        <f>SUM(AA233:AD233)</f>
        <v>413.33333333333331</v>
      </c>
      <c r="AF233" s="202">
        <f>AF238/0.225</f>
        <v>413.33333333333331</v>
      </c>
      <c r="AG233" s="202">
        <f t="shared" ref="AG233:AL233" si="189">AG238/0.225</f>
        <v>413.33333333333331</v>
      </c>
      <c r="AH233" s="202">
        <f t="shared" si="189"/>
        <v>413.33333333333331</v>
      </c>
      <c r="AI233" s="202">
        <f t="shared" si="189"/>
        <v>413.33333333333331</v>
      </c>
      <c r="AJ233" s="202">
        <f t="shared" si="189"/>
        <v>413.33333333333331</v>
      </c>
      <c r="AK233" s="202">
        <f t="shared" si="189"/>
        <v>413.33333333333331</v>
      </c>
      <c r="AL233" s="202">
        <f t="shared" si="189"/>
        <v>413.33333333333331</v>
      </c>
      <c r="AM233" s="651"/>
      <c r="AN233" s="83"/>
      <c r="AO233" s="83"/>
      <c r="CA233" s="477"/>
      <c r="CB233" s="478"/>
    </row>
    <row r="234" spans="1:80">
      <c r="A234" s="83"/>
      <c r="B234" s="95" t="s">
        <v>640</v>
      </c>
      <c r="C234" s="96"/>
      <c r="D234" s="163" t="s">
        <v>171</v>
      </c>
      <c r="E234" s="162"/>
      <c r="F234" s="83"/>
      <c r="G234" s="648">
        <v>260.39999999999998</v>
      </c>
      <c r="H234" s="648">
        <v>211</v>
      </c>
      <c r="I234" s="648">
        <v>235</v>
      </c>
      <c r="J234" s="648">
        <v>198</v>
      </c>
      <c r="K234" s="648">
        <v>372.1</v>
      </c>
      <c r="L234" s="91">
        <v>89.9</v>
      </c>
      <c r="M234" s="91">
        <v>126.5</v>
      </c>
      <c r="N234" s="91">
        <v>107.6</v>
      </c>
      <c r="O234" s="91">
        <v>85.3</v>
      </c>
      <c r="P234" s="90">
        <v>409.3</v>
      </c>
      <c r="Q234" s="91">
        <v>73.3</v>
      </c>
      <c r="R234" s="91">
        <v>79.099999999999994</v>
      </c>
      <c r="S234" s="91">
        <v>71.900000000000006</v>
      </c>
      <c r="T234" s="91">
        <v>79</v>
      </c>
      <c r="U234" s="621">
        <v>303.29999999999995</v>
      </c>
      <c r="V234" s="91">
        <v>111.7</v>
      </c>
      <c r="W234" s="1107">
        <v>48.3</v>
      </c>
      <c r="X234" s="1107">
        <v>120.8</v>
      </c>
      <c r="Y234" s="91">
        <v>147</v>
      </c>
      <c r="Z234" s="621">
        <v>427.8</v>
      </c>
      <c r="AA234" s="91">
        <v>116.8</v>
      </c>
      <c r="AB234" s="91">
        <v>124.6</v>
      </c>
      <c r="AC234" s="772">
        <f t="shared" si="188"/>
        <v>105.55555555555556</v>
      </c>
      <c r="AD234" s="772">
        <f t="shared" si="188"/>
        <v>94.489247311827953</v>
      </c>
      <c r="AE234" s="94">
        <f>SUM(AA234:AD234)</f>
        <v>441.44480286738349</v>
      </c>
      <c r="AF234" s="202">
        <f>AF239/0.225</f>
        <v>422.22222222222223</v>
      </c>
      <c r="AG234" s="202">
        <f t="shared" ref="AG234:AL234" si="190">AG239/0.225</f>
        <v>422.22222222222223</v>
      </c>
      <c r="AH234" s="202">
        <f t="shared" si="190"/>
        <v>422.22222222222223</v>
      </c>
      <c r="AI234" s="202">
        <f t="shared" si="190"/>
        <v>422.22222222222223</v>
      </c>
      <c r="AJ234" s="202">
        <f t="shared" si="190"/>
        <v>422.22222222222223</v>
      </c>
      <c r="AK234" s="202">
        <f t="shared" si="190"/>
        <v>422.22222222222223</v>
      </c>
      <c r="AL234" s="202">
        <f t="shared" si="190"/>
        <v>422.22222222222223</v>
      </c>
      <c r="AM234" s="651"/>
      <c r="AN234" s="83"/>
      <c r="AO234" s="83"/>
      <c r="CA234" s="477"/>
      <c r="CB234" s="478"/>
    </row>
    <row r="235" spans="1:80">
      <c r="A235" s="83"/>
      <c r="B235" s="95" t="s">
        <v>639</v>
      </c>
      <c r="C235" s="96"/>
      <c r="D235" s="162" t="s">
        <v>532</v>
      </c>
      <c r="E235" s="162"/>
      <c r="F235" s="83"/>
      <c r="G235" s="85">
        <v>10</v>
      </c>
      <c r="H235" s="85">
        <v>3.1</v>
      </c>
      <c r="I235" s="85">
        <v>4.4000000000000004</v>
      </c>
      <c r="J235" s="85">
        <v>10.3</v>
      </c>
      <c r="K235" s="85">
        <v>8.6999999999999993</v>
      </c>
      <c r="L235" s="622">
        <v>2.7</v>
      </c>
      <c r="M235" s="622">
        <v>1.7</v>
      </c>
      <c r="N235" s="86">
        <v>3.1</v>
      </c>
      <c r="O235" s="86">
        <v>2.7</v>
      </c>
      <c r="P235" s="90">
        <v>10.199999999999999</v>
      </c>
      <c r="Q235" s="91">
        <v>1</v>
      </c>
      <c r="R235" s="91">
        <v>1.2</v>
      </c>
      <c r="S235" s="86">
        <v>2.6</v>
      </c>
      <c r="T235" s="622">
        <v>3.5</v>
      </c>
      <c r="U235" s="85">
        <v>7.8</v>
      </c>
      <c r="V235" s="91">
        <v>3.2</v>
      </c>
      <c r="W235" s="1108">
        <v>1.6</v>
      </c>
      <c r="X235" s="1108">
        <v>1.8</v>
      </c>
      <c r="Y235" s="622">
        <v>1.3</v>
      </c>
      <c r="Z235" s="85">
        <v>7.9</v>
      </c>
      <c r="AA235" s="91">
        <v>1.8</v>
      </c>
      <c r="AB235" s="91">
        <v>0.7</v>
      </c>
      <c r="AC235" s="1172">
        <f t="shared" si="188"/>
        <v>1.3333333333333333</v>
      </c>
      <c r="AD235" s="1172">
        <f t="shared" si="188"/>
        <v>1.193548387096774</v>
      </c>
      <c r="AE235" s="955">
        <f>SUM(AA235:AD235)</f>
        <v>5.0268817204301071</v>
      </c>
      <c r="AF235" s="202">
        <f>AF240/0.225</f>
        <v>5.333333333333333</v>
      </c>
      <c r="AG235" s="202">
        <f t="shared" ref="AG235:AL235" si="191">AG240/0.225</f>
        <v>5.333333333333333</v>
      </c>
      <c r="AH235" s="202">
        <f t="shared" si="191"/>
        <v>5.333333333333333</v>
      </c>
      <c r="AI235" s="202">
        <f t="shared" si="191"/>
        <v>5.333333333333333</v>
      </c>
      <c r="AJ235" s="202">
        <f t="shared" si="191"/>
        <v>5.333333333333333</v>
      </c>
      <c r="AK235" s="202">
        <f t="shared" si="191"/>
        <v>5.333333333333333</v>
      </c>
      <c r="AL235" s="202">
        <f t="shared" si="191"/>
        <v>5.333333333333333</v>
      </c>
      <c r="AM235" s="651"/>
      <c r="AN235" s="83"/>
      <c r="AO235" s="83"/>
      <c r="CA235" s="477"/>
      <c r="CB235" s="478"/>
    </row>
    <row r="236" spans="1:80">
      <c r="A236" s="83"/>
      <c r="B236" s="95"/>
      <c r="C236" s="96"/>
      <c r="D236" s="162"/>
      <c r="E236" s="162"/>
      <c r="F236" s="83"/>
      <c r="G236" s="95"/>
      <c r="H236" s="95"/>
      <c r="I236" s="95"/>
      <c r="J236" s="95"/>
      <c r="K236" s="95"/>
      <c r="L236" s="126"/>
      <c r="M236" s="126"/>
      <c r="N236" s="126"/>
      <c r="O236" s="126"/>
      <c r="P236" s="95"/>
      <c r="Q236" s="126"/>
      <c r="R236" s="126"/>
      <c r="S236" s="126"/>
      <c r="T236" s="126"/>
      <c r="U236" s="92"/>
      <c r="V236" s="126"/>
      <c r="W236" s="126"/>
      <c r="X236" s="126"/>
      <c r="Y236" s="126"/>
      <c r="Z236" s="92"/>
      <c r="AA236" s="126"/>
      <c r="AB236" s="99"/>
      <c r="AC236" s="99"/>
      <c r="AD236" s="99"/>
      <c r="AE236" s="92"/>
      <c r="AF236" s="83"/>
      <c r="AG236" s="83"/>
      <c r="AH236" s="83"/>
      <c r="AI236" s="83"/>
      <c r="AJ236" s="83"/>
      <c r="AK236" s="83"/>
      <c r="AL236" s="83"/>
      <c r="AM236" s="651"/>
      <c r="AN236" s="83"/>
      <c r="AO236" s="83"/>
      <c r="CA236" s="477"/>
      <c r="CB236" s="478"/>
    </row>
    <row r="237" spans="1:80">
      <c r="A237" s="83"/>
      <c r="B237" s="95"/>
      <c r="C237" s="96"/>
      <c r="D237" s="554" t="s">
        <v>661</v>
      </c>
      <c r="E237" s="653"/>
      <c r="F237" s="586"/>
      <c r="G237" s="654"/>
      <c r="H237" s="654"/>
      <c r="I237" s="654"/>
      <c r="J237" s="654"/>
      <c r="K237" s="654"/>
      <c r="L237" s="655"/>
      <c r="M237" s="655"/>
      <c r="N237" s="655"/>
      <c r="O237" s="655"/>
      <c r="P237" s="654"/>
      <c r="Q237" s="655"/>
      <c r="R237" s="655"/>
      <c r="S237" s="655"/>
      <c r="T237" s="655"/>
      <c r="U237" s="588"/>
      <c r="V237" s="182"/>
      <c r="W237" s="182"/>
      <c r="X237" s="182"/>
      <c r="Y237" s="182"/>
      <c r="Z237" s="588"/>
      <c r="AA237" s="567"/>
      <c r="AB237" s="307"/>
      <c r="AC237" s="307"/>
      <c r="AD237" s="307"/>
      <c r="AE237" s="306"/>
      <c r="AF237" s="134"/>
      <c r="AG237" s="134"/>
      <c r="AH237" s="586"/>
      <c r="AI237" s="586"/>
      <c r="AJ237" s="586"/>
      <c r="AK237" s="586"/>
      <c r="AL237" s="586"/>
      <c r="AM237" s="651"/>
      <c r="AN237" s="83"/>
      <c r="AO237" s="83"/>
      <c r="CA237" s="477"/>
      <c r="CB237" s="478"/>
    </row>
    <row r="238" spans="1:80">
      <c r="A238" s="83"/>
      <c r="B238" s="95" t="s">
        <v>640</v>
      </c>
      <c r="C238" s="96"/>
      <c r="D238" s="163" t="s">
        <v>169</v>
      </c>
      <c r="E238" s="162"/>
      <c r="F238" s="83"/>
      <c r="G238" s="130">
        <f>(G223*G224*G225)*0.225</f>
        <v>98.750854259999997</v>
      </c>
      <c r="H238" s="130">
        <f>(H223*H224*H225)*0.225</f>
        <v>78.010330500000009</v>
      </c>
      <c r="I238" s="130">
        <f>(I223*I224*I225)*0.225</f>
        <v>87.524989020000007</v>
      </c>
      <c r="J238" s="130">
        <f>(J223*J224*J225)*0.225</f>
        <v>97.621483499999997</v>
      </c>
      <c r="K238" s="130">
        <f>(K223*K224*K225)*0.225</f>
        <v>95.386127039999991</v>
      </c>
      <c r="L238" s="97">
        <f t="shared" ref="L238:O239" si="192">L233*0.225</f>
        <v>24.345000000000002</v>
      </c>
      <c r="M238" s="97">
        <f t="shared" si="192"/>
        <v>23.9175</v>
      </c>
      <c r="N238" s="97">
        <f t="shared" si="192"/>
        <v>25.56</v>
      </c>
      <c r="O238" s="97">
        <f t="shared" si="192"/>
        <v>26.55</v>
      </c>
      <c r="P238" s="130">
        <v>100</v>
      </c>
      <c r="Q238" s="97">
        <f t="shared" ref="Q238:U239" si="193">Q233*0.225</f>
        <v>23.895</v>
      </c>
      <c r="R238" s="97">
        <f t="shared" si="193"/>
        <v>25.897500000000001</v>
      </c>
      <c r="S238" s="97">
        <f t="shared" si="193"/>
        <v>26.055</v>
      </c>
      <c r="T238" s="97">
        <f t="shared" si="193"/>
        <v>25.065000000000001</v>
      </c>
      <c r="U238" s="130">
        <f t="shared" si="193"/>
        <v>100.91250000000001</v>
      </c>
      <c r="V238" s="97">
        <f>V233*0.225</f>
        <v>22.77</v>
      </c>
      <c r="W238" s="97">
        <f>W233*0.225</f>
        <v>12.285</v>
      </c>
      <c r="X238" s="97">
        <f>X233*0.225</f>
        <v>23.94</v>
      </c>
      <c r="Y238" s="97">
        <f>Y233*0.225</f>
        <v>26.662500000000001</v>
      </c>
      <c r="Z238" s="130">
        <f t="shared" ref="Z238" si="194">Z233*0.225</f>
        <v>85.657499999999999</v>
      </c>
      <c r="AA238" s="1195">
        <f>AA233*0.225</f>
        <v>24.0075</v>
      </c>
      <c r="AB238" s="1195">
        <f>AB233*0.225</f>
        <v>24.93</v>
      </c>
      <c r="AC238" s="1195">
        <f>AE238*AC319</f>
        <v>23.25</v>
      </c>
      <c r="AD238" s="1195">
        <f>AE238*AD319</f>
        <v>20.812499999999996</v>
      </c>
      <c r="AE238" s="996">
        <v>93</v>
      </c>
      <c r="AF238" s="394">
        <f>AE238</f>
        <v>93</v>
      </c>
      <c r="AG238" s="394">
        <f t="shared" ref="AG238:AL238" si="195">AF238</f>
        <v>93</v>
      </c>
      <c r="AH238" s="209">
        <f t="shared" si="195"/>
        <v>93</v>
      </c>
      <c r="AI238" s="209">
        <f t="shared" si="195"/>
        <v>93</v>
      </c>
      <c r="AJ238" s="209">
        <f t="shared" si="195"/>
        <v>93</v>
      </c>
      <c r="AK238" s="209">
        <f t="shared" si="195"/>
        <v>93</v>
      </c>
      <c r="AL238" s="209">
        <f t="shared" si="195"/>
        <v>93</v>
      </c>
      <c r="AM238" s="651"/>
      <c r="AN238" s="83"/>
      <c r="AO238" s="83"/>
      <c r="CA238" s="477"/>
      <c r="CB238" s="478"/>
    </row>
    <row r="239" spans="1:80">
      <c r="A239" s="83"/>
      <c r="B239" s="95" t="s">
        <v>640</v>
      </c>
      <c r="C239" s="96"/>
      <c r="D239" s="163" t="s">
        <v>171</v>
      </c>
      <c r="E239" s="162"/>
      <c r="F239" s="83"/>
      <c r="G239" s="130">
        <v>72</v>
      </c>
      <c r="H239" s="130">
        <v>64</v>
      </c>
      <c r="I239" s="130">
        <v>60</v>
      </c>
      <c r="J239" s="130">
        <v>45</v>
      </c>
      <c r="K239" s="130">
        <v>84</v>
      </c>
      <c r="L239" s="97">
        <f t="shared" si="192"/>
        <v>20.227500000000003</v>
      </c>
      <c r="M239" s="97">
        <f t="shared" si="192"/>
        <v>28.462500000000002</v>
      </c>
      <c r="N239" s="97">
        <f t="shared" si="192"/>
        <v>24.21</v>
      </c>
      <c r="O239" s="97">
        <f t="shared" si="192"/>
        <v>19.192499999999999</v>
      </c>
      <c r="P239" s="130">
        <v>92</v>
      </c>
      <c r="Q239" s="97">
        <f t="shared" si="193"/>
        <v>16.4925</v>
      </c>
      <c r="R239" s="97">
        <f t="shared" si="193"/>
        <v>17.797499999999999</v>
      </c>
      <c r="S239" s="97">
        <f t="shared" si="193"/>
        <v>16.177500000000002</v>
      </c>
      <c r="T239" s="97">
        <f t="shared" si="193"/>
        <v>17.775000000000002</v>
      </c>
      <c r="U239" s="130">
        <f t="shared" si="193"/>
        <v>68.242499999999993</v>
      </c>
      <c r="V239" s="97">
        <f t="shared" ref="V239:X240" si="196">V234*0.225</f>
        <v>25.1325</v>
      </c>
      <c r="W239" s="97">
        <f t="shared" si="196"/>
        <v>10.8675</v>
      </c>
      <c r="X239" s="97">
        <f t="shared" si="196"/>
        <v>27.18</v>
      </c>
      <c r="Y239" s="97">
        <f t="shared" ref="Y239:AA239" si="197">Y234*0.225</f>
        <v>33.075000000000003</v>
      </c>
      <c r="Z239" s="130">
        <f t="shared" si="197"/>
        <v>96.25500000000001</v>
      </c>
      <c r="AA239" s="97">
        <f t="shared" si="197"/>
        <v>26.28</v>
      </c>
      <c r="AB239" s="97">
        <f t="shared" ref="AB239" si="198">AB234*0.225</f>
        <v>28.035</v>
      </c>
      <c r="AC239" s="97">
        <f>AE239*AC319</f>
        <v>23.75</v>
      </c>
      <c r="AD239" s="97">
        <f>AE239*AD319</f>
        <v>21.260080645161288</v>
      </c>
      <c r="AE239" s="996">
        <v>95</v>
      </c>
      <c r="AF239" s="209">
        <f>AE239</f>
        <v>95</v>
      </c>
      <c r="AG239" s="209">
        <f t="shared" ref="AG239:AL239" si="199">AF239</f>
        <v>95</v>
      </c>
      <c r="AH239" s="209">
        <f t="shared" si="199"/>
        <v>95</v>
      </c>
      <c r="AI239" s="209">
        <f t="shared" si="199"/>
        <v>95</v>
      </c>
      <c r="AJ239" s="209">
        <f t="shared" si="199"/>
        <v>95</v>
      </c>
      <c r="AK239" s="209">
        <f t="shared" si="199"/>
        <v>95</v>
      </c>
      <c r="AL239" s="209">
        <f t="shared" si="199"/>
        <v>95</v>
      </c>
      <c r="AM239" s="651"/>
      <c r="AN239" s="83"/>
      <c r="AO239" s="83"/>
      <c r="CA239" s="477"/>
      <c r="CB239" s="478"/>
    </row>
    <row r="240" spans="1:80">
      <c r="A240" s="83"/>
      <c r="B240" s="95" t="s">
        <v>639</v>
      </c>
      <c r="C240" s="96"/>
      <c r="D240" s="162" t="s">
        <v>532</v>
      </c>
      <c r="E240" s="162"/>
      <c r="F240" s="83"/>
      <c r="G240" s="212">
        <f>G235*0.225</f>
        <v>2.25</v>
      </c>
      <c r="H240" s="212">
        <f t="shared" ref="H240:U240" si="200">H235*0.225</f>
        <v>0.69750000000000001</v>
      </c>
      <c r="I240" s="212">
        <f t="shared" si="200"/>
        <v>0.9900000000000001</v>
      </c>
      <c r="J240" s="212">
        <f t="shared" si="200"/>
        <v>2.3175000000000003</v>
      </c>
      <c r="K240" s="212">
        <f t="shared" si="200"/>
        <v>1.9574999999999998</v>
      </c>
      <c r="L240" s="206">
        <f t="shared" si="200"/>
        <v>0.60750000000000004</v>
      </c>
      <c r="M240" s="206">
        <f t="shared" si="200"/>
        <v>0.38250000000000001</v>
      </c>
      <c r="N240" s="206">
        <f t="shared" si="200"/>
        <v>0.69750000000000001</v>
      </c>
      <c r="O240" s="206">
        <f t="shared" si="200"/>
        <v>0.60750000000000004</v>
      </c>
      <c r="P240" s="212">
        <f t="shared" si="200"/>
        <v>2.2949999999999999</v>
      </c>
      <c r="Q240" s="206">
        <f t="shared" si="200"/>
        <v>0.22500000000000001</v>
      </c>
      <c r="R240" s="206">
        <f t="shared" si="200"/>
        <v>0.27</v>
      </c>
      <c r="S240" s="206">
        <f t="shared" si="200"/>
        <v>0.58500000000000008</v>
      </c>
      <c r="T240" s="206">
        <f t="shared" si="200"/>
        <v>0.78749999999999998</v>
      </c>
      <c r="U240" s="212">
        <f t="shared" si="200"/>
        <v>1.7549999999999999</v>
      </c>
      <c r="V240" s="206">
        <f t="shared" si="196"/>
        <v>0.72000000000000008</v>
      </c>
      <c r="W240" s="206">
        <f>W235*0.225</f>
        <v>0.36000000000000004</v>
      </c>
      <c r="X240" s="206">
        <f>X235*0.225</f>
        <v>0.40500000000000003</v>
      </c>
      <c r="Y240" s="206">
        <f>Y235*0.225</f>
        <v>0.29250000000000004</v>
      </c>
      <c r="Z240" s="212">
        <f t="shared" ref="Z240:AA240" si="201">Z235*0.225</f>
        <v>1.7775000000000001</v>
      </c>
      <c r="AA240" s="206">
        <f t="shared" si="201"/>
        <v>0.40500000000000003</v>
      </c>
      <c r="AB240" s="206">
        <f t="shared" ref="AB240" si="202">AB235*0.225</f>
        <v>0.1575</v>
      </c>
      <c r="AC240" s="206">
        <f>AE240*AC319</f>
        <v>0.3</v>
      </c>
      <c r="AD240" s="206">
        <f>AE240*AD319</f>
        <v>0.26854838709677414</v>
      </c>
      <c r="AE240" s="996">
        <v>1.2</v>
      </c>
      <c r="AF240" s="209">
        <f>AE240</f>
        <v>1.2</v>
      </c>
      <c r="AG240" s="209">
        <f t="shared" ref="AG240:AL240" si="203">AF240</f>
        <v>1.2</v>
      </c>
      <c r="AH240" s="209">
        <f t="shared" si="203"/>
        <v>1.2</v>
      </c>
      <c r="AI240" s="209">
        <f t="shared" si="203"/>
        <v>1.2</v>
      </c>
      <c r="AJ240" s="209">
        <f t="shared" si="203"/>
        <v>1.2</v>
      </c>
      <c r="AK240" s="209">
        <f t="shared" si="203"/>
        <v>1.2</v>
      </c>
      <c r="AL240" s="209">
        <f t="shared" si="203"/>
        <v>1.2</v>
      </c>
      <c r="AM240" s="651"/>
      <c r="AN240" s="83"/>
      <c r="AO240" s="83"/>
      <c r="CA240" s="477"/>
      <c r="CB240" s="478"/>
    </row>
    <row r="241" spans="1:80">
      <c r="A241" s="83"/>
      <c r="B241" s="95"/>
      <c r="C241" s="96"/>
      <c r="D241" s="162"/>
      <c r="E241" s="162"/>
      <c r="F241" s="83"/>
      <c r="G241" s="95"/>
      <c r="H241" s="95"/>
      <c r="I241" s="95"/>
      <c r="J241" s="95"/>
      <c r="K241" s="95"/>
      <c r="L241" s="126"/>
      <c r="M241" s="126"/>
      <c r="N241" s="126"/>
      <c r="O241" s="126"/>
      <c r="P241" s="95"/>
      <c r="Q241" s="126"/>
      <c r="R241" s="126"/>
      <c r="S241" s="126"/>
      <c r="T241" s="126"/>
      <c r="U241" s="92"/>
      <c r="V241" s="126"/>
      <c r="W241" s="126"/>
      <c r="X241" s="126"/>
      <c r="Y241" s="126"/>
      <c r="Z241" s="92"/>
      <c r="AA241" s="126"/>
      <c r="AB241" s="99"/>
      <c r="AC241" s="99"/>
      <c r="AD241" s="99"/>
      <c r="AE241" s="92"/>
      <c r="AF241" s="83"/>
      <c r="AG241" s="83"/>
      <c r="AH241" s="83"/>
      <c r="AI241" s="83"/>
      <c r="AJ241" s="83"/>
      <c r="AK241" s="83"/>
      <c r="AL241" s="83"/>
      <c r="AM241" s="651"/>
      <c r="AN241" s="83"/>
      <c r="AO241" s="83"/>
      <c r="CA241" s="477"/>
      <c r="CB241" s="478"/>
    </row>
    <row r="242" spans="1:80">
      <c r="A242" s="83"/>
      <c r="B242" s="95"/>
      <c r="C242" s="96"/>
      <c r="D242" s="162"/>
      <c r="E242" s="162"/>
      <c r="F242" s="83"/>
      <c r="G242" s="95"/>
      <c r="H242" s="95"/>
      <c r="I242" s="95"/>
      <c r="J242" s="95"/>
      <c r="K242" s="95"/>
      <c r="L242" s="126"/>
      <c r="M242" s="126"/>
      <c r="N242" s="126"/>
      <c r="O242" s="126"/>
      <c r="P242" s="95"/>
      <c r="Q242" s="126"/>
      <c r="R242" s="126"/>
      <c r="S242" s="126"/>
      <c r="T242" s="126"/>
      <c r="U242" s="92"/>
      <c r="V242" s="126"/>
      <c r="W242" s="126"/>
      <c r="X242" s="126"/>
      <c r="Y242" s="126"/>
      <c r="Z242" s="92"/>
      <c r="AA242" s="126"/>
      <c r="AB242" s="99"/>
      <c r="AC242" s="99"/>
      <c r="AD242" s="99"/>
      <c r="AE242" s="92"/>
      <c r="AF242" s="83"/>
      <c r="AG242" s="83"/>
      <c r="AH242" s="83"/>
      <c r="AI242" s="83"/>
      <c r="AJ242" s="83"/>
      <c r="AK242" s="83"/>
      <c r="AL242" s="83"/>
      <c r="AM242" s="651"/>
      <c r="AN242" s="83"/>
      <c r="AO242" s="83"/>
      <c r="CA242" s="477"/>
      <c r="CB242" s="478"/>
    </row>
    <row r="243" spans="1:80">
      <c r="A243" s="83"/>
      <c r="B243" s="95"/>
      <c r="C243" s="96"/>
      <c r="D243" s="162"/>
      <c r="E243" s="162"/>
      <c r="F243" s="83"/>
      <c r="G243" s="95"/>
      <c r="H243" s="95"/>
      <c r="I243" s="95"/>
      <c r="J243" s="95"/>
      <c r="K243" s="95"/>
      <c r="L243" s="126"/>
      <c r="M243" s="126"/>
      <c r="N243" s="126"/>
      <c r="O243" s="126"/>
      <c r="P243" s="95"/>
      <c r="Q243" s="126"/>
      <c r="R243" s="126"/>
      <c r="S243" s="126"/>
      <c r="T243" s="126"/>
      <c r="U243" s="92"/>
      <c r="V243" s="126"/>
      <c r="W243" s="126"/>
      <c r="X243" s="126"/>
      <c r="Y243" s="126"/>
      <c r="Z243" s="92"/>
      <c r="AA243" s="126"/>
      <c r="AB243" s="99"/>
      <c r="AC243" s="99"/>
      <c r="AD243" s="99"/>
      <c r="AE243" s="92"/>
      <c r="AF243" s="83"/>
      <c r="AG243" s="83"/>
      <c r="AH243" s="83"/>
      <c r="AI243" s="83"/>
      <c r="AJ243" s="83"/>
      <c r="AK243" s="83"/>
      <c r="AL243" s="83"/>
      <c r="AM243" s="651"/>
      <c r="AN243" s="83"/>
      <c r="AO243" s="83"/>
      <c r="CA243" s="477"/>
      <c r="CB243" s="478"/>
    </row>
    <row r="244" spans="1:80">
      <c r="A244" s="83"/>
      <c r="B244" s="95"/>
      <c r="C244" s="96"/>
      <c r="D244" s="173" t="s">
        <v>617</v>
      </c>
      <c r="E244" s="653"/>
      <c r="F244" s="586"/>
      <c r="G244" s="605"/>
      <c r="H244" s="605"/>
      <c r="I244" s="605"/>
      <c r="J244" s="605"/>
      <c r="K244" s="605"/>
      <c r="L244" s="182"/>
      <c r="M244" s="182"/>
      <c r="N244" s="182"/>
      <c r="O244" s="182"/>
      <c r="P244" s="605"/>
      <c r="Q244" s="182"/>
      <c r="R244" s="182"/>
      <c r="S244" s="182"/>
      <c r="T244" s="182"/>
      <c r="U244" s="588"/>
      <c r="V244" s="182"/>
      <c r="W244" s="182"/>
      <c r="X244" s="182"/>
      <c r="Y244" s="182"/>
      <c r="Z244" s="588"/>
      <c r="AA244" s="182"/>
      <c r="AB244" s="705"/>
      <c r="AC244" s="705"/>
      <c r="AD244" s="705"/>
      <c r="AE244" s="588"/>
      <c r="AF244" s="586"/>
      <c r="AG244" s="586"/>
      <c r="AH244" s="586"/>
      <c r="AI244" s="586"/>
      <c r="AJ244" s="586"/>
      <c r="AK244" s="586"/>
      <c r="AL244" s="586"/>
      <c r="AM244" s="651"/>
      <c r="AN244" s="83"/>
      <c r="AO244" s="83"/>
      <c r="CA244" s="477"/>
      <c r="CB244" s="478"/>
    </row>
    <row r="245" spans="1:80">
      <c r="A245" s="83"/>
      <c r="B245" s="95" t="s">
        <v>640</v>
      </c>
      <c r="C245" s="96"/>
      <c r="D245" s="163" t="s">
        <v>146</v>
      </c>
      <c r="E245" s="162"/>
      <c r="F245" s="83"/>
      <c r="G245" s="90">
        <v>436.2</v>
      </c>
      <c r="H245" s="90">
        <v>346.6</v>
      </c>
      <c r="I245" s="90">
        <v>388</v>
      </c>
      <c r="J245" s="90">
        <v>423.1</v>
      </c>
      <c r="K245" s="90">
        <v>418.1</v>
      </c>
      <c r="L245" s="91">
        <v>98.5</v>
      </c>
      <c r="M245" s="91">
        <v>112.7</v>
      </c>
      <c r="N245" s="91">
        <v>103.4</v>
      </c>
      <c r="O245" s="91">
        <v>125.3</v>
      </c>
      <c r="P245" s="90">
        <v>439.9</v>
      </c>
      <c r="Q245" s="91">
        <v>102.6</v>
      </c>
      <c r="R245" s="91">
        <v>110.6</v>
      </c>
      <c r="S245" s="91">
        <v>101.8</v>
      </c>
      <c r="T245" s="91">
        <v>134.9</v>
      </c>
      <c r="U245" s="90">
        <v>449.9</v>
      </c>
      <c r="V245" s="91">
        <v>94.8</v>
      </c>
      <c r="W245" s="91">
        <v>56.1</v>
      </c>
      <c r="X245" s="91">
        <v>103.9</v>
      </c>
      <c r="Y245" s="91">
        <v>125</v>
      </c>
      <c r="Z245" s="90">
        <v>379.8</v>
      </c>
      <c r="AA245" s="91">
        <v>97.3</v>
      </c>
      <c r="AB245" s="91">
        <v>114.8</v>
      </c>
      <c r="AC245" s="97">
        <f t="shared" ref="AC245:AE247" si="204">AC233</f>
        <v>103.33333333333333</v>
      </c>
      <c r="AD245" s="97">
        <f t="shared" si="204"/>
        <v>92.499999999999986</v>
      </c>
      <c r="AE245" s="383">
        <f t="shared" si="204"/>
        <v>413.33333333333331</v>
      </c>
      <c r="AF245" s="383">
        <f t="shared" ref="AF245:AL245" si="205">AF233</f>
        <v>413.33333333333331</v>
      </c>
      <c r="AG245" s="383">
        <f t="shared" si="205"/>
        <v>413.33333333333331</v>
      </c>
      <c r="AH245" s="383">
        <f t="shared" si="205"/>
        <v>413.33333333333331</v>
      </c>
      <c r="AI245" s="383">
        <f t="shared" si="205"/>
        <v>413.33333333333331</v>
      </c>
      <c r="AJ245" s="383">
        <f t="shared" si="205"/>
        <v>413.33333333333331</v>
      </c>
      <c r="AK245" s="383">
        <f t="shared" si="205"/>
        <v>413.33333333333331</v>
      </c>
      <c r="AL245" s="383">
        <f t="shared" si="205"/>
        <v>413.33333333333331</v>
      </c>
      <c r="AM245" s="651"/>
      <c r="AN245" s="83"/>
      <c r="AO245" s="83"/>
      <c r="CA245" s="477"/>
      <c r="CB245" s="478"/>
    </row>
    <row r="246" spans="1:80">
      <c r="A246" s="83"/>
      <c r="B246" s="95" t="s">
        <v>640</v>
      </c>
      <c r="C246" s="96"/>
      <c r="D246" s="162" t="s">
        <v>171</v>
      </c>
      <c r="E246" s="162"/>
      <c r="F246" s="83"/>
      <c r="G246" s="90">
        <v>256.89999999999998</v>
      </c>
      <c r="H246" s="90">
        <v>208.3</v>
      </c>
      <c r="I246" s="90">
        <v>241.8</v>
      </c>
      <c r="J246" s="90">
        <v>188.5</v>
      </c>
      <c r="K246" s="90">
        <v>376.8</v>
      </c>
      <c r="L246" s="91">
        <v>93</v>
      </c>
      <c r="M246" s="91">
        <v>116.4</v>
      </c>
      <c r="N246" s="91">
        <v>112</v>
      </c>
      <c r="O246" s="91">
        <v>92</v>
      </c>
      <c r="P246" s="90">
        <v>413.4</v>
      </c>
      <c r="Q246" s="91">
        <v>72.400000000000006</v>
      </c>
      <c r="R246" s="91">
        <v>76.599999999999994</v>
      </c>
      <c r="S246" s="91">
        <v>70.900000000000006</v>
      </c>
      <c r="T246" s="91">
        <v>83.8</v>
      </c>
      <c r="U246" s="621">
        <v>303.7</v>
      </c>
      <c r="V246" s="91">
        <v>108.9</v>
      </c>
      <c r="W246" s="91">
        <v>41</v>
      </c>
      <c r="X246" s="91">
        <v>115</v>
      </c>
      <c r="Y246" s="91">
        <v>158.4</v>
      </c>
      <c r="Z246" s="621">
        <v>423.3</v>
      </c>
      <c r="AA246" s="91">
        <v>119.7</v>
      </c>
      <c r="AB246" s="91">
        <v>112.5</v>
      </c>
      <c r="AC246" s="97">
        <f t="shared" si="204"/>
        <v>105.55555555555556</v>
      </c>
      <c r="AD246" s="97">
        <f t="shared" si="204"/>
        <v>94.489247311827953</v>
      </c>
      <c r="AE246" s="383">
        <f t="shared" si="204"/>
        <v>441.44480286738349</v>
      </c>
      <c r="AF246" s="383">
        <f t="shared" ref="AF246:AL246" si="206">AF234</f>
        <v>422.22222222222223</v>
      </c>
      <c r="AG246" s="383">
        <f t="shared" si="206"/>
        <v>422.22222222222223</v>
      </c>
      <c r="AH246" s="383">
        <f t="shared" si="206"/>
        <v>422.22222222222223</v>
      </c>
      <c r="AI246" s="383">
        <f t="shared" si="206"/>
        <v>422.22222222222223</v>
      </c>
      <c r="AJ246" s="383">
        <f t="shared" si="206"/>
        <v>422.22222222222223</v>
      </c>
      <c r="AK246" s="383">
        <f t="shared" si="206"/>
        <v>422.22222222222223</v>
      </c>
      <c r="AL246" s="383">
        <f t="shared" si="206"/>
        <v>422.22222222222223</v>
      </c>
      <c r="AM246" s="651"/>
      <c r="AN246" s="83"/>
      <c r="AO246" s="83"/>
      <c r="CA246" s="477"/>
      <c r="CB246" s="478"/>
    </row>
    <row r="247" spans="1:80">
      <c r="A247" s="83"/>
      <c r="B247" s="95" t="s">
        <v>639</v>
      </c>
      <c r="C247" s="96"/>
      <c r="D247" s="162" t="s">
        <v>532</v>
      </c>
      <c r="E247" s="162"/>
      <c r="F247" s="83"/>
      <c r="G247" s="85">
        <v>9.9</v>
      </c>
      <c r="H247" s="85">
        <v>4.0999999999999996</v>
      </c>
      <c r="I247" s="85">
        <v>4</v>
      </c>
      <c r="J247" s="85">
        <v>10.7</v>
      </c>
      <c r="K247" s="85">
        <v>5.7</v>
      </c>
      <c r="L247" s="622">
        <v>3.3</v>
      </c>
      <c r="M247" s="622">
        <v>2.6</v>
      </c>
      <c r="N247" s="86">
        <v>1.4</v>
      </c>
      <c r="O247" s="86">
        <v>3.6</v>
      </c>
      <c r="P247" s="90">
        <v>10.9</v>
      </c>
      <c r="Q247" s="91">
        <v>1.7</v>
      </c>
      <c r="R247" s="91">
        <v>0.9</v>
      </c>
      <c r="S247" s="86">
        <v>1.1000000000000001</v>
      </c>
      <c r="T247" s="622">
        <v>2.7</v>
      </c>
      <c r="U247" s="85">
        <v>6.4</v>
      </c>
      <c r="V247" s="91">
        <v>3.5</v>
      </c>
      <c r="W247" s="86">
        <v>1.5</v>
      </c>
      <c r="X247" s="86">
        <v>2.6</v>
      </c>
      <c r="Y247" s="622">
        <v>2.2999999999999998</v>
      </c>
      <c r="Z247" s="85">
        <v>9.9</v>
      </c>
      <c r="AA247" s="91">
        <v>1.3</v>
      </c>
      <c r="AB247" s="91">
        <v>1.8</v>
      </c>
      <c r="AC247" s="87">
        <f t="shared" si="204"/>
        <v>1.3333333333333333</v>
      </c>
      <c r="AD247" s="87">
        <f t="shared" si="204"/>
        <v>1.193548387096774</v>
      </c>
      <c r="AE247" s="231">
        <f t="shared" si="204"/>
        <v>5.0268817204301071</v>
      </c>
      <c r="AF247" s="231">
        <f t="shared" ref="AF247:AL247" si="207">AF235</f>
        <v>5.333333333333333</v>
      </c>
      <c r="AG247" s="231">
        <f t="shared" si="207"/>
        <v>5.333333333333333</v>
      </c>
      <c r="AH247" s="231">
        <f t="shared" si="207"/>
        <v>5.333333333333333</v>
      </c>
      <c r="AI247" s="231">
        <f t="shared" si="207"/>
        <v>5.333333333333333</v>
      </c>
      <c r="AJ247" s="231">
        <f t="shared" si="207"/>
        <v>5.333333333333333</v>
      </c>
      <c r="AK247" s="231">
        <f t="shared" si="207"/>
        <v>5.333333333333333</v>
      </c>
      <c r="AL247" s="231">
        <f t="shared" si="207"/>
        <v>5.333333333333333</v>
      </c>
      <c r="AM247" s="651"/>
      <c r="AN247" s="83"/>
      <c r="AO247" s="83"/>
      <c r="CA247" s="477"/>
      <c r="CB247" s="478"/>
    </row>
    <row r="248" spans="1:80">
      <c r="A248" s="83"/>
      <c r="B248" s="95"/>
      <c r="C248" s="96"/>
      <c r="D248" s="162"/>
      <c r="E248" s="162"/>
      <c r="F248" s="83"/>
      <c r="G248" s="95"/>
      <c r="H248" s="95"/>
      <c r="I248" s="95"/>
      <c r="J248" s="95"/>
      <c r="K248" s="95"/>
      <c r="L248" s="126"/>
      <c r="M248" s="126"/>
      <c r="N248" s="126"/>
      <c r="O248" s="126"/>
      <c r="P248" s="95"/>
      <c r="Q248" s="126"/>
      <c r="R248" s="126"/>
      <c r="S248" s="126"/>
      <c r="T248" s="126"/>
      <c r="U248" s="92"/>
      <c r="V248" s="126"/>
      <c r="W248" s="126"/>
      <c r="X248" s="126"/>
      <c r="Y248" s="126"/>
      <c r="Z248" s="92"/>
      <c r="AA248" s="126"/>
      <c r="AB248" s="126"/>
      <c r="AC248" s="126"/>
      <c r="AD248" s="126"/>
      <c r="AE248" s="92"/>
      <c r="AF248" s="83"/>
      <c r="AG248" s="83"/>
      <c r="AH248" s="83"/>
      <c r="AI248" s="83"/>
      <c r="AJ248" s="83"/>
      <c r="AK248" s="83"/>
      <c r="AL248" s="83"/>
      <c r="AM248" s="651"/>
      <c r="AN248" s="83"/>
      <c r="AO248" s="83"/>
      <c r="CA248" s="477"/>
      <c r="CB248" s="478"/>
    </row>
    <row r="249" spans="1:80">
      <c r="A249" s="83"/>
      <c r="B249" s="95"/>
      <c r="C249" s="96"/>
      <c r="D249" s="162"/>
      <c r="E249" s="162"/>
      <c r="F249" s="83"/>
      <c r="G249" s="95"/>
      <c r="H249" s="95"/>
      <c r="I249" s="95"/>
      <c r="J249" s="95"/>
      <c r="K249" s="95"/>
      <c r="L249" s="126"/>
      <c r="M249" s="126"/>
      <c r="N249" s="126"/>
      <c r="O249" s="126"/>
      <c r="P249" s="95"/>
      <c r="Q249" s="126"/>
      <c r="R249" s="126"/>
      <c r="S249" s="126"/>
      <c r="T249" s="126"/>
      <c r="U249" s="92"/>
      <c r="V249" s="126"/>
      <c r="W249" s="126"/>
      <c r="X249" s="126"/>
      <c r="Y249" s="126"/>
      <c r="Z249" s="92"/>
      <c r="AA249" s="126"/>
      <c r="AB249" s="126"/>
      <c r="AC249" s="126"/>
      <c r="AD249" s="126"/>
      <c r="AE249" s="92"/>
      <c r="AF249" s="83"/>
      <c r="AG249" s="83"/>
      <c r="AH249" s="83"/>
      <c r="AI249" s="83"/>
      <c r="AJ249" s="83"/>
      <c r="AK249" s="83"/>
      <c r="AL249" s="83"/>
      <c r="AM249" s="651"/>
      <c r="AN249" s="83"/>
      <c r="AO249" s="83"/>
      <c r="CA249" s="477"/>
      <c r="CB249" s="478"/>
    </row>
    <row r="250" spans="1:80">
      <c r="A250" s="83"/>
      <c r="B250" s="95"/>
      <c r="C250" s="96"/>
      <c r="D250" s="173" t="s">
        <v>662</v>
      </c>
      <c r="E250" s="653"/>
      <c r="F250" s="586"/>
      <c r="G250" s="605"/>
      <c r="H250" s="605"/>
      <c r="I250" s="605"/>
      <c r="J250" s="605"/>
      <c r="K250" s="605"/>
      <c r="L250" s="182"/>
      <c r="M250" s="182"/>
      <c r="N250" s="182"/>
      <c r="O250" s="182"/>
      <c r="P250" s="605"/>
      <c r="Q250" s="182"/>
      <c r="R250" s="182"/>
      <c r="S250" s="182"/>
      <c r="T250" s="182"/>
      <c r="U250" s="588"/>
      <c r="V250" s="182"/>
      <c r="W250" s="182"/>
      <c r="X250" s="182"/>
      <c r="Y250" s="182"/>
      <c r="Z250" s="588"/>
      <c r="AA250" s="182"/>
      <c r="AB250" s="182"/>
      <c r="AC250" s="182"/>
      <c r="AD250" s="182"/>
      <c r="AE250" s="588"/>
      <c r="AF250" s="586"/>
      <c r="AG250" s="586"/>
      <c r="AH250" s="586"/>
      <c r="AI250" s="586"/>
      <c r="AJ250" s="586"/>
      <c r="AK250" s="586"/>
      <c r="AL250" s="586"/>
      <c r="AM250" s="651"/>
      <c r="AN250" s="83"/>
      <c r="AO250" s="83"/>
      <c r="CA250" s="477"/>
      <c r="CB250" s="478"/>
    </row>
    <row r="251" spans="1:80">
      <c r="A251" s="83"/>
      <c r="B251" s="95" t="s">
        <v>640</v>
      </c>
      <c r="C251" s="96"/>
      <c r="D251" s="163" t="s">
        <v>146</v>
      </c>
      <c r="E251" s="162"/>
      <c r="F251" s="83"/>
      <c r="G251" s="130">
        <v>98</v>
      </c>
      <c r="H251" s="130">
        <v>78</v>
      </c>
      <c r="I251" s="130">
        <v>87</v>
      </c>
      <c r="J251" s="130">
        <v>95</v>
      </c>
      <c r="K251" s="130">
        <v>94</v>
      </c>
      <c r="L251" s="97">
        <f t="shared" ref="L251:O252" si="208">L245*0.225</f>
        <v>22.162500000000001</v>
      </c>
      <c r="M251" s="97">
        <f t="shared" si="208"/>
        <v>25.357500000000002</v>
      </c>
      <c r="N251" s="97">
        <f t="shared" si="208"/>
        <v>23.265000000000001</v>
      </c>
      <c r="O251" s="97">
        <f t="shared" si="208"/>
        <v>28.192499999999999</v>
      </c>
      <c r="P251" s="130">
        <v>99</v>
      </c>
      <c r="Q251" s="97">
        <f t="shared" ref="Q251:S252" si="209">Q245*0.225</f>
        <v>23.085000000000001</v>
      </c>
      <c r="R251" s="97">
        <f t="shared" si="209"/>
        <v>24.884999999999998</v>
      </c>
      <c r="S251" s="97">
        <f>S245*0.225</f>
        <v>22.905000000000001</v>
      </c>
      <c r="T251" s="97">
        <f>U251-Q251-R251-S251</f>
        <v>30.352499999999985</v>
      </c>
      <c r="U251" s="130">
        <f>U245*0.225</f>
        <v>101.22749999999999</v>
      </c>
      <c r="V251" s="97">
        <f>V245*0.225</f>
        <v>21.33</v>
      </c>
      <c r="W251" s="97">
        <f>W245*0.225</f>
        <v>12.6225</v>
      </c>
      <c r="X251" s="97">
        <f t="shared" ref="V251:X252" si="210">X245*0.225</f>
        <v>23.377500000000001</v>
      </c>
      <c r="Y251" s="97">
        <f>Y245*0.225</f>
        <v>28.125</v>
      </c>
      <c r="Z251" s="130">
        <f>Z245*0.225</f>
        <v>85.454999999999998</v>
      </c>
      <c r="AA251" s="97">
        <f>AA245*0.225</f>
        <v>21.892499999999998</v>
      </c>
      <c r="AB251" s="97">
        <f>AB245*0.225</f>
        <v>25.83</v>
      </c>
      <c r="AC251" s="97">
        <f t="shared" ref="AC251:AD253" si="211">AC245*0.225</f>
        <v>23.25</v>
      </c>
      <c r="AD251" s="97">
        <f t="shared" si="211"/>
        <v>20.812499999999996</v>
      </c>
      <c r="AE251" s="92">
        <f>AE238</f>
        <v>93</v>
      </c>
      <c r="AF251" s="92">
        <f t="shared" ref="AE251:AF253" si="212">AF238</f>
        <v>93</v>
      </c>
      <c r="AG251" s="92">
        <f t="shared" ref="AG251:AL251" si="213">AG238</f>
        <v>93</v>
      </c>
      <c r="AH251" s="92">
        <f t="shared" si="213"/>
        <v>93</v>
      </c>
      <c r="AI251" s="92">
        <f t="shared" si="213"/>
        <v>93</v>
      </c>
      <c r="AJ251" s="92">
        <f t="shared" si="213"/>
        <v>93</v>
      </c>
      <c r="AK251" s="92">
        <f t="shared" si="213"/>
        <v>93</v>
      </c>
      <c r="AL251" s="92">
        <f t="shared" si="213"/>
        <v>93</v>
      </c>
      <c r="AM251" s="651"/>
      <c r="AN251" s="83"/>
      <c r="AO251" s="83"/>
      <c r="CA251" s="477"/>
      <c r="CB251" s="478"/>
    </row>
    <row r="252" spans="1:80">
      <c r="A252" s="83"/>
      <c r="B252" s="95" t="s">
        <v>640</v>
      </c>
      <c r="C252" s="96"/>
      <c r="D252" s="162" t="s">
        <v>171</v>
      </c>
      <c r="E252" s="162"/>
      <c r="F252" s="83"/>
      <c r="G252" s="130">
        <v>74</v>
      </c>
      <c r="H252" s="130">
        <v>63</v>
      </c>
      <c r="I252" s="130">
        <v>62</v>
      </c>
      <c r="J252" s="130">
        <v>43</v>
      </c>
      <c r="K252" s="130">
        <v>85</v>
      </c>
      <c r="L252" s="97">
        <f t="shared" si="208"/>
        <v>20.925000000000001</v>
      </c>
      <c r="M252" s="97">
        <f t="shared" si="208"/>
        <v>26.19</v>
      </c>
      <c r="N252" s="97">
        <f t="shared" si="208"/>
        <v>25.2</v>
      </c>
      <c r="O252" s="97">
        <f t="shared" si="208"/>
        <v>20.7</v>
      </c>
      <c r="P252" s="130">
        <v>93</v>
      </c>
      <c r="Q252" s="97">
        <f t="shared" si="209"/>
        <v>16.290000000000003</v>
      </c>
      <c r="R252" s="97">
        <f t="shared" si="209"/>
        <v>17.234999999999999</v>
      </c>
      <c r="S252" s="97">
        <f t="shared" si="209"/>
        <v>15.952500000000002</v>
      </c>
      <c r="T252" s="97">
        <f>T246*0.225</f>
        <v>18.855</v>
      </c>
      <c r="U252" s="130">
        <f t="shared" ref="U252" si="214">U246*0.225</f>
        <v>68.332499999999996</v>
      </c>
      <c r="V252" s="97">
        <f t="shared" si="210"/>
        <v>24.502500000000001</v>
      </c>
      <c r="W252" s="97">
        <f t="shared" si="210"/>
        <v>9.2249999999999996</v>
      </c>
      <c r="X252" s="97">
        <f t="shared" si="210"/>
        <v>25.875</v>
      </c>
      <c r="Y252" s="97">
        <f>Y246*0.225</f>
        <v>35.64</v>
      </c>
      <c r="Z252" s="130">
        <f t="shared" ref="Z252:AA253" si="215">Z246*0.225</f>
        <v>95.242500000000007</v>
      </c>
      <c r="AA252" s="97">
        <f t="shared" si="215"/>
        <v>26.932500000000001</v>
      </c>
      <c r="AB252" s="97">
        <f>AB246*0.225</f>
        <v>25.3125</v>
      </c>
      <c r="AC252" s="97">
        <f t="shared" si="211"/>
        <v>23.75</v>
      </c>
      <c r="AD252" s="97">
        <f t="shared" si="211"/>
        <v>21.260080645161288</v>
      </c>
      <c r="AE252" s="92">
        <f t="shared" si="212"/>
        <v>95</v>
      </c>
      <c r="AF252" s="92">
        <f t="shared" si="212"/>
        <v>95</v>
      </c>
      <c r="AG252" s="92">
        <f t="shared" ref="AG252:AL252" si="216">AG239</f>
        <v>95</v>
      </c>
      <c r="AH252" s="92">
        <f t="shared" si="216"/>
        <v>95</v>
      </c>
      <c r="AI252" s="92">
        <f t="shared" si="216"/>
        <v>95</v>
      </c>
      <c r="AJ252" s="92">
        <f t="shared" si="216"/>
        <v>95</v>
      </c>
      <c r="AK252" s="92">
        <f t="shared" si="216"/>
        <v>95</v>
      </c>
      <c r="AL252" s="92">
        <f t="shared" si="216"/>
        <v>95</v>
      </c>
      <c r="AM252" s="651"/>
      <c r="AN252" s="83"/>
      <c r="AO252" s="83"/>
      <c r="CA252" s="477"/>
      <c r="CB252" s="478"/>
    </row>
    <row r="253" spans="1:80">
      <c r="A253" s="83"/>
      <c r="B253" s="95" t="s">
        <v>639</v>
      </c>
      <c r="C253" s="96"/>
      <c r="D253" s="162" t="s">
        <v>532</v>
      </c>
      <c r="E253" s="162"/>
      <c r="F253" s="83"/>
      <c r="G253" s="93">
        <f>G247*0.225</f>
        <v>2.2275</v>
      </c>
      <c r="H253" s="93">
        <f t="shared" ref="H253:V253" si="217">H247*0.225</f>
        <v>0.92249999999999999</v>
      </c>
      <c r="I253" s="93">
        <f t="shared" si="217"/>
        <v>0.9</v>
      </c>
      <c r="J253" s="93">
        <f t="shared" si="217"/>
        <v>2.4074999999999998</v>
      </c>
      <c r="K253" s="93">
        <f t="shared" si="217"/>
        <v>1.2825</v>
      </c>
      <c r="L253" s="87">
        <f t="shared" si="217"/>
        <v>0.74249999999999994</v>
      </c>
      <c r="M253" s="87">
        <f t="shared" si="217"/>
        <v>0.58500000000000008</v>
      </c>
      <c r="N253" s="87">
        <f t="shared" si="217"/>
        <v>0.315</v>
      </c>
      <c r="O253" s="87">
        <f t="shared" si="217"/>
        <v>0.81</v>
      </c>
      <c r="P253" s="93">
        <f t="shared" si="217"/>
        <v>2.4525000000000001</v>
      </c>
      <c r="Q253" s="87">
        <f t="shared" si="217"/>
        <v>0.38250000000000001</v>
      </c>
      <c r="R253" s="87">
        <f t="shared" si="217"/>
        <v>0.20250000000000001</v>
      </c>
      <c r="S253" s="87">
        <f t="shared" si="217"/>
        <v>0.24750000000000003</v>
      </c>
      <c r="T253" s="87">
        <f t="shared" si="217"/>
        <v>0.60750000000000004</v>
      </c>
      <c r="U253" s="656">
        <f t="shared" ref="U253" si="218">U247*0.225</f>
        <v>1.4400000000000002</v>
      </c>
      <c r="V253" s="87">
        <f t="shared" si="217"/>
        <v>0.78749999999999998</v>
      </c>
      <c r="W253" s="87">
        <f>W247*0.225</f>
        <v>0.33750000000000002</v>
      </c>
      <c r="X253" s="87">
        <f>X247*0.225</f>
        <v>0.58500000000000008</v>
      </c>
      <c r="Y253" s="87">
        <f>Y247*0.225</f>
        <v>0.51749999999999996</v>
      </c>
      <c r="Z253" s="656">
        <f t="shared" si="215"/>
        <v>2.2275</v>
      </c>
      <c r="AA253" s="87">
        <f t="shared" si="215"/>
        <v>0.29250000000000004</v>
      </c>
      <c r="AB253" s="87">
        <f>AB247*0.225</f>
        <v>0.40500000000000003</v>
      </c>
      <c r="AC253" s="87">
        <f t="shared" si="211"/>
        <v>0.3</v>
      </c>
      <c r="AD253" s="87">
        <f t="shared" si="211"/>
        <v>0.26854838709677414</v>
      </c>
      <c r="AE253" s="92">
        <f t="shared" si="212"/>
        <v>1.2</v>
      </c>
      <c r="AF253" s="92">
        <f t="shared" si="212"/>
        <v>1.2</v>
      </c>
      <c r="AG253" s="92">
        <f t="shared" ref="AG253:AL253" si="219">AG240</f>
        <v>1.2</v>
      </c>
      <c r="AH253" s="92">
        <f t="shared" si="219"/>
        <v>1.2</v>
      </c>
      <c r="AI253" s="92">
        <f t="shared" si="219"/>
        <v>1.2</v>
      </c>
      <c r="AJ253" s="92">
        <f t="shared" si="219"/>
        <v>1.2</v>
      </c>
      <c r="AK253" s="92">
        <f t="shared" si="219"/>
        <v>1.2</v>
      </c>
      <c r="AL253" s="92">
        <f t="shared" si="219"/>
        <v>1.2</v>
      </c>
      <c r="AM253" s="651"/>
      <c r="AN253" s="83"/>
      <c r="AO253" s="83"/>
      <c r="CA253" s="477"/>
      <c r="CB253" s="478"/>
    </row>
    <row r="254" spans="1:80">
      <c r="A254" s="83"/>
      <c r="B254" s="95"/>
      <c r="C254" s="96"/>
      <c r="D254" s="162"/>
      <c r="E254" s="162"/>
      <c r="F254" s="83"/>
      <c r="G254" s="95"/>
      <c r="H254" s="95"/>
      <c r="I254" s="95"/>
      <c r="J254" s="95"/>
      <c r="K254" s="95"/>
      <c r="L254" s="126"/>
      <c r="M254" s="126"/>
      <c r="N254" s="126"/>
      <c r="O254" s="126"/>
      <c r="P254" s="95"/>
      <c r="Q254" s="126"/>
      <c r="R254" s="126"/>
      <c r="S254" s="126"/>
      <c r="T254" s="126"/>
      <c r="U254" s="92"/>
      <c r="V254" s="126"/>
      <c r="W254" s="126"/>
      <c r="X254" s="126"/>
      <c r="Y254" s="126"/>
      <c r="Z254" s="92"/>
      <c r="AA254" s="126"/>
      <c r="AB254" s="126"/>
      <c r="AC254" s="126"/>
      <c r="AD254" s="126"/>
      <c r="AE254" s="92"/>
      <c r="AF254" s="83"/>
      <c r="AG254" s="83"/>
      <c r="AH254" s="83"/>
      <c r="AI254" s="83"/>
      <c r="AJ254" s="83"/>
      <c r="AK254" s="83"/>
      <c r="AL254" s="83"/>
      <c r="AM254" s="651"/>
      <c r="AN254" s="83"/>
      <c r="AO254" s="83"/>
      <c r="CA254" s="477"/>
      <c r="CB254" s="478"/>
    </row>
    <row r="255" spans="1:80">
      <c r="A255" s="83"/>
      <c r="B255" s="95"/>
      <c r="C255" s="96"/>
      <c r="D255" s="162"/>
      <c r="E255" s="162"/>
      <c r="F255" s="83"/>
      <c r="G255" s="95"/>
      <c r="H255" s="95"/>
      <c r="I255" s="95"/>
      <c r="J255" s="95"/>
      <c r="K255" s="95"/>
      <c r="L255" s="126"/>
      <c r="M255" s="126"/>
      <c r="N255" s="126"/>
      <c r="O255" s="126"/>
      <c r="P255" s="95"/>
      <c r="Q255" s="126"/>
      <c r="R255" s="126"/>
      <c r="S255" s="126"/>
      <c r="T255" s="126"/>
      <c r="U255" s="92"/>
      <c r="V255" s="126"/>
      <c r="W255" s="126"/>
      <c r="X255" s="126"/>
      <c r="Y255" s="126"/>
      <c r="Z255" s="92"/>
      <c r="AA255" s="126"/>
      <c r="AB255" s="126"/>
      <c r="AC255" s="126"/>
      <c r="AD255" s="126"/>
      <c r="AE255" s="92"/>
      <c r="AF255" s="83"/>
      <c r="AG255" s="83"/>
      <c r="AH255" s="83"/>
      <c r="AI255" s="83"/>
      <c r="AJ255" s="83"/>
      <c r="AK255" s="83"/>
      <c r="AL255" s="83"/>
      <c r="AM255" s="651"/>
      <c r="AN255" s="83"/>
      <c r="AO255" s="83"/>
      <c r="CA255" s="477"/>
      <c r="CB255" s="478"/>
    </row>
    <row r="256" spans="1:80">
      <c r="A256" s="83"/>
      <c r="B256" s="95"/>
      <c r="C256" s="96"/>
      <c r="D256" s="173" t="s">
        <v>725</v>
      </c>
      <c r="E256" s="653"/>
      <c r="F256" s="586"/>
      <c r="G256" s="605"/>
      <c r="H256" s="605"/>
      <c r="I256" s="605"/>
      <c r="J256" s="605"/>
      <c r="K256" s="605"/>
      <c r="L256" s="182"/>
      <c r="M256" s="182"/>
      <c r="N256" s="182"/>
      <c r="O256" s="182"/>
      <c r="P256" s="605"/>
      <c r="Q256" s="182"/>
      <c r="R256" s="182"/>
      <c r="S256" s="182"/>
      <c r="T256" s="182"/>
      <c r="U256" s="588"/>
      <c r="V256" s="182"/>
      <c r="W256" s="182"/>
      <c r="X256" s="182"/>
      <c r="Y256" s="182"/>
      <c r="Z256" s="588"/>
      <c r="AA256" s="182"/>
      <c r="AB256" s="182"/>
      <c r="AC256" s="182"/>
      <c r="AD256" s="182"/>
      <c r="AE256" s="588"/>
      <c r="AF256" s="586"/>
      <c r="AG256" s="586"/>
      <c r="AH256" s="586"/>
      <c r="AI256" s="586"/>
      <c r="AJ256" s="586"/>
      <c r="AK256" s="586"/>
      <c r="AL256" s="586"/>
      <c r="AM256" s="651"/>
      <c r="AN256" s="83"/>
      <c r="AO256" s="83"/>
      <c r="CA256" s="477"/>
      <c r="CB256" s="478"/>
    </row>
    <row r="257" spans="1:80">
      <c r="A257" s="83"/>
      <c r="B257" s="95" t="s">
        <v>618</v>
      </c>
      <c r="C257" s="96"/>
      <c r="D257" s="163" t="s">
        <v>146</v>
      </c>
      <c r="E257" s="162"/>
      <c r="F257" s="83"/>
      <c r="G257" s="170">
        <f t="shared" ref="G257:W257" si="220">G16</f>
        <v>3.32</v>
      </c>
      <c r="H257" s="170">
        <f t="shared" si="220"/>
        <v>3.11</v>
      </c>
      <c r="I257" s="170">
        <f t="shared" si="220"/>
        <v>2.4900000000000002</v>
      </c>
      <c r="J257" s="170">
        <f t="shared" si="220"/>
        <v>2.21</v>
      </c>
      <c r="K257" s="170">
        <f t="shared" si="220"/>
        <v>2.8</v>
      </c>
      <c r="L257" s="171">
        <f t="shared" si="220"/>
        <v>3.16</v>
      </c>
      <c r="M257" s="171">
        <f t="shared" si="220"/>
        <v>3.12</v>
      </c>
      <c r="N257" s="171">
        <f t="shared" si="220"/>
        <v>2.77</v>
      </c>
      <c r="O257" s="171">
        <f t="shared" si="220"/>
        <v>2.8</v>
      </c>
      <c r="P257" s="170">
        <f t="shared" si="220"/>
        <v>2.96</v>
      </c>
      <c r="Q257" s="171">
        <f t="shared" si="220"/>
        <v>2.82</v>
      </c>
      <c r="R257" s="171">
        <f t="shared" si="220"/>
        <v>2.77</v>
      </c>
      <c r="S257" s="171">
        <f t="shared" si="220"/>
        <v>2.63</v>
      </c>
      <c r="T257" s="171">
        <f t="shared" si="220"/>
        <v>2.67</v>
      </c>
      <c r="U257" s="170">
        <f t="shared" si="220"/>
        <v>2.72</v>
      </c>
      <c r="V257" s="171">
        <f t="shared" si="220"/>
        <v>2.5567456964982314</v>
      </c>
      <c r="W257" s="171">
        <f t="shared" si="220"/>
        <v>2.4255515593495116</v>
      </c>
      <c r="X257" s="171">
        <f t="shared" ref="X257:AE257" si="221">X16</f>
        <v>2.953751659752748</v>
      </c>
      <c r="Y257" s="171">
        <f t="shared" si="221"/>
        <v>3.250681813027307</v>
      </c>
      <c r="Z257" s="170">
        <f t="shared" si="221"/>
        <v>2.7966826821569493</v>
      </c>
      <c r="AA257" s="171">
        <f t="shared" si="221"/>
        <v>3.8572270965902482</v>
      </c>
      <c r="AB257" s="171">
        <f t="shared" si="221"/>
        <v>4.393529804250937</v>
      </c>
      <c r="AC257" s="171">
        <f t="shared" si="221"/>
        <v>4.1730926245123836</v>
      </c>
      <c r="AD257" s="171">
        <f t="shared" si="221"/>
        <v>4.1730926245123836</v>
      </c>
      <c r="AE257" s="170">
        <f t="shared" si="221"/>
        <v>4.1730926245123836</v>
      </c>
      <c r="AF257" s="170">
        <f t="shared" ref="AF257:AL257" si="222">AF16</f>
        <v>4.3148820326678763</v>
      </c>
      <c r="AG257" s="170">
        <f t="shared" si="222"/>
        <v>4.3148820326678763</v>
      </c>
      <c r="AH257" s="170">
        <f t="shared" si="222"/>
        <v>4.3148820326678763</v>
      </c>
      <c r="AI257" s="170">
        <f t="shared" si="222"/>
        <v>3.8688787081556746</v>
      </c>
      <c r="AJ257" s="170">
        <f t="shared" si="222"/>
        <v>3.8688787081556746</v>
      </c>
      <c r="AK257" s="170">
        <f t="shared" si="222"/>
        <v>3.8688787081556746</v>
      </c>
      <c r="AL257" s="170">
        <f t="shared" si="222"/>
        <v>3.8688787081556746</v>
      </c>
      <c r="AM257" s="651"/>
      <c r="AN257" s="83"/>
      <c r="AO257" s="83"/>
      <c r="CA257" s="477"/>
      <c r="CB257" s="478"/>
    </row>
    <row r="258" spans="1:80">
      <c r="A258" s="83"/>
      <c r="B258" s="95" t="s">
        <v>618</v>
      </c>
      <c r="C258" s="96"/>
      <c r="D258" s="163" t="s">
        <v>171</v>
      </c>
      <c r="E258" s="162"/>
      <c r="F258" s="83"/>
      <c r="G258" s="170">
        <f t="shared" ref="G258:W258" si="223">G18</f>
        <v>0.87</v>
      </c>
      <c r="H258" s="170">
        <f t="shared" si="223"/>
        <v>0.98</v>
      </c>
      <c r="I258" s="170">
        <f t="shared" si="223"/>
        <v>0.87</v>
      </c>
      <c r="J258" s="170">
        <f t="shared" si="223"/>
        <v>0.95</v>
      </c>
      <c r="K258" s="170">
        <f t="shared" si="223"/>
        <v>1.31</v>
      </c>
      <c r="L258" s="171">
        <f t="shared" si="223"/>
        <v>1.55</v>
      </c>
      <c r="M258" s="171">
        <f t="shared" si="223"/>
        <v>1.41</v>
      </c>
      <c r="N258" s="171">
        <f t="shared" si="223"/>
        <v>1.1499999999999999</v>
      </c>
      <c r="O258" s="171">
        <f t="shared" si="223"/>
        <v>1.19</v>
      </c>
      <c r="P258" s="170">
        <f t="shared" si="223"/>
        <v>1.33</v>
      </c>
      <c r="Q258" s="171">
        <f t="shared" si="223"/>
        <v>1.23</v>
      </c>
      <c r="R258" s="171">
        <f t="shared" si="223"/>
        <v>1.25</v>
      </c>
      <c r="S258" s="171">
        <f t="shared" si="223"/>
        <v>1.07</v>
      </c>
      <c r="T258" s="171">
        <f t="shared" si="223"/>
        <v>1.08</v>
      </c>
      <c r="U258" s="170">
        <f t="shared" si="223"/>
        <v>1.1599999999999999</v>
      </c>
      <c r="V258" s="171">
        <f t="shared" si="223"/>
        <v>0.96526155538419667</v>
      </c>
      <c r="W258" s="171">
        <f t="shared" si="223"/>
        <v>0.888955058777395</v>
      </c>
      <c r="X258" s="171">
        <f t="shared" ref="X258:AE258" si="224">X18</f>
        <v>1.0572625007216312</v>
      </c>
      <c r="Y258" s="171">
        <f t="shared" si="224"/>
        <v>1.1921592919350448</v>
      </c>
      <c r="Z258" s="170">
        <f t="shared" si="224"/>
        <v>1.025909601704567</v>
      </c>
      <c r="AA258" s="171">
        <f t="shared" si="224"/>
        <v>1.2472190182432403</v>
      </c>
      <c r="AB258" s="171">
        <f t="shared" si="224"/>
        <v>1.3218622060032832</v>
      </c>
      <c r="AC258" s="171">
        <f t="shared" si="224"/>
        <v>1.2700716683298559</v>
      </c>
      <c r="AD258" s="171">
        <f t="shared" si="224"/>
        <v>1.2700716683298559</v>
      </c>
      <c r="AE258" s="170">
        <f t="shared" si="224"/>
        <v>1.2700716683298559</v>
      </c>
      <c r="AF258" s="170">
        <f t="shared" ref="AF258:AL258" si="225">AF18</f>
        <v>1.4065335753176043</v>
      </c>
      <c r="AG258" s="170">
        <f t="shared" si="225"/>
        <v>1.4972776769509981</v>
      </c>
      <c r="AH258" s="170">
        <f t="shared" si="225"/>
        <v>1.4519056261343013</v>
      </c>
      <c r="AI258" s="170">
        <f t="shared" si="225"/>
        <v>1.3611615245009074</v>
      </c>
      <c r="AJ258" s="170">
        <f t="shared" si="225"/>
        <v>1.1567449877528804</v>
      </c>
      <c r="AK258" s="170">
        <f t="shared" si="225"/>
        <v>1.1567449877528804</v>
      </c>
      <c r="AL258" s="170">
        <f t="shared" si="225"/>
        <v>1.1567449877528804</v>
      </c>
      <c r="AM258" s="651"/>
      <c r="AN258" s="83"/>
      <c r="AO258" s="83"/>
      <c r="CA258" s="477"/>
      <c r="CB258" s="478"/>
    </row>
    <row r="259" spans="1:80">
      <c r="A259" s="83"/>
      <c r="B259" s="95" t="s">
        <v>618</v>
      </c>
      <c r="C259" s="96"/>
      <c r="D259" s="163" t="s">
        <v>532</v>
      </c>
      <c r="E259" s="162"/>
      <c r="F259" s="83"/>
      <c r="G259" s="170">
        <f t="shared" ref="G259:W259" si="226">G17</f>
        <v>10.352399999999999</v>
      </c>
      <c r="H259" s="170">
        <f t="shared" si="226"/>
        <v>11.447800000000001</v>
      </c>
      <c r="I259" s="170">
        <f t="shared" si="226"/>
        <v>6.6521999999999997</v>
      </c>
      <c r="J259" s="170">
        <f t="shared" si="226"/>
        <v>6.5213999999999999</v>
      </c>
      <c r="K259" s="170">
        <f t="shared" si="226"/>
        <v>8.1874000000000002</v>
      </c>
      <c r="L259" s="171">
        <f t="shared" si="226"/>
        <v>12.2052</v>
      </c>
      <c r="M259" s="171">
        <f t="shared" si="226"/>
        <v>11.634</v>
      </c>
      <c r="N259" s="171">
        <f t="shared" si="226"/>
        <v>11.803800000000001</v>
      </c>
      <c r="O259" s="171">
        <f t="shared" si="226"/>
        <v>12.038500000000001</v>
      </c>
      <c r="P259" s="170">
        <f t="shared" si="226"/>
        <v>11.9152</v>
      </c>
      <c r="Q259" s="171">
        <f t="shared" si="226"/>
        <v>11.779199999999999</v>
      </c>
      <c r="R259" s="171">
        <f t="shared" si="226"/>
        <v>12.199</v>
      </c>
      <c r="S259" s="171">
        <f t="shared" si="226"/>
        <v>11.8269</v>
      </c>
      <c r="T259" s="171">
        <f t="shared" si="226"/>
        <v>9.6753999999999998</v>
      </c>
      <c r="U259" s="170">
        <f t="shared" si="226"/>
        <v>11.3955</v>
      </c>
      <c r="V259" s="171">
        <f t="shared" si="226"/>
        <v>9.6760000000000002</v>
      </c>
      <c r="W259" s="171">
        <f t="shared" si="226"/>
        <v>8.3416999999999994</v>
      </c>
      <c r="X259" s="171">
        <f t="shared" ref="X259:AE259" si="227">X17</f>
        <v>7.6525999999999996</v>
      </c>
      <c r="Y259" s="171">
        <f t="shared" si="227"/>
        <v>8.8781999999999996</v>
      </c>
      <c r="Z259" s="170">
        <f t="shared" si="227"/>
        <v>8.6371249999999993</v>
      </c>
      <c r="AA259" s="171">
        <f t="shared" si="227"/>
        <v>11.369199999999999</v>
      </c>
      <c r="AB259" s="171">
        <f t="shared" si="227"/>
        <v>14.206300000000001</v>
      </c>
      <c r="AC259" s="171">
        <f t="shared" si="227"/>
        <v>20</v>
      </c>
      <c r="AD259" s="171">
        <f t="shared" si="227"/>
        <v>20</v>
      </c>
      <c r="AE259" s="170">
        <f t="shared" si="227"/>
        <v>20</v>
      </c>
      <c r="AF259" s="170">
        <f t="shared" ref="AF259:AL259" si="228">AF17</f>
        <v>20</v>
      </c>
      <c r="AG259" s="170">
        <f t="shared" si="228"/>
        <v>20</v>
      </c>
      <c r="AH259" s="170">
        <f t="shared" si="228"/>
        <v>20</v>
      </c>
      <c r="AI259" s="170">
        <f t="shared" si="228"/>
        <v>20</v>
      </c>
      <c r="AJ259" s="170">
        <f t="shared" si="228"/>
        <v>20</v>
      </c>
      <c r="AK259" s="170">
        <f t="shared" si="228"/>
        <v>20</v>
      </c>
      <c r="AL259" s="170">
        <f t="shared" si="228"/>
        <v>20</v>
      </c>
      <c r="AM259" s="651"/>
      <c r="AN259" s="83"/>
      <c r="AO259" s="83"/>
      <c r="CA259" s="477"/>
      <c r="CB259" s="478"/>
    </row>
    <row r="260" spans="1:80">
      <c r="A260" s="83"/>
      <c r="B260" s="95" t="s">
        <v>619</v>
      </c>
      <c r="C260" s="96"/>
      <c r="D260" s="163" t="s">
        <v>620</v>
      </c>
      <c r="E260" s="162"/>
      <c r="F260" s="83"/>
      <c r="G260" s="170">
        <f t="shared" ref="G260:W260" si="229">G23</f>
        <v>1.03</v>
      </c>
      <c r="H260" s="170">
        <f t="shared" si="229"/>
        <v>1.1046</v>
      </c>
      <c r="I260" s="170">
        <f t="shared" si="229"/>
        <v>1.2789999999999999</v>
      </c>
      <c r="J260" s="170">
        <f t="shared" si="229"/>
        <v>1.3248</v>
      </c>
      <c r="K260" s="170">
        <f t="shared" si="229"/>
        <v>1.2982</v>
      </c>
      <c r="L260" s="171">
        <f t="shared" si="229"/>
        <v>1.2647999999999999</v>
      </c>
      <c r="M260" s="171">
        <f t="shared" si="229"/>
        <v>1.2907999999999999</v>
      </c>
      <c r="N260" s="171">
        <f t="shared" si="229"/>
        <v>1.3068</v>
      </c>
      <c r="O260" s="171">
        <f t="shared" si="229"/>
        <v>1.3218000000000001</v>
      </c>
      <c r="P260" s="170">
        <f t="shared" si="229"/>
        <v>1.2961</v>
      </c>
      <c r="Q260" s="171">
        <f t="shared" si="229"/>
        <v>1.3295999999999999</v>
      </c>
      <c r="R260" s="171">
        <f t="shared" si="229"/>
        <v>1.3376999999999999</v>
      </c>
      <c r="S260" s="171">
        <f t="shared" si="229"/>
        <v>1.3204</v>
      </c>
      <c r="T260" s="171">
        <f t="shared" si="229"/>
        <v>1.3198000000000001</v>
      </c>
      <c r="U260" s="170">
        <f t="shared" si="229"/>
        <v>1.3268</v>
      </c>
      <c r="V260" s="171">
        <f t="shared" si="229"/>
        <v>1.3436999999999999</v>
      </c>
      <c r="W260" s="171">
        <f t="shared" si="229"/>
        <v>1.3858999999999999</v>
      </c>
      <c r="X260" s="171">
        <f t="shared" ref="X260:AE260" si="230">X23</f>
        <v>1.3326</v>
      </c>
      <c r="Y260" s="171">
        <f t="shared" si="230"/>
        <v>1.3027</v>
      </c>
      <c r="Z260" s="170">
        <f t="shared" si="230"/>
        <v>1.3412249999999999</v>
      </c>
      <c r="AA260" s="171">
        <f t="shared" si="230"/>
        <v>1.266</v>
      </c>
      <c r="AB260" s="171">
        <f t="shared" si="230"/>
        <v>1.2287999999999999</v>
      </c>
      <c r="AC260" s="171">
        <f t="shared" si="230"/>
        <v>1.24</v>
      </c>
      <c r="AD260" s="171">
        <f t="shared" si="230"/>
        <v>1.24</v>
      </c>
      <c r="AE260" s="170">
        <f t="shared" si="230"/>
        <v>1.24</v>
      </c>
      <c r="AF260" s="170">
        <f t="shared" ref="AF260:AL260" si="231">AF23</f>
        <v>1.22</v>
      </c>
      <c r="AG260" s="170">
        <f t="shared" si="231"/>
        <v>1.22</v>
      </c>
      <c r="AH260" s="170">
        <f t="shared" si="231"/>
        <v>1.23</v>
      </c>
      <c r="AI260" s="170">
        <f t="shared" si="231"/>
        <v>1.23</v>
      </c>
      <c r="AJ260" s="170">
        <f t="shared" si="231"/>
        <v>1.23</v>
      </c>
      <c r="AK260" s="170">
        <f t="shared" si="231"/>
        <v>1.23</v>
      </c>
      <c r="AL260" s="170">
        <f t="shared" si="231"/>
        <v>1.23</v>
      </c>
      <c r="AM260" s="651"/>
      <c r="AN260" s="83"/>
      <c r="AO260" s="83"/>
      <c r="CA260" s="477"/>
      <c r="CB260" s="478"/>
    </row>
    <row r="261" spans="1:80">
      <c r="A261" s="83"/>
      <c r="B261" s="95"/>
      <c r="C261" s="96"/>
      <c r="D261" s="163"/>
      <c r="E261" s="162"/>
      <c r="F261" s="83"/>
      <c r="G261" s="170"/>
      <c r="H261" s="170"/>
      <c r="I261" s="170"/>
      <c r="J261" s="170"/>
      <c r="K261" s="170"/>
      <c r="L261" s="171"/>
      <c r="M261" s="171"/>
      <c r="N261" s="171"/>
      <c r="O261" s="171"/>
      <c r="P261" s="170"/>
      <c r="Q261" s="171"/>
      <c r="R261" s="171"/>
      <c r="S261" s="171"/>
      <c r="T261" s="171"/>
      <c r="U261" s="170"/>
      <c r="V261" s="171"/>
      <c r="W261" s="171"/>
      <c r="X261" s="171"/>
      <c r="Y261" s="171"/>
      <c r="Z261" s="92"/>
      <c r="AA261" s="171"/>
      <c r="AB261" s="171"/>
      <c r="AC261" s="171"/>
      <c r="AD261" s="171"/>
      <c r="AE261" s="92"/>
      <c r="AF261" s="83"/>
      <c r="AG261" s="83"/>
      <c r="AH261" s="83"/>
      <c r="AI261" s="83"/>
      <c r="AJ261" s="83"/>
      <c r="AK261" s="83"/>
      <c r="AL261" s="83"/>
      <c r="AM261" s="651"/>
      <c r="AN261" s="83"/>
      <c r="AO261" s="83"/>
      <c r="CA261" s="477"/>
      <c r="CB261" s="478"/>
    </row>
    <row r="262" spans="1:80">
      <c r="A262" s="83"/>
      <c r="B262" s="95"/>
      <c r="C262" s="96"/>
      <c r="D262" s="163"/>
      <c r="E262" s="162"/>
      <c r="F262" s="83"/>
      <c r="G262" s="170"/>
      <c r="H262" s="170"/>
      <c r="I262" s="170"/>
      <c r="J262" s="170"/>
      <c r="K262" s="170"/>
      <c r="L262" s="171"/>
      <c r="M262" s="171"/>
      <c r="N262" s="171"/>
      <c r="O262" s="171"/>
      <c r="P262" s="170"/>
      <c r="Q262" s="171"/>
      <c r="R262" s="171"/>
      <c r="S262" s="171"/>
      <c r="T262" s="171"/>
      <c r="U262" s="170"/>
      <c r="V262" s="171"/>
      <c r="W262" s="171"/>
      <c r="X262" s="171"/>
      <c r="Y262" s="171"/>
      <c r="Z262" s="92"/>
      <c r="AA262" s="171"/>
      <c r="AB262" s="171"/>
      <c r="AC262" s="171"/>
      <c r="AD262" s="171"/>
      <c r="AE262" s="92"/>
      <c r="AF262" s="83"/>
      <c r="AG262" s="83"/>
      <c r="AH262" s="83"/>
      <c r="AI262" s="83"/>
      <c r="AJ262" s="83"/>
      <c r="AK262" s="83"/>
      <c r="AL262" s="83"/>
      <c r="AM262" s="651"/>
      <c r="AN262" s="83"/>
      <c r="AO262" s="83"/>
      <c r="CA262" s="477"/>
      <c r="CB262" s="478"/>
    </row>
    <row r="263" spans="1:80">
      <c r="A263" s="83"/>
      <c r="B263" s="95"/>
      <c r="C263" s="96"/>
      <c r="D263" s="163"/>
      <c r="E263" s="162"/>
      <c r="F263" s="83"/>
      <c r="G263" s="170"/>
      <c r="H263" s="170"/>
      <c r="I263" s="170"/>
      <c r="J263" s="170"/>
      <c r="K263" s="170"/>
      <c r="L263" s="171"/>
      <c r="M263" s="171"/>
      <c r="N263" s="171"/>
      <c r="O263" s="171"/>
      <c r="P263" s="170"/>
      <c r="Q263" s="171"/>
      <c r="R263" s="171"/>
      <c r="S263" s="171"/>
      <c r="T263" s="171"/>
      <c r="U263" s="170"/>
      <c r="V263" s="171"/>
      <c r="W263" s="171"/>
      <c r="X263" s="171"/>
      <c r="Y263" s="171"/>
      <c r="Z263" s="92"/>
      <c r="AA263" s="171"/>
      <c r="AB263" s="171"/>
      <c r="AC263" s="171"/>
      <c r="AD263" s="171"/>
      <c r="AE263" s="92"/>
      <c r="AF263" s="83"/>
      <c r="AG263" s="83"/>
      <c r="AH263" s="83"/>
      <c r="AI263" s="83"/>
      <c r="AJ263" s="83"/>
      <c r="AK263" s="83"/>
      <c r="AL263" s="83"/>
      <c r="AM263" s="651"/>
      <c r="AN263" s="83"/>
      <c r="AO263" s="83"/>
      <c r="CA263" s="477"/>
      <c r="CB263" s="478"/>
    </row>
    <row r="264" spans="1:80">
      <c r="A264" s="83"/>
      <c r="B264" s="95"/>
      <c r="C264" s="96"/>
      <c r="D264" s="173" t="s">
        <v>267</v>
      </c>
      <c r="E264" s="653"/>
      <c r="F264" s="586"/>
      <c r="G264" s="605"/>
      <c r="H264" s="605"/>
      <c r="I264" s="605"/>
      <c r="J264" s="605"/>
      <c r="K264" s="605"/>
      <c r="L264" s="182"/>
      <c r="M264" s="182"/>
      <c r="N264" s="182"/>
      <c r="O264" s="182"/>
      <c r="P264" s="605"/>
      <c r="Q264" s="182"/>
      <c r="R264" s="182"/>
      <c r="S264" s="182"/>
      <c r="T264" s="182"/>
      <c r="U264" s="588"/>
      <c r="V264" s="182"/>
      <c r="W264" s="182"/>
      <c r="X264" s="182"/>
      <c r="Y264" s="182"/>
      <c r="Z264" s="588"/>
      <c r="AA264" s="182"/>
      <c r="AB264" s="182"/>
      <c r="AC264" s="182"/>
      <c r="AD264" s="182"/>
      <c r="AE264" s="588"/>
      <c r="AF264" s="586"/>
      <c r="AG264" s="586"/>
      <c r="AH264" s="586"/>
      <c r="AI264" s="586"/>
      <c r="AJ264" s="586"/>
      <c r="AK264" s="586"/>
      <c r="AL264" s="586"/>
      <c r="AM264" s="651"/>
      <c r="AN264" s="83"/>
      <c r="AO264" s="83"/>
      <c r="CA264" s="477"/>
      <c r="CB264" s="478"/>
    </row>
    <row r="265" spans="1:80">
      <c r="A265" s="83"/>
      <c r="B265" s="95" t="s">
        <v>221</v>
      </c>
      <c r="C265" s="96"/>
      <c r="D265" s="163" t="s">
        <v>626</v>
      </c>
      <c r="E265" s="162"/>
      <c r="F265" s="83"/>
      <c r="G265" s="647">
        <f t="shared" ref="G265:V265" si="232">G30</f>
        <v>0.96499999999999997</v>
      </c>
      <c r="H265" s="647">
        <f t="shared" si="232"/>
        <v>0.96499999999999997</v>
      </c>
      <c r="I265" s="647">
        <f t="shared" si="232"/>
        <v>0.96499999999999997</v>
      </c>
      <c r="J265" s="647">
        <f t="shared" si="232"/>
        <v>0.96499999999999997</v>
      </c>
      <c r="K265" s="647">
        <f t="shared" si="232"/>
        <v>0.96499999999999997</v>
      </c>
      <c r="L265" s="680">
        <f t="shared" si="232"/>
        <v>0.96499999999999997</v>
      </c>
      <c r="M265" s="680">
        <f t="shared" si="232"/>
        <v>0.96499999999999997</v>
      </c>
      <c r="N265" s="680">
        <f t="shared" si="232"/>
        <v>0.96499999999999997</v>
      </c>
      <c r="O265" s="680">
        <f t="shared" si="232"/>
        <v>0.96499999999999997</v>
      </c>
      <c r="P265" s="647">
        <f t="shared" si="232"/>
        <v>0.96499999999999997</v>
      </c>
      <c r="Q265" s="680">
        <f t="shared" si="232"/>
        <v>0.96499999999999997</v>
      </c>
      <c r="R265" s="680">
        <f t="shared" si="232"/>
        <v>0.96499999999999997</v>
      </c>
      <c r="S265" s="680">
        <f>S30</f>
        <v>0.96499999999999997</v>
      </c>
      <c r="T265" s="680">
        <f t="shared" si="232"/>
        <v>0.96499999999999997</v>
      </c>
      <c r="U265" s="647">
        <f t="shared" si="232"/>
        <v>0.96499999999999997</v>
      </c>
      <c r="V265" s="680">
        <f t="shared" si="232"/>
        <v>0.96499999999999997</v>
      </c>
      <c r="W265" s="680">
        <f t="shared" ref="W265:AE265" si="233">W30</f>
        <v>0.96499999999999997</v>
      </c>
      <c r="X265" s="680">
        <f t="shared" si="233"/>
        <v>0.96499999999999997</v>
      </c>
      <c r="Y265" s="680">
        <f t="shared" si="233"/>
        <v>0.96499999999999997</v>
      </c>
      <c r="Z265" s="647">
        <f t="shared" si="233"/>
        <v>0.96499999999999997</v>
      </c>
      <c r="AA265" s="680">
        <f t="shared" si="233"/>
        <v>0.96499999999999997</v>
      </c>
      <c r="AB265" s="680">
        <f t="shared" si="233"/>
        <v>0.96499999999999997</v>
      </c>
      <c r="AC265" s="680">
        <f t="shared" si="233"/>
        <v>0.96499999999999997</v>
      </c>
      <c r="AD265" s="680">
        <f t="shared" si="233"/>
        <v>0.96499999999999997</v>
      </c>
      <c r="AE265" s="647">
        <f t="shared" si="233"/>
        <v>0.96499999999999997</v>
      </c>
      <c r="AF265" s="647">
        <f t="shared" ref="AF265:AL265" si="234">AF30</f>
        <v>0.96499999999999997</v>
      </c>
      <c r="AG265" s="647">
        <f t="shared" si="234"/>
        <v>0.96499999999999997</v>
      </c>
      <c r="AH265" s="647">
        <f t="shared" si="234"/>
        <v>0.96499999999999997</v>
      </c>
      <c r="AI265" s="647">
        <f t="shared" si="234"/>
        <v>0.96499999999999997</v>
      </c>
      <c r="AJ265" s="647">
        <f t="shared" si="234"/>
        <v>0.96499999999999997</v>
      </c>
      <c r="AK265" s="647">
        <f t="shared" si="234"/>
        <v>0.96499999999999997</v>
      </c>
      <c r="AL265" s="647">
        <f t="shared" si="234"/>
        <v>0.96499999999999997</v>
      </c>
      <c r="AM265" s="651"/>
      <c r="AN265" s="83"/>
      <c r="AO265" s="83"/>
      <c r="CA265" s="477"/>
      <c r="CB265" s="478"/>
    </row>
    <row r="266" spans="1:80">
      <c r="A266" s="83"/>
      <c r="B266" s="95" t="s">
        <v>628</v>
      </c>
      <c r="C266" s="96"/>
      <c r="D266" s="163" t="s">
        <v>627</v>
      </c>
      <c r="E266" s="162"/>
      <c r="F266" s="83"/>
      <c r="G266" s="623">
        <f>G251*2204.6*G265</f>
        <v>208489.02199999997</v>
      </c>
      <c r="H266" s="623">
        <f t="shared" ref="H266:U266" si="235">H251*2204.6*H265</f>
        <v>165940.24199999997</v>
      </c>
      <c r="I266" s="623">
        <f t="shared" si="235"/>
        <v>185087.19299999997</v>
      </c>
      <c r="J266" s="623">
        <f t="shared" si="235"/>
        <v>202106.70499999999</v>
      </c>
      <c r="K266" s="623">
        <f t="shared" si="235"/>
        <v>199979.26599999997</v>
      </c>
      <c r="L266" s="663">
        <f t="shared" si="235"/>
        <v>47149.366837499998</v>
      </c>
      <c r="M266" s="663">
        <f t="shared" si="235"/>
        <v>53946.5344425</v>
      </c>
      <c r="N266" s="663">
        <f t="shared" si="235"/>
        <v>49494.868334999999</v>
      </c>
      <c r="O266" s="663">
        <f t="shared" si="235"/>
        <v>59977.824007499992</v>
      </c>
      <c r="P266" s="623">
        <f t="shared" si="235"/>
        <v>210616.46099999998</v>
      </c>
      <c r="Q266" s="663">
        <f t="shared" si="235"/>
        <v>49111.929314999994</v>
      </c>
      <c r="R266" s="663">
        <f t="shared" si="235"/>
        <v>52941.319514999988</v>
      </c>
      <c r="S266" s="663">
        <f t="shared" si="235"/>
        <v>48728.990294999996</v>
      </c>
      <c r="T266" s="663">
        <f t="shared" si="235"/>
        <v>64573.092247499961</v>
      </c>
      <c r="U266" s="623">
        <f t="shared" si="235"/>
        <v>215355.33137249996</v>
      </c>
      <c r="V266" s="663">
        <f>V251*2204.6*V265</f>
        <v>45378.273869999997</v>
      </c>
      <c r="W266" s="663">
        <f t="shared" ref="W266:AE266" si="236">W251*2204.6*W265</f>
        <v>26853.598777499999</v>
      </c>
      <c r="X266" s="663">
        <f>X251*2204.6*X265</f>
        <v>49734.205222500001</v>
      </c>
      <c r="Y266" s="663">
        <f t="shared" si="236"/>
        <v>59834.221874999996</v>
      </c>
      <c r="Z266" s="623">
        <f t="shared" si="236"/>
        <v>181800.299745</v>
      </c>
      <c r="AA266" s="663">
        <f>AA251*2204.6*AA265</f>
        <v>46574.958307499997</v>
      </c>
      <c r="AB266" s="663">
        <f t="shared" si="236"/>
        <v>54951.74936999999</v>
      </c>
      <c r="AC266" s="663">
        <f t="shared" si="236"/>
        <v>49462.956749999998</v>
      </c>
      <c r="AD266" s="663">
        <f t="shared" si="236"/>
        <v>44277.324187499988</v>
      </c>
      <c r="AE266" s="623">
        <f t="shared" si="236"/>
        <v>197851.82699999999</v>
      </c>
      <c r="AF266" s="623">
        <f t="shared" ref="AF266:AL266" si="237">AF251*2204.6*AF265</f>
        <v>197851.82699999999</v>
      </c>
      <c r="AG266" s="623">
        <f t="shared" si="237"/>
        <v>197851.82699999999</v>
      </c>
      <c r="AH266" s="623">
        <f t="shared" si="237"/>
        <v>197851.82699999999</v>
      </c>
      <c r="AI266" s="623">
        <f t="shared" si="237"/>
        <v>197851.82699999999</v>
      </c>
      <c r="AJ266" s="623">
        <f t="shared" si="237"/>
        <v>197851.82699999999</v>
      </c>
      <c r="AK266" s="623">
        <f t="shared" si="237"/>
        <v>197851.82699999999</v>
      </c>
      <c r="AL266" s="623">
        <f t="shared" si="237"/>
        <v>197851.82699999999</v>
      </c>
      <c r="AM266" s="651"/>
      <c r="AN266" s="83"/>
      <c r="AO266" s="83"/>
      <c r="CA266" s="477"/>
      <c r="CB266" s="478"/>
    </row>
    <row r="267" spans="1:80">
      <c r="A267" s="83"/>
      <c r="B267" s="95" t="s">
        <v>632</v>
      </c>
      <c r="C267" s="96"/>
      <c r="D267" s="163" t="s">
        <v>629</v>
      </c>
      <c r="E267" s="162"/>
      <c r="F267" s="83"/>
      <c r="G267" s="624">
        <f t="shared" ref="G267:V267" si="238">G31</f>
        <v>0.18719999999999998</v>
      </c>
      <c r="H267" s="624">
        <f t="shared" si="238"/>
        <v>0.23600000000000002</v>
      </c>
      <c r="I267" s="624">
        <f t="shared" si="238"/>
        <v>0.27440000000000003</v>
      </c>
      <c r="J267" s="624">
        <f t="shared" si="238"/>
        <v>0.24960000000000002</v>
      </c>
      <c r="K267" s="624">
        <f t="shared" si="238"/>
        <v>0.23719999999999999</v>
      </c>
      <c r="L267" s="664">
        <f t="shared" si="238"/>
        <v>0.2109</v>
      </c>
      <c r="M267" s="664">
        <f t="shared" si="238"/>
        <v>0.2109</v>
      </c>
      <c r="N267" s="664">
        <f t="shared" si="238"/>
        <v>0.2109</v>
      </c>
      <c r="O267" s="664">
        <f t="shared" si="238"/>
        <v>0.2109</v>
      </c>
      <c r="P267" s="624">
        <f t="shared" si="238"/>
        <v>0.2109</v>
      </c>
      <c r="Q267" s="664">
        <f t="shared" si="238"/>
        <v>0.2072</v>
      </c>
      <c r="R267" s="664">
        <f t="shared" si="238"/>
        <v>0.2072</v>
      </c>
      <c r="S267" s="664">
        <f t="shared" si="238"/>
        <v>0.2072</v>
      </c>
      <c r="T267" s="664">
        <f t="shared" si="238"/>
        <v>0.2072</v>
      </c>
      <c r="U267" s="624">
        <f t="shared" si="238"/>
        <v>0.2072</v>
      </c>
      <c r="V267" s="664">
        <f t="shared" si="238"/>
        <v>0.16700000000000001</v>
      </c>
      <c r="W267" s="664">
        <f t="shared" ref="W267:AE267" si="239">W31</f>
        <v>0.16700000000000001</v>
      </c>
      <c r="X267" s="664">
        <f t="shared" si="239"/>
        <v>0.16700000000000001</v>
      </c>
      <c r="Y267" s="664">
        <f t="shared" si="239"/>
        <v>0.16700000000000001</v>
      </c>
      <c r="Z267" s="624">
        <f t="shared" si="239"/>
        <v>0.16700000000000001</v>
      </c>
      <c r="AA267" s="664">
        <f>AA31</f>
        <v>0.16700000000000001</v>
      </c>
      <c r="AB267" s="664">
        <f t="shared" si="239"/>
        <v>0.16700000000000001</v>
      </c>
      <c r="AC267" s="664">
        <f t="shared" si="239"/>
        <v>0.16700000000000001</v>
      </c>
      <c r="AD267" s="664">
        <f t="shared" si="239"/>
        <v>0.16700000000000001</v>
      </c>
      <c r="AE267" s="624">
        <f t="shared" si="239"/>
        <v>0.16700000000000001</v>
      </c>
      <c r="AF267" s="624">
        <f t="shared" ref="AF267:AL267" si="240">AF31</f>
        <v>0.16700000000000001</v>
      </c>
      <c r="AG267" s="624">
        <f t="shared" si="240"/>
        <v>0.16700000000000001</v>
      </c>
      <c r="AH267" s="624">
        <f t="shared" si="240"/>
        <v>0.16700000000000001</v>
      </c>
      <c r="AI267" s="624">
        <f t="shared" si="240"/>
        <v>0.16700000000000001</v>
      </c>
      <c r="AJ267" s="624">
        <f t="shared" si="240"/>
        <v>0.16700000000000001</v>
      </c>
      <c r="AK267" s="624">
        <f t="shared" si="240"/>
        <v>0.16700000000000001</v>
      </c>
      <c r="AL267" s="624">
        <f t="shared" si="240"/>
        <v>0.16700000000000001</v>
      </c>
      <c r="AM267" s="651"/>
      <c r="AN267" s="83"/>
      <c r="AO267" s="83"/>
      <c r="CA267" s="477"/>
      <c r="CB267" s="478"/>
    </row>
    <row r="268" spans="1:80">
      <c r="A268" s="83"/>
      <c r="B268" s="95" t="s">
        <v>631</v>
      </c>
      <c r="C268" s="96"/>
      <c r="D268" s="163" t="s">
        <v>630</v>
      </c>
      <c r="E268" s="162"/>
      <c r="F268" s="83"/>
      <c r="G268" s="589">
        <f t="shared" ref="G268:AE268" si="241">G267*1000*G266/1000000</f>
        <v>39.029144918399993</v>
      </c>
      <c r="H268" s="589">
        <f t="shared" si="241"/>
        <v>39.161897111999998</v>
      </c>
      <c r="I268" s="589">
        <f t="shared" si="241"/>
        <v>50.7879257592</v>
      </c>
      <c r="J268" s="589">
        <f t="shared" si="241"/>
        <v>50.445833568000005</v>
      </c>
      <c r="K268" s="589">
        <f t="shared" si="241"/>
        <v>47.435081895199993</v>
      </c>
      <c r="L268" s="590">
        <f t="shared" si="241"/>
        <v>9.9438014660287504</v>
      </c>
      <c r="M268" s="590">
        <f t="shared" si="241"/>
        <v>11.377324113923249</v>
      </c>
      <c r="N268" s="590">
        <f t="shared" si="241"/>
        <v>10.4384677318515</v>
      </c>
      <c r="O268" s="590">
        <f t="shared" si="241"/>
        <v>12.649323083181748</v>
      </c>
      <c r="P268" s="589">
        <f t="shared" si="241"/>
        <v>44.419011624900001</v>
      </c>
      <c r="Q268" s="590">
        <f t="shared" si="241"/>
        <v>10.175991754067999</v>
      </c>
      <c r="R268" s="590">
        <f t="shared" si="241"/>
        <v>10.969441403507997</v>
      </c>
      <c r="S268" s="590">
        <f t="shared" si="241"/>
        <v>10.096646789124</v>
      </c>
      <c r="T268" s="590">
        <f t="shared" si="241"/>
        <v>13.379544713681991</v>
      </c>
      <c r="U268" s="589">
        <f t="shared" si="241"/>
        <v>44.62162466038199</v>
      </c>
      <c r="V268" s="590">
        <f t="shared" si="241"/>
        <v>7.5781717362899998</v>
      </c>
      <c r="W268" s="590">
        <f t="shared" si="241"/>
        <v>4.4845509958424996</v>
      </c>
      <c r="X268" s="590">
        <f t="shared" si="241"/>
        <v>8.3056122721575001</v>
      </c>
      <c r="Y268" s="590">
        <f t="shared" si="241"/>
        <v>9.9923150531249991</v>
      </c>
      <c r="Z268" s="589">
        <f t="shared" si="241"/>
        <v>30.360650057415</v>
      </c>
      <c r="AA268" s="590">
        <f>AA267*1000*AA266/1000000</f>
        <v>7.7780180373524992</v>
      </c>
      <c r="AB268" s="590">
        <f t="shared" si="241"/>
        <v>9.1769421447899973</v>
      </c>
      <c r="AC268" s="590">
        <f t="shared" si="241"/>
        <v>8.2603137772499995</v>
      </c>
      <c r="AD268" s="590">
        <f t="shared" si="241"/>
        <v>7.3943131393124979</v>
      </c>
      <c r="AE268" s="589">
        <f t="shared" si="241"/>
        <v>33.041255108999998</v>
      </c>
      <c r="AF268" s="589">
        <f t="shared" ref="AF268:AL268" si="242">AF267*1000*AF266/1000000</f>
        <v>33.041255108999998</v>
      </c>
      <c r="AG268" s="589">
        <f t="shared" si="242"/>
        <v>33.041255108999998</v>
      </c>
      <c r="AH268" s="589">
        <f t="shared" si="242"/>
        <v>33.041255108999998</v>
      </c>
      <c r="AI268" s="589">
        <f t="shared" si="242"/>
        <v>33.041255108999998</v>
      </c>
      <c r="AJ268" s="589">
        <f t="shared" si="242"/>
        <v>33.041255108999998</v>
      </c>
      <c r="AK268" s="589">
        <f t="shared" si="242"/>
        <v>33.041255108999998</v>
      </c>
      <c r="AL268" s="589">
        <f t="shared" si="242"/>
        <v>33.041255108999998</v>
      </c>
      <c r="AM268" s="651"/>
      <c r="AN268" s="83"/>
      <c r="AO268" s="83"/>
      <c r="CA268" s="477"/>
      <c r="CB268" s="478"/>
    </row>
    <row r="269" spans="1:80">
      <c r="A269" s="83"/>
      <c r="B269" s="95" t="s">
        <v>631</v>
      </c>
      <c r="C269" s="96"/>
      <c r="D269" s="163" t="s">
        <v>267</v>
      </c>
      <c r="E269" s="162"/>
      <c r="F269" s="83"/>
      <c r="G269" s="130">
        <f t="shared" ref="G269:AE269" si="243">(G266*G257/1000)-G268</f>
        <v>653.15440812159989</v>
      </c>
      <c r="H269" s="130">
        <f t="shared" si="243"/>
        <v>476.91225550799982</v>
      </c>
      <c r="I269" s="130">
        <f t="shared" si="243"/>
        <v>410.07918481079997</v>
      </c>
      <c r="J269" s="130">
        <f t="shared" si="243"/>
        <v>396.20998448199992</v>
      </c>
      <c r="K269" s="130">
        <f t="shared" si="243"/>
        <v>512.50686290479996</v>
      </c>
      <c r="L269" s="97">
        <f t="shared" si="243"/>
        <v>139.04819774047124</v>
      </c>
      <c r="M269" s="97">
        <f t="shared" si="243"/>
        <v>156.9358633466768</v>
      </c>
      <c r="N269" s="97">
        <f t="shared" si="243"/>
        <v>126.66231755609847</v>
      </c>
      <c r="O269" s="97">
        <f t="shared" si="243"/>
        <v>155.28858413781822</v>
      </c>
      <c r="P269" s="130">
        <f t="shared" si="243"/>
        <v>579.00571293509984</v>
      </c>
      <c r="Q269" s="97">
        <f t="shared" si="243"/>
        <v>128.31964891423198</v>
      </c>
      <c r="R269" s="97">
        <f t="shared" si="243"/>
        <v>135.67801365304197</v>
      </c>
      <c r="S269" s="97">
        <f t="shared" si="243"/>
        <v>118.06059768672598</v>
      </c>
      <c r="T269" s="97">
        <f t="shared" si="243"/>
        <v>159.03061158714291</v>
      </c>
      <c r="U269" s="130">
        <f t="shared" si="243"/>
        <v>541.14487667281799</v>
      </c>
      <c r="V269" s="97">
        <f t="shared" si="243"/>
        <v>108.44253469535063</v>
      </c>
      <c r="W269" s="97">
        <f t="shared" si="243"/>
        <v>60.650237393068764</v>
      </c>
      <c r="X269" s="97">
        <f t="shared" si="243"/>
        <v>138.59687895028569</v>
      </c>
      <c r="Y269" s="97">
        <f t="shared" si="243"/>
        <v>184.50970179257814</v>
      </c>
      <c r="Z269" s="130">
        <f t="shared" si="243"/>
        <v>478.07709985036894</v>
      </c>
      <c r="AA269" s="97">
        <f>(AA266*AA257/1000)-AA268</f>
        <v>171.87217316889758</v>
      </c>
      <c r="AB269" s="97">
        <f t="shared" si="243"/>
        <v>232.25520650803261</v>
      </c>
      <c r="AC269" s="97">
        <f t="shared" si="243"/>
        <v>198.15318622275001</v>
      </c>
      <c r="AD269" s="97">
        <f t="shared" si="243"/>
        <v>177.37906186068747</v>
      </c>
      <c r="AE269" s="130">
        <f t="shared" si="243"/>
        <v>792.61274489100003</v>
      </c>
      <c r="AF269" s="130">
        <f t="shared" ref="AF269:AL269" si="244">(AF266*AF257/1000)-AF268</f>
        <v>820.66603834381294</v>
      </c>
      <c r="AG269" s="130">
        <f t="shared" si="244"/>
        <v>820.66603834381294</v>
      </c>
      <c r="AH269" s="130">
        <f t="shared" si="244"/>
        <v>820.66603834381294</v>
      </c>
      <c r="AI269" s="130">
        <f t="shared" si="244"/>
        <v>732.42346574099997</v>
      </c>
      <c r="AJ269" s="130">
        <f t="shared" si="244"/>
        <v>732.42346574099997</v>
      </c>
      <c r="AK269" s="130">
        <f t="shared" si="244"/>
        <v>732.42346574099997</v>
      </c>
      <c r="AL269" s="130">
        <f t="shared" si="244"/>
        <v>732.42346574099997</v>
      </c>
      <c r="AM269" s="651"/>
      <c r="AN269" s="83"/>
      <c r="AO269" s="83"/>
      <c r="CA269" s="477"/>
      <c r="CB269" s="478"/>
    </row>
    <row r="270" spans="1:80">
      <c r="A270" s="83"/>
      <c r="B270" s="95" t="s">
        <v>633</v>
      </c>
      <c r="C270" s="96"/>
      <c r="D270" s="183" t="s">
        <v>267</v>
      </c>
      <c r="E270" s="657"/>
      <c r="F270" s="135"/>
      <c r="G270" s="184">
        <f t="shared" ref="G270:AE270" si="245">G269*G260</f>
        <v>672.74904036524788</v>
      </c>
      <c r="H270" s="184">
        <f t="shared" si="245"/>
        <v>526.79727743413662</v>
      </c>
      <c r="I270" s="184">
        <f t="shared" si="245"/>
        <v>524.49127737301308</v>
      </c>
      <c r="J270" s="184">
        <f t="shared" si="245"/>
        <v>524.89898744175355</v>
      </c>
      <c r="K270" s="184">
        <f t="shared" si="245"/>
        <v>665.33640942301133</v>
      </c>
      <c r="L270" s="106">
        <f t="shared" si="245"/>
        <v>175.86816050214802</v>
      </c>
      <c r="M270" s="106">
        <f t="shared" si="245"/>
        <v>202.57281240789041</v>
      </c>
      <c r="N270" s="106">
        <f t="shared" si="245"/>
        <v>165.52231658230949</v>
      </c>
      <c r="O270" s="106">
        <f t="shared" si="245"/>
        <v>205.26045051336814</v>
      </c>
      <c r="P270" s="184">
        <f t="shared" si="245"/>
        <v>750.44930453518293</v>
      </c>
      <c r="Q270" s="106">
        <f t="shared" si="245"/>
        <v>170.61380519636282</v>
      </c>
      <c r="R270" s="106">
        <f t="shared" si="245"/>
        <v>181.49647886367424</v>
      </c>
      <c r="S270" s="106">
        <f t="shared" si="245"/>
        <v>155.88721318555298</v>
      </c>
      <c r="T270" s="106">
        <f t="shared" si="245"/>
        <v>209.88860117271122</v>
      </c>
      <c r="U270" s="184">
        <f t="shared" si="245"/>
        <v>717.99102236949489</v>
      </c>
      <c r="V270" s="106">
        <f t="shared" si="245"/>
        <v>145.71423387014264</v>
      </c>
      <c r="W270" s="106">
        <f t="shared" si="245"/>
        <v>84.055164003053989</v>
      </c>
      <c r="X270" s="106">
        <f t="shared" si="245"/>
        <v>184.69420088915069</v>
      </c>
      <c r="Y270" s="106">
        <f t="shared" si="245"/>
        <v>240.36078852519154</v>
      </c>
      <c r="Z270" s="184">
        <f t="shared" si="245"/>
        <v>641.20895824681099</v>
      </c>
      <c r="AA270" s="106">
        <f t="shared" si="245"/>
        <v>217.59017123182434</v>
      </c>
      <c r="AB270" s="106">
        <f t="shared" si="245"/>
        <v>285.39519775707043</v>
      </c>
      <c r="AC270" s="106">
        <f t="shared" si="245"/>
        <v>245.70995091621</v>
      </c>
      <c r="AD270" s="106">
        <f t="shared" si="245"/>
        <v>219.95003670725245</v>
      </c>
      <c r="AE270" s="184">
        <f t="shared" si="245"/>
        <v>982.83980366484002</v>
      </c>
      <c r="AF270" s="184">
        <f t="shared" ref="AF270:AL270" si="246">AF269*AF260</f>
        <v>1001.2125667794518</v>
      </c>
      <c r="AG270" s="184">
        <f t="shared" si="246"/>
        <v>1001.2125667794518</v>
      </c>
      <c r="AH270" s="184">
        <f t="shared" si="246"/>
        <v>1009.4192271628899</v>
      </c>
      <c r="AI270" s="184">
        <f t="shared" si="246"/>
        <v>900.88086286142993</v>
      </c>
      <c r="AJ270" s="184">
        <f t="shared" si="246"/>
        <v>900.88086286142993</v>
      </c>
      <c r="AK270" s="184">
        <f t="shared" si="246"/>
        <v>900.88086286142993</v>
      </c>
      <c r="AL270" s="184">
        <f t="shared" si="246"/>
        <v>900.88086286142993</v>
      </c>
      <c r="AM270" s="651"/>
      <c r="AN270" s="83"/>
      <c r="AO270" s="83"/>
      <c r="CA270" s="477"/>
      <c r="CB270" s="478"/>
    </row>
    <row r="271" spans="1:80">
      <c r="A271" s="83"/>
      <c r="B271" s="95"/>
      <c r="C271" s="96"/>
      <c r="D271" s="163"/>
      <c r="E271" s="162"/>
      <c r="F271" s="83"/>
      <c r="G271" s="170"/>
      <c r="H271" s="170"/>
      <c r="I271" s="170"/>
      <c r="J271" s="170"/>
      <c r="K271" s="170"/>
      <c r="L271" s="171"/>
      <c r="M271" s="171"/>
      <c r="N271" s="171"/>
      <c r="O271" s="171"/>
      <c r="P271" s="170"/>
      <c r="Q271" s="171"/>
      <c r="R271" s="171"/>
      <c r="S271" s="171"/>
      <c r="T271" s="171"/>
      <c r="U271" s="170"/>
      <c r="V271" s="171"/>
      <c r="W271" s="171"/>
      <c r="X271" s="171"/>
      <c r="Y271" s="171"/>
      <c r="Z271" s="92"/>
      <c r="AA271" s="171"/>
      <c r="AB271" s="171"/>
      <c r="AC271" s="171"/>
      <c r="AD271" s="171"/>
      <c r="AE271" s="92"/>
      <c r="AF271" s="83"/>
      <c r="AG271" s="83"/>
      <c r="AH271" s="83"/>
      <c r="AI271" s="83"/>
      <c r="AJ271" s="83"/>
      <c r="AK271" s="83"/>
      <c r="AL271" s="83"/>
      <c r="AM271" s="651"/>
      <c r="AN271" s="83"/>
      <c r="AO271" s="83"/>
      <c r="CA271" s="477"/>
      <c r="CB271" s="478"/>
    </row>
    <row r="272" spans="1:80">
      <c r="A272" s="83"/>
      <c r="B272" s="95"/>
      <c r="C272" s="96"/>
      <c r="D272" s="163"/>
      <c r="E272" s="162"/>
      <c r="F272" s="83"/>
      <c r="G272" s="170"/>
      <c r="H272" s="170"/>
      <c r="I272" s="170"/>
      <c r="J272" s="170"/>
      <c r="K272" s="170"/>
      <c r="L272" s="171"/>
      <c r="M272" s="171"/>
      <c r="N272" s="171"/>
      <c r="O272" s="171"/>
      <c r="P272" s="170"/>
      <c r="Q272" s="171"/>
      <c r="R272" s="171"/>
      <c r="S272" s="171"/>
      <c r="T272" s="171"/>
      <c r="U272" s="170"/>
      <c r="V272" s="171"/>
      <c r="W272" s="171"/>
      <c r="X272" s="171"/>
      <c r="Y272" s="171"/>
      <c r="Z272" s="92"/>
      <c r="AA272" s="171"/>
      <c r="AB272" s="171"/>
      <c r="AC272" s="171"/>
      <c r="AD272" s="171"/>
      <c r="AE272" s="92"/>
      <c r="AF272" s="83"/>
      <c r="AG272" s="83"/>
      <c r="AH272" s="83"/>
      <c r="AI272" s="83"/>
      <c r="AJ272" s="83"/>
      <c r="AK272" s="83"/>
      <c r="AL272" s="83"/>
      <c r="AM272" s="651"/>
      <c r="AN272" s="83"/>
      <c r="AO272" s="83"/>
      <c r="CA272" s="477"/>
      <c r="CB272" s="478"/>
    </row>
    <row r="273" spans="1:80">
      <c r="A273" s="83"/>
      <c r="B273" s="95"/>
      <c r="C273" s="96"/>
      <c r="D273" s="173" t="s">
        <v>284</v>
      </c>
      <c r="E273" s="653"/>
      <c r="F273" s="586"/>
      <c r="G273" s="658"/>
      <c r="H273" s="658"/>
      <c r="I273" s="658"/>
      <c r="J273" s="658"/>
      <c r="K273" s="658"/>
      <c r="L273" s="665"/>
      <c r="M273" s="665"/>
      <c r="N273" s="665"/>
      <c r="O273" s="665"/>
      <c r="P273" s="658"/>
      <c r="Q273" s="665"/>
      <c r="R273" s="665"/>
      <c r="S273" s="665"/>
      <c r="T273" s="665"/>
      <c r="U273" s="658"/>
      <c r="V273" s="665"/>
      <c r="W273" s="665"/>
      <c r="X273" s="665"/>
      <c r="Y273" s="665"/>
      <c r="Z273" s="588"/>
      <c r="AA273" s="665"/>
      <c r="AB273" s="665"/>
      <c r="AC273" s="665"/>
      <c r="AD273" s="665"/>
      <c r="AE273" s="588"/>
      <c r="AF273" s="586"/>
      <c r="AG273" s="586"/>
      <c r="AH273" s="586"/>
      <c r="AI273" s="586"/>
      <c r="AJ273" s="586"/>
      <c r="AK273" s="586"/>
      <c r="AL273" s="586"/>
      <c r="AM273" s="651"/>
      <c r="AN273" s="83"/>
      <c r="AO273" s="83"/>
      <c r="CA273" s="477"/>
      <c r="CB273" s="478"/>
    </row>
    <row r="274" spans="1:80">
      <c r="A274" s="83"/>
      <c r="B274" s="95" t="s">
        <v>221</v>
      </c>
      <c r="C274" s="96"/>
      <c r="D274" s="163" t="s">
        <v>626</v>
      </c>
      <c r="E274" s="162"/>
      <c r="F274" s="83"/>
      <c r="G274" s="618">
        <f t="shared" ref="G274:Y274" si="247">G34</f>
        <v>0.85</v>
      </c>
      <c r="H274" s="618">
        <f t="shared" si="247"/>
        <v>0.85</v>
      </c>
      <c r="I274" s="618">
        <f t="shared" si="247"/>
        <v>0.85</v>
      </c>
      <c r="J274" s="618">
        <f t="shared" si="247"/>
        <v>0.85</v>
      </c>
      <c r="K274" s="618">
        <f t="shared" si="247"/>
        <v>0.85</v>
      </c>
      <c r="L274" s="619">
        <f t="shared" si="247"/>
        <v>0.85</v>
      </c>
      <c r="M274" s="619">
        <f t="shared" si="247"/>
        <v>0.85</v>
      </c>
      <c r="N274" s="619">
        <f t="shared" si="247"/>
        <v>0.85</v>
      </c>
      <c r="O274" s="619">
        <f t="shared" si="247"/>
        <v>0.85</v>
      </c>
      <c r="P274" s="618">
        <f t="shared" si="247"/>
        <v>0.85</v>
      </c>
      <c r="Q274" s="619">
        <f t="shared" si="247"/>
        <v>0.85</v>
      </c>
      <c r="R274" s="619">
        <f t="shared" si="247"/>
        <v>0.85</v>
      </c>
      <c r="S274" s="619">
        <f t="shared" si="247"/>
        <v>0.85</v>
      </c>
      <c r="T274" s="619">
        <f t="shared" si="247"/>
        <v>0.85</v>
      </c>
      <c r="U274" s="618">
        <f t="shared" si="247"/>
        <v>0.85</v>
      </c>
      <c r="V274" s="619">
        <f t="shared" si="247"/>
        <v>0.85</v>
      </c>
      <c r="W274" s="619">
        <f t="shared" si="247"/>
        <v>0.85</v>
      </c>
      <c r="X274" s="619">
        <f t="shared" si="247"/>
        <v>0.85</v>
      </c>
      <c r="Y274" s="619">
        <f t="shared" si="247"/>
        <v>0.85</v>
      </c>
      <c r="Z274" s="618">
        <f>Z34</f>
        <v>0.85</v>
      </c>
      <c r="AA274" s="619">
        <f t="shared" ref="AA274" si="248">AA34</f>
        <v>0.85</v>
      </c>
      <c r="AB274" s="619">
        <f>AB34</f>
        <v>0.85</v>
      </c>
      <c r="AC274" s="619">
        <f>AC34</f>
        <v>0.85</v>
      </c>
      <c r="AD274" s="619">
        <f>AD34</f>
        <v>0.85</v>
      </c>
      <c r="AE274" s="618">
        <f t="shared" ref="AE274:AL274" si="249">AE34</f>
        <v>0.85</v>
      </c>
      <c r="AF274" s="618">
        <f t="shared" si="249"/>
        <v>0.85</v>
      </c>
      <c r="AG274" s="618">
        <f t="shared" si="249"/>
        <v>0.85</v>
      </c>
      <c r="AH274" s="618">
        <f t="shared" si="249"/>
        <v>0.85</v>
      </c>
      <c r="AI274" s="618">
        <f t="shared" si="249"/>
        <v>0.85</v>
      </c>
      <c r="AJ274" s="618">
        <f t="shared" si="249"/>
        <v>0.85</v>
      </c>
      <c r="AK274" s="618">
        <f t="shared" si="249"/>
        <v>0.85</v>
      </c>
      <c r="AL274" s="618">
        <f t="shared" si="249"/>
        <v>0.85</v>
      </c>
      <c r="AM274" s="651"/>
      <c r="AN274" s="83"/>
      <c r="AO274" s="83"/>
      <c r="CA274" s="477"/>
      <c r="CB274" s="478"/>
    </row>
    <row r="275" spans="1:80">
      <c r="A275" s="83"/>
      <c r="B275" s="95" t="s">
        <v>628</v>
      </c>
      <c r="C275" s="96"/>
      <c r="D275" s="163" t="s">
        <v>664</v>
      </c>
      <c r="E275" s="162"/>
      <c r="F275" s="83"/>
      <c r="G275" s="623">
        <f>G252*2204.6*G274</f>
        <v>138669.34</v>
      </c>
      <c r="H275" s="623">
        <f t="shared" ref="H275:Y275" si="250">H252*2204.6*H274</f>
        <v>118056.32999999999</v>
      </c>
      <c r="I275" s="623">
        <f t="shared" si="250"/>
        <v>116182.41999999998</v>
      </c>
      <c r="J275" s="623">
        <f t="shared" si="250"/>
        <v>80578.13</v>
      </c>
      <c r="K275" s="623">
        <f t="shared" si="250"/>
        <v>159282.35</v>
      </c>
      <c r="L275" s="663">
        <f t="shared" si="250"/>
        <v>39211.566749999998</v>
      </c>
      <c r="M275" s="663">
        <f t="shared" si="250"/>
        <v>49077.702900000004</v>
      </c>
      <c r="N275" s="663">
        <f t="shared" si="250"/>
        <v>47222.531999999999</v>
      </c>
      <c r="O275" s="663">
        <f t="shared" si="250"/>
        <v>38789.936999999991</v>
      </c>
      <c r="P275" s="623">
        <f t="shared" si="250"/>
        <v>174273.62999999998</v>
      </c>
      <c r="Q275" s="663">
        <f t="shared" si="250"/>
        <v>30525.993900000001</v>
      </c>
      <c r="R275" s="663">
        <f t="shared" si="250"/>
        <v>32296.838849999996</v>
      </c>
      <c r="S275" s="663">
        <f t="shared" si="250"/>
        <v>29893.549275000001</v>
      </c>
      <c r="T275" s="663">
        <f t="shared" si="250"/>
        <v>35332.573049999999</v>
      </c>
      <c r="U275" s="623">
        <f t="shared" si="250"/>
        <v>128048.95507499999</v>
      </c>
      <c r="V275" s="663">
        <f>V252*2204.6*V274</f>
        <v>45915.479775</v>
      </c>
      <c r="W275" s="663">
        <f t="shared" si="250"/>
        <v>17286.819749999999</v>
      </c>
      <c r="X275" s="663">
        <f t="shared" si="250"/>
        <v>48487.421249999992</v>
      </c>
      <c r="Y275" s="663">
        <f t="shared" si="250"/>
        <v>66786.152400000006</v>
      </c>
      <c r="Z275" s="623">
        <f>Z252*2204.6*Z274</f>
        <v>178475.87317500002</v>
      </c>
      <c r="AA275" s="663">
        <f>AA252*2204.6*AA274</f>
        <v>50469.081074999995</v>
      </c>
      <c r="AB275" s="663">
        <f>AB252*2204.6*AB274</f>
        <v>47433.346874999996</v>
      </c>
      <c r="AC275" s="663">
        <f>AC252*2204.6*AC274</f>
        <v>44505.362499999996</v>
      </c>
      <c r="AD275" s="663">
        <f>AD252*2204.6*AD274</f>
        <v>39839.477721774187</v>
      </c>
      <c r="AE275" s="623">
        <f t="shared" ref="AE275:AL275" si="251">AE252*2204.6*AE274</f>
        <v>178021.44999999998</v>
      </c>
      <c r="AF275" s="623">
        <f t="shared" si="251"/>
        <v>178021.44999999998</v>
      </c>
      <c r="AG275" s="623">
        <f t="shared" si="251"/>
        <v>178021.44999999998</v>
      </c>
      <c r="AH275" s="623">
        <f t="shared" si="251"/>
        <v>178021.44999999998</v>
      </c>
      <c r="AI275" s="623">
        <f t="shared" si="251"/>
        <v>178021.44999999998</v>
      </c>
      <c r="AJ275" s="623">
        <f t="shared" si="251"/>
        <v>178021.44999999998</v>
      </c>
      <c r="AK275" s="623">
        <f t="shared" si="251"/>
        <v>178021.44999999998</v>
      </c>
      <c r="AL275" s="623">
        <f t="shared" si="251"/>
        <v>178021.44999999998</v>
      </c>
      <c r="AM275" s="651"/>
      <c r="AN275" s="83"/>
      <c r="AO275" s="83"/>
      <c r="CA275" s="477"/>
      <c r="CB275" s="478"/>
    </row>
    <row r="276" spans="1:80">
      <c r="A276" s="83"/>
      <c r="B276" s="95" t="s">
        <v>681</v>
      </c>
      <c r="C276" s="96"/>
      <c r="D276" s="163" t="s">
        <v>680</v>
      </c>
      <c r="E276" s="162"/>
      <c r="F276" s="83"/>
      <c r="G276" s="623">
        <f>(G275/2204.6)*1000</f>
        <v>62900</v>
      </c>
      <c r="H276" s="623">
        <f t="shared" ref="H276:V276" si="252">(H275/2204.6)*1000</f>
        <v>53550</v>
      </c>
      <c r="I276" s="623">
        <f t="shared" si="252"/>
        <v>52699.999999999993</v>
      </c>
      <c r="J276" s="623">
        <f t="shared" si="252"/>
        <v>36550.000000000007</v>
      </c>
      <c r="K276" s="623">
        <f t="shared" si="252"/>
        <v>72250</v>
      </c>
      <c r="L276" s="663">
        <f t="shared" si="252"/>
        <v>17786.25</v>
      </c>
      <c r="M276" s="663">
        <f t="shared" si="252"/>
        <v>22261.5</v>
      </c>
      <c r="N276" s="663">
        <f t="shared" si="252"/>
        <v>21420</v>
      </c>
      <c r="O276" s="663">
        <f t="shared" si="252"/>
        <v>17594.999999999996</v>
      </c>
      <c r="P276" s="623">
        <f t="shared" si="252"/>
        <v>79050</v>
      </c>
      <c r="Q276" s="663">
        <f t="shared" si="252"/>
        <v>13846.5</v>
      </c>
      <c r="R276" s="663">
        <f t="shared" si="252"/>
        <v>14649.75</v>
      </c>
      <c r="S276" s="663">
        <f t="shared" si="252"/>
        <v>13559.625</v>
      </c>
      <c r="T276" s="663">
        <f t="shared" si="252"/>
        <v>16026.75</v>
      </c>
      <c r="U276" s="623">
        <f t="shared" si="252"/>
        <v>58082.625</v>
      </c>
      <c r="V276" s="663">
        <f t="shared" si="252"/>
        <v>20827.125000000004</v>
      </c>
      <c r="W276" s="663">
        <f t="shared" ref="W276:AE276" si="253">(W275/2204.6)*1000</f>
        <v>7841.25</v>
      </c>
      <c r="X276" s="663">
        <f t="shared" si="253"/>
        <v>21993.75</v>
      </c>
      <c r="Y276" s="663">
        <f t="shared" si="253"/>
        <v>30294.000000000004</v>
      </c>
      <c r="Z276" s="623">
        <f t="shared" si="253"/>
        <v>80956.125000000015</v>
      </c>
      <c r="AA276" s="663">
        <f t="shared" si="253"/>
        <v>22892.625</v>
      </c>
      <c r="AB276" s="663">
        <f>(AB275/2204.6)*1000</f>
        <v>21515.625</v>
      </c>
      <c r="AC276" s="663">
        <f t="shared" si="253"/>
        <v>20187.5</v>
      </c>
      <c r="AD276" s="663">
        <f t="shared" si="253"/>
        <v>18071.068548387095</v>
      </c>
      <c r="AE276" s="623">
        <f t="shared" si="253"/>
        <v>80750</v>
      </c>
      <c r="AF276" s="623">
        <f t="shared" ref="AF276:AL276" si="254">(AF275/2204.6)*1000</f>
        <v>80750</v>
      </c>
      <c r="AG276" s="623">
        <f t="shared" si="254"/>
        <v>80750</v>
      </c>
      <c r="AH276" s="623">
        <f t="shared" si="254"/>
        <v>80750</v>
      </c>
      <c r="AI276" s="623">
        <f t="shared" si="254"/>
        <v>80750</v>
      </c>
      <c r="AJ276" s="623">
        <f t="shared" si="254"/>
        <v>80750</v>
      </c>
      <c r="AK276" s="623">
        <f t="shared" si="254"/>
        <v>80750</v>
      </c>
      <c r="AL276" s="623">
        <f t="shared" si="254"/>
        <v>80750</v>
      </c>
      <c r="AM276" s="651"/>
      <c r="AN276" s="83"/>
      <c r="AO276" s="83"/>
      <c r="CA276" s="477"/>
      <c r="CB276" s="478"/>
    </row>
    <row r="277" spans="1:80">
      <c r="A277" s="83"/>
      <c r="B277" s="95" t="s">
        <v>679</v>
      </c>
      <c r="C277" s="96"/>
      <c r="D277" s="163" t="s">
        <v>629</v>
      </c>
      <c r="E277" s="162"/>
      <c r="F277" s="83"/>
      <c r="G277" s="165">
        <f t="shared" ref="G277:V277" si="255">G37</f>
        <v>209.85666666666665</v>
      </c>
      <c r="H277" s="165">
        <f t="shared" si="255"/>
        <v>0</v>
      </c>
      <c r="I277" s="165">
        <f t="shared" si="255"/>
        <v>245.30999999999995</v>
      </c>
      <c r="J277" s="165">
        <f t="shared" si="255"/>
        <v>212.83208333333334</v>
      </c>
      <c r="K277" s="165">
        <f t="shared" si="255"/>
        <v>180.54624999999999</v>
      </c>
      <c r="L277" s="166">
        <f t="shared" si="255"/>
        <v>154.76833333333335</v>
      </c>
      <c r="M277" s="166">
        <f t="shared" si="255"/>
        <v>141.86333333333332</v>
      </c>
      <c r="N277" s="166">
        <f t="shared" si="255"/>
        <v>132.97499999999999</v>
      </c>
      <c r="O277" s="166">
        <f t="shared" si="255"/>
        <v>132.50166666666667</v>
      </c>
      <c r="P277" s="165">
        <f t="shared" si="255"/>
        <v>140.52708333333331</v>
      </c>
      <c r="Q277" s="166">
        <f t="shared" si="255"/>
        <v>252.38750000000002</v>
      </c>
      <c r="R277" s="166">
        <f t="shared" si="255"/>
        <v>248.22000000000003</v>
      </c>
      <c r="S277" s="166">
        <f t="shared" si="255"/>
        <v>238.21333333333337</v>
      </c>
      <c r="T277" s="166">
        <f t="shared" si="255"/>
        <v>238.36</v>
      </c>
      <c r="U277" s="165">
        <f t="shared" si="255"/>
        <v>244.29520833333336</v>
      </c>
      <c r="V277" s="166">
        <f t="shared" si="255"/>
        <v>299.69849999999997</v>
      </c>
      <c r="W277" s="166">
        <f t="shared" ref="W277:AE277" si="256">W37</f>
        <v>299.69849999999997</v>
      </c>
      <c r="X277" s="166">
        <f t="shared" si="256"/>
        <v>299.69849999999997</v>
      </c>
      <c r="Y277" s="166">
        <f t="shared" si="256"/>
        <v>299.69849999999997</v>
      </c>
      <c r="Z277" s="165">
        <f t="shared" si="256"/>
        <v>299.69849999999997</v>
      </c>
      <c r="AA277" s="166">
        <f t="shared" si="256"/>
        <v>328</v>
      </c>
      <c r="AB277" s="166">
        <f>AB37</f>
        <v>328</v>
      </c>
      <c r="AC277" s="166">
        <f t="shared" si="256"/>
        <v>328</v>
      </c>
      <c r="AD277" s="166">
        <f t="shared" si="256"/>
        <v>328</v>
      </c>
      <c r="AE277" s="165">
        <f t="shared" si="256"/>
        <v>328</v>
      </c>
      <c r="AF277" s="165">
        <f t="shared" ref="AF277:AL277" si="257">AF37</f>
        <v>325.5</v>
      </c>
      <c r="AG277" s="165">
        <f t="shared" si="257"/>
        <v>323</v>
      </c>
      <c r="AH277" s="165">
        <f t="shared" si="257"/>
        <v>315.50799999999998</v>
      </c>
      <c r="AI277" s="165">
        <f t="shared" si="257"/>
        <v>315.50799999999998</v>
      </c>
      <c r="AJ277" s="165">
        <f t="shared" si="257"/>
        <v>315.50799999999998</v>
      </c>
      <c r="AK277" s="165">
        <f t="shared" si="257"/>
        <v>315.50799999999998</v>
      </c>
      <c r="AL277" s="165">
        <f t="shared" si="257"/>
        <v>315.50799999999998</v>
      </c>
      <c r="AM277" s="651"/>
      <c r="AN277" s="83"/>
      <c r="AO277" s="83"/>
      <c r="CA277" s="477"/>
      <c r="CB277" s="478"/>
    </row>
    <row r="278" spans="1:80">
      <c r="A278" s="83"/>
      <c r="B278" s="95" t="s">
        <v>631</v>
      </c>
      <c r="C278" s="96"/>
      <c r="D278" s="163" t="s">
        <v>630</v>
      </c>
      <c r="E278" s="162"/>
      <c r="F278" s="83"/>
      <c r="G278" s="165">
        <f>(G276*G277)/1000000</f>
        <v>13.199984333333331</v>
      </c>
      <c r="H278" s="165">
        <f t="shared" ref="H278:V278" si="258">(H276*H277)/1000000</f>
        <v>0</v>
      </c>
      <c r="I278" s="165">
        <f t="shared" si="258"/>
        <v>12.927836999999995</v>
      </c>
      <c r="J278" s="165">
        <f t="shared" si="258"/>
        <v>7.7790126458333351</v>
      </c>
      <c r="K278" s="165">
        <f t="shared" si="258"/>
        <v>13.044466562499998</v>
      </c>
      <c r="L278" s="166">
        <f t="shared" si="258"/>
        <v>2.7527482687500004</v>
      </c>
      <c r="M278" s="166">
        <f t="shared" si="258"/>
        <v>3.1580905949999996</v>
      </c>
      <c r="N278" s="166">
        <f t="shared" si="258"/>
        <v>2.8483244999999999</v>
      </c>
      <c r="O278" s="166">
        <f t="shared" si="258"/>
        <v>2.3313668249999999</v>
      </c>
      <c r="P278" s="165">
        <f t="shared" si="258"/>
        <v>11.108665937499998</v>
      </c>
      <c r="Q278" s="166">
        <f t="shared" si="258"/>
        <v>3.4946835187500005</v>
      </c>
      <c r="R278" s="166">
        <f t="shared" si="258"/>
        <v>3.6363609450000003</v>
      </c>
      <c r="S278" s="166">
        <f t="shared" si="258"/>
        <v>3.2300834700000007</v>
      </c>
      <c r="T278" s="166">
        <f t="shared" si="258"/>
        <v>3.8201361300000003</v>
      </c>
      <c r="U278" s="165">
        <f t="shared" si="258"/>
        <v>14.189306974921877</v>
      </c>
      <c r="V278" s="166">
        <f t="shared" si="258"/>
        <v>6.2418581218125002</v>
      </c>
      <c r="W278" s="166">
        <f t="shared" ref="W278:AE278" si="259">(W276*W277)/1000000</f>
        <v>2.3500108631249996</v>
      </c>
      <c r="X278" s="166">
        <f t="shared" si="259"/>
        <v>6.5914938843749997</v>
      </c>
      <c r="Y278" s="166">
        <f t="shared" si="259"/>
        <v>9.0790663589999987</v>
      </c>
      <c r="Z278" s="165">
        <f t="shared" si="259"/>
        <v>24.262429228312502</v>
      </c>
      <c r="AA278" s="166">
        <f t="shared" si="259"/>
        <v>7.5087809999999999</v>
      </c>
      <c r="AB278" s="166">
        <f t="shared" si="259"/>
        <v>7.0571250000000001</v>
      </c>
      <c r="AC278" s="166">
        <f t="shared" si="259"/>
        <v>6.6215000000000002</v>
      </c>
      <c r="AD278" s="166">
        <f t="shared" si="259"/>
        <v>5.9273104838709676</v>
      </c>
      <c r="AE278" s="165">
        <f t="shared" si="259"/>
        <v>26.486000000000001</v>
      </c>
      <c r="AF278" s="165">
        <f t="shared" ref="AF278:AL278" si="260">(AF276*AF277)/1000000</f>
        <v>26.284125</v>
      </c>
      <c r="AG278" s="165">
        <f t="shared" si="260"/>
        <v>26.082249999999998</v>
      </c>
      <c r="AH278" s="165">
        <f t="shared" si="260"/>
        <v>25.477270999999998</v>
      </c>
      <c r="AI278" s="165">
        <f t="shared" si="260"/>
        <v>25.477270999999998</v>
      </c>
      <c r="AJ278" s="165">
        <f t="shared" si="260"/>
        <v>25.477270999999998</v>
      </c>
      <c r="AK278" s="165">
        <f t="shared" si="260"/>
        <v>25.477270999999998</v>
      </c>
      <c r="AL278" s="165">
        <f t="shared" si="260"/>
        <v>25.477270999999998</v>
      </c>
      <c r="AM278" s="651"/>
      <c r="AN278" s="83"/>
      <c r="AO278" s="83"/>
      <c r="CA278" s="477"/>
      <c r="CB278" s="478"/>
    </row>
    <row r="279" spans="1:80">
      <c r="A279" s="83"/>
      <c r="B279" s="95" t="s">
        <v>631</v>
      </c>
      <c r="C279" s="96"/>
      <c r="D279" s="163" t="s">
        <v>284</v>
      </c>
      <c r="E279" s="162"/>
      <c r="F279" s="83"/>
      <c r="G279" s="130">
        <f>(G276*(G258*2204.6)-G278)/1000000</f>
        <v>120.64231260001567</v>
      </c>
      <c r="H279" s="130">
        <f t="shared" ref="H279:V279" si="261">(H276*(H258*2204.6)-H278)/1000000</f>
        <v>115.6952034</v>
      </c>
      <c r="I279" s="130">
        <f t="shared" si="261"/>
        <v>101.07869247216297</v>
      </c>
      <c r="J279" s="130">
        <f t="shared" si="261"/>
        <v>76.549215720987362</v>
      </c>
      <c r="K279" s="130">
        <f t="shared" si="261"/>
        <v>208.65986545553343</v>
      </c>
      <c r="L279" s="97">
        <f t="shared" si="261"/>
        <v>60.777925709751734</v>
      </c>
      <c r="M279" s="97">
        <f t="shared" si="261"/>
        <v>69.199557930909407</v>
      </c>
      <c r="N279" s="97">
        <f t="shared" si="261"/>
        <v>54.305908951675491</v>
      </c>
      <c r="O279" s="97">
        <f t="shared" si="261"/>
        <v>46.160022698633163</v>
      </c>
      <c r="P279" s="130">
        <f t="shared" si="261"/>
        <v>231.78391679133406</v>
      </c>
      <c r="Q279" s="97">
        <f t="shared" si="261"/>
        <v>37.54696900231648</v>
      </c>
      <c r="R279" s="97">
        <f t="shared" si="261"/>
        <v>40.371044926139056</v>
      </c>
      <c r="S279" s="97">
        <f t="shared" si="261"/>
        <v>31.98609449416653</v>
      </c>
      <c r="T279" s="97">
        <f t="shared" si="261"/>
        <v>38.159175073863871</v>
      </c>
      <c r="U279" s="130">
        <f>(U276*(U258*2204.6)-U278)/1000000</f>
        <v>148.53677369769301</v>
      </c>
      <c r="V279" s="97">
        <f t="shared" si="261"/>
        <v>44.320441181970011</v>
      </c>
      <c r="W279" s="97">
        <f t="shared" ref="W279:AE279" si="262">(W276*(W258*2204.6)-W278)/1000000</f>
        <v>15.36720351692462</v>
      </c>
      <c r="X279" s="97">
        <f t="shared" si="262"/>
        <v>51.263925652824277</v>
      </c>
      <c r="Y279" s="97">
        <f t="shared" si="262"/>
        <v>79.619723077183636</v>
      </c>
      <c r="Z279" s="130">
        <f t="shared" si="262"/>
        <v>183.10008770040986</v>
      </c>
      <c r="AA279" s="97">
        <f t="shared" si="262"/>
        <v>62.945990241219</v>
      </c>
      <c r="AB279" s="97">
        <f t="shared" si="262"/>
        <v>62.700341481181432</v>
      </c>
      <c r="AC279" s="97">
        <f t="shared" si="262"/>
        <v>56.5249933785</v>
      </c>
      <c r="AD279" s="97">
        <f t="shared" si="262"/>
        <v>50.598986008173384</v>
      </c>
      <c r="AE279" s="130">
        <f t="shared" si="262"/>
        <v>226.099973514</v>
      </c>
      <c r="AF279" s="130">
        <f t="shared" ref="AF279:AL279" si="263">(AF276*(AF258*2204.6)-AF278)/1000000</f>
        <v>250.3931202675991</v>
      </c>
      <c r="AG279" s="130">
        <f t="shared" si="263"/>
        <v>266.54751702119825</v>
      </c>
      <c r="AH279" s="130">
        <f t="shared" si="263"/>
        <v>258.47031935031526</v>
      </c>
      <c r="AI279" s="130">
        <f t="shared" si="263"/>
        <v>242.31592279859109</v>
      </c>
      <c r="AJ279" s="130">
        <f t="shared" si="263"/>
        <v>205.92539452272902</v>
      </c>
      <c r="AK279" s="130">
        <f t="shared" si="263"/>
        <v>205.92539452272902</v>
      </c>
      <c r="AL279" s="130">
        <f t="shared" si="263"/>
        <v>205.92539452272902</v>
      </c>
      <c r="AM279" s="651"/>
      <c r="AN279" s="83"/>
      <c r="AO279" s="83"/>
      <c r="CA279" s="477"/>
      <c r="CB279" s="478"/>
    </row>
    <row r="280" spans="1:80">
      <c r="A280" s="83"/>
      <c r="B280" s="95" t="s">
        <v>633</v>
      </c>
      <c r="C280" s="96"/>
      <c r="D280" s="183" t="s">
        <v>284</v>
      </c>
      <c r="E280" s="659"/>
      <c r="F280" s="103"/>
      <c r="G280" s="184">
        <f>G279*G260</f>
        <v>124.26158197801614</v>
      </c>
      <c r="H280" s="184">
        <f t="shared" ref="H280:V280" si="264">H279*H260</f>
        <v>127.79692167563999</v>
      </c>
      <c r="I280" s="184">
        <f t="shared" si="264"/>
        <v>129.27964767189644</v>
      </c>
      <c r="J280" s="184">
        <f t="shared" si="264"/>
        <v>101.41240098716406</v>
      </c>
      <c r="K280" s="184">
        <f t="shared" si="264"/>
        <v>270.88223733437349</v>
      </c>
      <c r="L280" s="106">
        <f t="shared" si="264"/>
        <v>76.871920437693987</v>
      </c>
      <c r="M280" s="106">
        <f t="shared" si="264"/>
        <v>89.322789377217859</v>
      </c>
      <c r="N280" s="106">
        <f t="shared" si="264"/>
        <v>70.966961818049526</v>
      </c>
      <c r="O280" s="106">
        <f t="shared" si="264"/>
        <v>61.014318003053319</v>
      </c>
      <c r="P280" s="184">
        <f t="shared" si="264"/>
        <v>300.41513455324809</v>
      </c>
      <c r="Q280" s="106">
        <f t="shared" si="264"/>
        <v>49.922449985479986</v>
      </c>
      <c r="R280" s="106">
        <f t="shared" si="264"/>
        <v>54.004346797696215</v>
      </c>
      <c r="S280" s="106">
        <f t="shared" si="264"/>
        <v>42.234439170097488</v>
      </c>
      <c r="T280" s="106">
        <f t="shared" si="264"/>
        <v>50.362479262485543</v>
      </c>
      <c r="U280" s="184">
        <f>U279*U260</f>
        <v>197.07859134209909</v>
      </c>
      <c r="V280" s="106">
        <f t="shared" si="264"/>
        <v>59.553376816213103</v>
      </c>
      <c r="W280" s="106">
        <f t="shared" ref="W280:AE280" si="265">W279*W260</f>
        <v>21.297407354105829</v>
      </c>
      <c r="X280" s="106">
        <f t="shared" si="265"/>
        <v>68.314307324953631</v>
      </c>
      <c r="Y280" s="106">
        <f t="shared" si="265"/>
        <v>103.72061325264713</v>
      </c>
      <c r="Z280" s="184">
        <f t="shared" si="265"/>
        <v>245.57841512598219</v>
      </c>
      <c r="AA280" s="106">
        <f t="shared" si="265"/>
        <v>79.68962364538325</v>
      </c>
      <c r="AB280" s="106">
        <f t="shared" si="265"/>
        <v>77.046179612075733</v>
      </c>
      <c r="AC280" s="106">
        <f t="shared" si="265"/>
        <v>70.090991789339995</v>
      </c>
      <c r="AD280" s="106">
        <f t="shared" si="265"/>
        <v>62.742742650134993</v>
      </c>
      <c r="AE280" s="184">
        <f t="shared" si="265"/>
        <v>280.36396715735998</v>
      </c>
      <c r="AF280" s="184">
        <f t="shared" ref="AF280:AL280" si="266">AF279*AF260</f>
        <v>305.47960672647088</v>
      </c>
      <c r="AG280" s="184">
        <f t="shared" si="266"/>
        <v>325.18797076586185</v>
      </c>
      <c r="AH280" s="184">
        <f t="shared" si="266"/>
        <v>317.91849280088775</v>
      </c>
      <c r="AI280" s="184">
        <f t="shared" si="266"/>
        <v>298.04858504226701</v>
      </c>
      <c r="AJ280" s="184">
        <f t="shared" si="266"/>
        <v>253.2882352629567</v>
      </c>
      <c r="AK280" s="184">
        <f t="shared" si="266"/>
        <v>253.2882352629567</v>
      </c>
      <c r="AL280" s="184">
        <f t="shared" si="266"/>
        <v>253.2882352629567</v>
      </c>
      <c r="AM280" s="651"/>
      <c r="AN280" s="83"/>
      <c r="AO280" s="83"/>
      <c r="CA280" s="477"/>
      <c r="CB280" s="478"/>
    </row>
    <row r="281" spans="1:80">
      <c r="A281" s="83"/>
      <c r="B281" s="95"/>
      <c r="C281" s="96"/>
      <c r="D281" s="163"/>
      <c r="E281" s="162"/>
      <c r="F281" s="83"/>
      <c r="G281" s="170"/>
      <c r="H281" s="170"/>
      <c r="I281" s="170"/>
      <c r="J281" s="170"/>
      <c r="K281" s="170"/>
      <c r="L281" s="171"/>
      <c r="M281" s="171"/>
      <c r="N281" s="171"/>
      <c r="O281" s="171"/>
      <c r="P281" s="170"/>
      <c r="Q281" s="171"/>
      <c r="R281" s="171"/>
      <c r="S281" s="171"/>
      <c r="T281" s="171"/>
      <c r="U281" s="170"/>
      <c r="V281" s="171"/>
      <c r="W281" s="171"/>
      <c r="X281" s="171"/>
      <c r="Y281" s="171"/>
      <c r="Z281" s="92"/>
      <c r="AA281" s="171"/>
      <c r="AB281" s="171"/>
      <c r="AC281" s="171"/>
      <c r="AD281" s="171"/>
      <c r="AE281" s="92"/>
      <c r="AF281" s="83"/>
      <c r="AG281" s="83"/>
      <c r="AH281" s="83"/>
      <c r="AI281" s="83"/>
      <c r="AJ281" s="83"/>
      <c r="AK281" s="83"/>
      <c r="AL281" s="83"/>
      <c r="AM281" s="651"/>
      <c r="AN281" s="83"/>
      <c r="AO281" s="83"/>
      <c r="CA281" s="477"/>
      <c r="CB281" s="478"/>
    </row>
    <row r="282" spans="1:80">
      <c r="A282" s="83"/>
      <c r="B282" s="95"/>
      <c r="C282" s="96"/>
      <c r="D282" s="163"/>
      <c r="E282" s="162"/>
      <c r="F282" s="83"/>
      <c r="G282" s="170"/>
      <c r="H282" s="170"/>
      <c r="I282" s="170"/>
      <c r="J282" s="170"/>
      <c r="K282" s="170"/>
      <c r="L282" s="171"/>
      <c r="M282" s="171"/>
      <c r="N282" s="171"/>
      <c r="O282" s="171"/>
      <c r="P282" s="170"/>
      <c r="Q282" s="171"/>
      <c r="R282" s="171"/>
      <c r="S282" s="171"/>
      <c r="T282" s="171"/>
      <c r="U282" s="170"/>
      <c r="V282" s="171"/>
      <c r="W282" s="171"/>
      <c r="X282" s="171"/>
      <c r="Y282" s="171"/>
      <c r="Z282" s="92"/>
      <c r="AA282" s="171"/>
      <c r="AB282" s="171"/>
      <c r="AC282" s="171"/>
      <c r="AD282" s="171"/>
      <c r="AE282" s="92"/>
      <c r="AF282" s="83"/>
      <c r="AG282" s="83"/>
      <c r="AH282" s="83"/>
      <c r="AI282" s="83"/>
      <c r="AJ282" s="83"/>
      <c r="AK282" s="83"/>
      <c r="AL282" s="83"/>
      <c r="AM282" s="651"/>
      <c r="AN282" s="83"/>
      <c r="AO282" s="83"/>
      <c r="CA282" s="477"/>
      <c r="CB282" s="478"/>
    </row>
    <row r="283" spans="1:80">
      <c r="A283" s="83"/>
      <c r="B283" s="95"/>
      <c r="C283" s="96"/>
      <c r="D283" s="173" t="s">
        <v>634</v>
      </c>
      <c r="E283" s="653"/>
      <c r="F283" s="586"/>
      <c r="G283" s="658"/>
      <c r="H283" s="658"/>
      <c r="I283" s="658"/>
      <c r="J283" s="658"/>
      <c r="K283" s="658"/>
      <c r="L283" s="665"/>
      <c r="M283" s="665"/>
      <c r="N283" s="665"/>
      <c r="O283" s="665"/>
      <c r="P283" s="658"/>
      <c r="Q283" s="665"/>
      <c r="R283" s="665"/>
      <c r="S283" s="665"/>
      <c r="T283" s="665"/>
      <c r="U283" s="658"/>
      <c r="V283" s="665"/>
      <c r="W283" s="665"/>
      <c r="X283" s="665"/>
      <c r="Y283" s="665"/>
      <c r="Z283" s="588"/>
      <c r="AA283" s="665"/>
      <c r="AB283" s="665"/>
      <c r="AC283" s="665"/>
      <c r="AD283" s="665"/>
      <c r="AE283" s="588"/>
      <c r="AF283" s="586"/>
      <c r="AG283" s="586"/>
      <c r="AH283" s="586"/>
      <c r="AI283" s="586"/>
      <c r="AJ283" s="586"/>
      <c r="AK283" s="586"/>
      <c r="AL283" s="586"/>
      <c r="AM283" s="651"/>
      <c r="AN283" s="83"/>
      <c r="AO283" s="83"/>
      <c r="CA283" s="477"/>
      <c r="CB283" s="478"/>
    </row>
    <row r="284" spans="1:80">
      <c r="A284" s="83"/>
      <c r="B284" s="95" t="s">
        <v>628</v>
      </c>
      <c r="C284" s="96"/>
      <c r="D284" s="163" t="s">
        <v>635</v>
      </c>
      <c r="E284" s="162"/>
      <c r="F284" s="83"/>
      <c r="G284" s="646">
        <f>G253</f>
        <v>2.2275</v>
      </c>
      <c r="H284" s="646">
        <f t="shared" ref="H284:U284" si="267">H253</f>
        <v>0.92249999999999999</v>
      </c>
      <c r="I284" s="646">
        <f t="shared" si="267"/>
        <v>0.9</v>
      </c>
      <c r="J284" s="646">
        <f t="shared" si="267"/>
        <v>2.4074999999999998</v>
      </c>
      <c r="K284" s="646">
        <f t="shared" si="267"/>
        <v>1.2825</v>
      </c>
      <c r="L284" s="200">
        <f t="shared" si="267"/>
        <v>0.74249999999999994</v>
      </c>
      <c r="M284" s="200">
        <f t="shared" si="267"/>
        <v>0.58500000000000008</v>
      </c>
      <c r="N284" s="200">
        <f t="shared" si="267"/>
        <v>0.315</v>
      </c>
      <c r="O284" s="200">
        <f t="shared" si="267"/>
        <v>0.81</v>
      </c>
      <c r="P284" s="646">
        <f t="shared" si="267"/>
        <v>2.4525000000000001</v>
      </c>
      <c r="Q284" s="200">
        <f t="shared" si="267"/>
        <v>0.38250000000000001</v>
      </c>
      <c r="R284" s="200">
        <f t="shared" si="267"/>
        <v>0.20250000000000001</v>
      </c>
      <c r="S284" s="200">
        <f t="shared" si="267"/>
        <v>0.24750000000000003</v>
      </c>
      <c r="T284" s="200">
        <f t="shared" si="267"/>
        <v>0.60750000000000004</v>
      </c>
      <c r="U284" s="646">
        <f t="shared" si="267"/>
        <v>1.4400000000000002</v>
      </c>
      <c r="V284" s="200">
        <f>V253</f>
        <v>0.78749999999999998</v>
      </c>
      <c r="W284" s="200">
        <f>W253</f>
        <v>0.33750000000000002</v>
      </c>
      <c r="X284" s="200">
        <f t="shared" ref="X284:AE284" si="268">X253</f>
        <v>0.58500000000000008</v>
      </c>
      <c r="Y284" s="200">
        <f t="shared" si="268"/>
        <v>0.51749999999999996</v>
      </c>
      <c r="Z284" s="646">
        <f t="shared" si="268"/>
        <v>2.2275</v>
      </c>
      <c r="AA284" s="200">
        <f>AA253</f>
        <v>0.29250000000000004</v>
      </c>
      <c r="AB284" s="200">
        <f t="shared" si="268"/>
        <v>0.40500000000000003</v>
      </c>
      <c r="AC284" s="200">
        <f t="shared" si="268"/>
        <v>0.3</v>
      </c>
      <c r="AD284" s="200">
        <f t="shared" si="268"/>
        <v>0.26854838709677414</v>
      </c>
      <c r="AE284" s="646">
        <f t="shared" si="268"/>
        <v>1.2</v>
      </c>
      <c r="AF284" s="646">
        <f t="shared" ref="AF284:AL284" si="269">AF253</f>
        <v>1.2</v>
      </c>
      <c r="AG284" s="646">
        <f t="shared" si="269"/>
        <v>1.2</v>
      </c>
      <c r="AH284" s="646">
        <f t="shared" si="269"/>
        <v>1.2</v>
      </c>
      <c r="AI284" s="646">
        <f t="shared" si="269"/>
        <v>1.2</v>
      </c>
      <c r="AJ284" s="646">
        <f t="shared" si="269"/>
        <v>1.2</v>
      </c>
      <c r="AK284" s="646">
        <f t="shared" si="269"/>
        <v>1.2</v>
      </c>
      <c r="AL284" s="646">
        <f t="shared" si="269"/>
        <v>1.2</v>
      </c>
      <c r="AM284" s="651"/>
      <c r="AN284" s="83"/>
      <c r="AO284" s="83"/>
      <c r="CA284" s="477"/>
      <c r="CB284" s="478"/>
    </row>
    <row r="285" spans="1:80">
      <c r="A285" s="83"/>
      <c r="B285" s="95" t="s">
        <v>631</v>
      </c>
      <c r="C285" s="96"/>
      <c r="D285" s="163" t="s">
        <v>634</v>
      </c>
      <c r="E285" s="162"/>
      <c r="F285" s="83"/>
      <c r="G285" s="130">
        <f>G253*G259</f>
        <v>23.059970999999997</v>
      </c>
      <c r="H285" s="130">
        <f t="shared" ref="H285:V285" si="270">H253*H259</f>
        <v>10.5605955</v>
      </c>
      <c r="I285" s="130">
        <f t="shared" si="270"/>
        <v>5.98698</v>
      </c>
      <c r="J285" s="130">
        <f t="shared" si="270"/>
        <v>15.700270499999998</v>
      </c>
      <c r="K285" s="130">
        <f t="shared" si="270"/>
        <v>10.5003405</v>
      </c>
      <c r="L285" s="97">
        <f t="shared" si="270"/>
        <v>9.0623609999999992</v>
      </c>
      <c r="M285" s="97">
        <f t="shared" si="270"/>
        <v>6.8058900000000007</v>
      </c>
      <c r="N285" s="97">
        <f t="shared" si="270"/>
        <v>3.7181970000000004</v>
      </c>
      <c r="O285" s="97">
        <f t="shared" si="270"/>
        <v>9.7511850000000013</v>
      </c>
      <c r="P285" s="130">
        <f t="shared" si="270"/>
        <v>29.222028000000002</v>
      </c>
      <c r="Q285" s="97">
        <f t="shared" si="270"/>
        <v>4.5055439999999995</v>
      </c>
      <c r="R285" s="97">
        <f t="shared" si="270"/>
        <v>2.4702975</v>
      </c>
      <c r="S285" s="97">
        <f t="shared" si="270"/>
        <v>2.9271577500000006</v>
      </c>
      <c r="T285" s="97">
        <f t="shared" si="270"/>
        <v>5.8778055</v>
      </c>
      <c r="U285" s="130">
        <f t="shared" si="270"/>
        <v>16.409520000000001</v>
      </c>
      <c r="V285" s="97">
        <f t="shared" si="270"/>
        <v>7.6198499999999996</v>
      </c>
      <c r="W285" s="97">
        <f t="shared" ref="W285:AE285" si="271">W253*W259</f>
        <v>2.8153237500000001</v>
      </c>
      <c r="X285" s="97">
        <f t="shared" si="271"/>
        <v>4.4767710000000003</v>
      </c>
      <c r="Y285" s="97">
        <f t="shared" si="271"/>
        <v>4.5944684999999996</v>
      </c>
      <c r="Z285" s="130">
        <f t="shared" si="271"/>
        <v>19.2391959375</v>
      </c>
      <c r="AA285" s="97">
        <f>AA253*AA259</f>
        <v>3.3254910000000004</v>
      </c>
      <c r="AB285" s="97">
        <f t="shared" si="271"/>
        <v>5.7535515000000004</v>
      </c>
      <c r="AC285" s="97">
        <f t="shared" si="271"/>
        <v>6</v>
      </c>
      <c r="AD285" s="97">
        <f t="shared" si="271"/>
        <v>5.3709677419354831</v>
      </c>
      <c r="AE285" s="130">
        <f t="shared" si="271"/>
        <v>24</v>
      </c>
      <c r="AF285" s="130">
        <f t="shared" ref="AF285:AL285" si="272">AF253*AF259</f>
        <v>24</v>
      </c>
      <c r="AG285" s="130">
        <f t="shared" si="272"/>
        <v>24</v>
      </c>
      <c r="AH285" s="130">
        <f t="shared" si="272"/>
        <v>24</v>
      </c>
      <c r="AI285" s="130">
        <f t="shared" si="272"/>
        <v>24</v>
      </c>
      <c r="AJ285" s="130">
        <f t="shared" si="272"/>
        <v>24</v>
      </c>
      <c r="AK285" s="130">
        <f t="shared" si="272"/>
        <v>24</v>
      </c>
      <c r="AL285" s="130">
        <f t="shared" si="272"/>
        <v>24</v>
      </c>
      <c r="AM285" s="651"/>
      <c r="AN285" s="83"/>
      <c r="AO285" s="83"/>
      <c r="CA285" s="477"/>
      <c r="CB285" s="478"/>
    </row>
    <row r="286" spans="1:80">
      <c r="A286" s="83"/>
      <c r="B286" s="95" t="s">
        <v>633</v>
      </c>
      <c r="C286" s="96"/>
      <c r="D286" s="183" t="s">
        <v>634</v>
      </c>
      <c r="E286" s="659"/>
      <c r="F286" s="103"/>
      <c r="G286" s="184">
        <f>G285*G260</f>
        <v>23.751770129999997</v>
      </c>
      <c r="H286" s="184">
        <f t="shared" ref="H286:V286" si="273">H285*H260</f>
        <v>11.6652337893</v>
      </c>
      <c r="I286" s="184">
        <f t="shared" si="273"/>
        <v>7.6573474199999998</v>
      </c>
      <c r="J286" s="184">
        <f t="shared" si="273"/>
        <v>20.799718358399996</v>
      </c>
      <c r="K286" s="184">
        <f t="shared" si="273"/>
        <v>13.631542037100001</v>
      </c>
      <c r="L286" s="106">
        <f t="shared" si="273"/>
        <v>11.462074192799998</v>
      </c>
      <c r="M286" s="106">
        <f t="shared" si="273"/>
        <v>8.7850428120000004</v>
      </c>
      <c r="N286" s="106">
        <f t="shared" si="273"/>
        <v>4.8589398396000005</v>
      </c>
      <c r="O286" s="106">
        <f t="shared" si="273"/>
        <v>12.889116333000002</v>
      </c>
      <c r="P286" s="184">
        <f t="shared" si="273"/>
        <v>37.8746704908</v>
      </c>
      <c r="Q286" s="106">
        <f t="shared" si="273"/>
        <v>5.9905713023999994</v>
      </c>
      <c r="R286" s="106">
        <f t="shared" si="273"/>
        <v>3.30451696575</v>
      </c>
      <c r="S286" s="106">
        <f t="shared" si="273"/>
        <v>3.8650190931000008</v>
      </c>
      <c r="T286" s="106">
        <f t="shared" si="273"/>
        <v>7.7575276989000006</v>
      </c>
      <c r="U286" s="184">
        <f t="shared" si="273"/>
        <v>21.772151136000002</v>
      </c>
      <c r="V286" s="106">
        <f t="shared" si="273"/>
        <v>10.238792444999998</v>
      </c>
      <c r="W286" s="106">
        <f t="shared" ref="W286:AE286" si="274">W285*W260</f>
        <v>3.9017571851250001</v>
      </c>
      <c r="X286" s="106">
        <f t="shared" si="274"/>
        <v>5.9657450346000003</v>
      </c>
      <c r="Y286" s="106">
        <f t="shared" si="274"/>
        <v>5.9852141149499998</v>
      </c>
      <c r="Z286" s="184">
        <f t="shared" si="274"/>
        <v>25.804090571273434</v>
      </c>
      <c r="AA286" s="106">
        <f t="shared" si="274"/>
        <v>4.2100716060000005</v>
      </c>
      <c r="AB286" s="106">
        <f t="shared" si="274"/>
        <v>7.0699640831999995</v>
      </c>
      <c r="AC286" s="106">
        <f t="shared" si="274"/>
        <v>7.4399999999999995</v>
      </c>
      <c r="AD286" s="106">
        <f t="shared" si="274"/>
        <v>6.6599999999999993</v>
      </c>
      <c r="AE286" s="184">
        <f t="shared" si="274"/>
        <v>29.759999999999998</v>
      </c>
      <c r="AF286" s="184">
        <f t="shared" ref="AF286:AL286" si="275">AF285*AF260</f>
        <v>29.28</v>
      </c>
      <c r="AG286" s="184">
        <f t="shared" si="275"/>
        <v>29.28</v>
      </c>
      <c r="AH286" s="184">
        <f t="shared" si="275"/>
        <v>29.52</v>
      </c>
      <c r="AI286" s="184">
        <f t="shared" si="275"/>
        <v>29.52</v>
      </c>
      <c r="AJ286" s="184">
        <f t="shared" si="275"/>
        <v>29.52</v>
      </c>
      <c r="AK286" s="184">
        <f t="shared" si="275"/>
        <v>29.52</v>
      </c>
      <c r="AL286" s="184">
        <f t="shared" si="275"/>
        <v>29.52</v>
      </c>
      <c r="AM286" s="651"/>
      <c r="AN286" s="83"/>
      <c r="AO286" s="83"/>
      <c r="CA286" s="477"/>
      <c r="CB286" s="478"/>
    </row>
    <row r="287" spans="1:80">
      <c r="A287" s="83"/>
      <c r="B287" s="95"/>
      <c r="C287" s="96"/>
      <c r="D287" s="186"/>
      <c r="E287" s="162"/>
      <c r="F287" s="83"/>
      <c r="G287" s="645"/>
      <c r="H287" s="645"/>
      <c r="I287" s="645"/>
      <c r="J287" s="645"/>
      <c r="K287" s="645"/>
      <c r="L287" s="575"/>
      <c r="M287" s="575"/>
      <c r="N287" s="575"/>
      <c r="O287" s="575"/>
      <c r="P287" s="645"/>
      <c r="Q287" s="575"/>
      <c r="R287" s="575"/>
      <c r="S287" s="575"/>
      <c r="T287" s="575"/>
      <c r="U287" s="645"/>
      <c r="V287" s="575"/>
      <c r="W287" s="575"/>
      <c r="X287" s="575"/>
      <c r="Y287" s="575"/>
      <c r="Z287" s="92"/>
      <c r="AA287" s="99"/>
      <c r="AB287" s="99"/>
      <c r="AC287" s="99"/>
      <c r="AD287" s="99"/>
      <c r="AE287" s="92"/>
      <c r="AF287" s="92"/>
      <c r="AG287" s="92"/>
      <c r="AH287" s="92"/>
      <c r="AI287" s="92"/>
      <c r="AJ287" s="92"/>
      <c r="AK287" s="92"/>
      <c r="AL287" s="92"/>
      <c r="AM287" s="651"/>
      <c r="AN287" s="83"/>
      <c r="AO287" s="83"/>
      <c r="CA287" s="477"/>
      <c r="CB287" s="478"/>
    </row>
    <row r="288" spans="1:80">
      <c r="A288" s="83"/>
      <c r="B288" s="95"/>
      <c r="C288" s="96"/>
      <c r="D288" s="186"/>
      <c r="E288" s="162"/>
      <c r="F288" s="83"/>
      <c r="G288" s="645"/>
      <c r="H288" s="645"/>
      <c r="I288" s="645"/>
      <c r="J288" s="645"/>
      <c r="K288" s="645"/>
      <c r="L288" s="575"/>
      <c r="M288" s="575"/>
      <c r="N288" s="575"/>
      <c r="O288" s="575"/>
      <c r="P288" s="645"/>
      <c r="Q288" s="575"/>
      <c r="R288" s="575"/>
      <c r="S288" s="575"/>
      <c r="T288" s="575"/>
      <c r="U288" s="645"/>
      <c r="V288" s="575"/>
      <c r="W288" s="575"/>
      <c r="X288" s="575"/>
      <c r="Y288" s="575"/>
      <c r="Z288" s="92"/>
      <c r="AA288" s="99"/>
      <c r="AB288" s="99"/>
      <c r="AC288" s="99"/>
      <c r="AD288" s="99"/>
      <c r="AE288" s="92"/>
      <c r="AF288" s="92"/>
      <c r="AG288" s="92"/>
      <c r="AH288" s="92"/>
      <c r="AI288" s="92"/>
      <c r="AJ288" s="92"/>
      <c r="AK288" s="92"/>
      <c r="AL288" s="92"/>
      <c r="AM288" s="651"/>
      <c r="AN288" s="83"/>
      <c r="AO288" s="83"/>
      <c r="CA288" s="477"/>
      <c r="CB288" s="478"/>
    </row>
    <row r="289" spans="1:80">
      <c r="A289" s="83"/>
      <c r="B289" s="95" t="s">
        <v>633</v>
      </c>
      <c r="C289" s="96" t="s">
        <v>225</v>
      </c>
      <c r="D289" s="164" t="s">
        <v>636</v>
      </c>
      <c r="E289" s="162"/>
      <c r="F289" s="83"/>
      <c r="G289" s="130">
        <f>G270+G280+G286</f>
        <v>820.76239247326396</v>
      </c>
      <c r="H289" s="130">
        <f t="shared" ref="H289:AD289" si="276">H270+H280+H286</f>
        <v>666.25943289907661</v>
      </c>
      <c r="I289" s="130">
        <f t="shared" si="276"/>
        <v>661.42827246490947</v>
      </c>
      <c r="J289" s="130">
        <f t="shared" si="276"/>
        <v>647.11110678731757</v>
      </c>
      <c r="K289" s="130">
        <f t="shared" si="276"/>
        <v>949.85018879448478</v>
      </c>
      <c r="L289" s="97">
        <f t="shared" si="276"/>
        <v>264.20215513264202</v>
      </c>
      <c r="M289" s="97">
        <f t="shared" si="276"/>
        <v>300.68064459710831</v>
      </c>
      <c r="N289" s="97">
        <f t="shared" si="276"/>
        <v>241.34821823995901</v>
      </c>
      <c r="O289" s="97">
        <f t="shared" si="276"/>
        <v>279.16388484942144</v>
      </c>
      <c r="P289" s="130">
        <f t="shared" si="276"/>
        <v>1088.7391095792311</v>
      </c>
      <c r="Q289" s="97">
        <f t="shared" si="276"/>
        <v>226.5268264842428</v>
      </c>
      <c r="R289" s="97">
        <f t="shared" si="276"/>
        <v>238.80534262712047</v>
      </c>
      <c r="S289" s="97">
        <f t="shared" si="276"/>
        <v>201.98667144875046</v>
      </c>
      <c r="T289" s="97">
        <f t="shared" si="276"/>
        <v>268.00860813409673</v>
      </c>
      <c r="U289" s="130">
        <f t="shared" si="276"/>
        <v>936.84176484759405</v>
      </c>
      <c r="V289" s="97">
        <f t="shared" si="276"/>
        <v>215.50640313135574</v>
      </c>
      <c r="W289" s="97">
        <f t="shared" si="276"/>
        <v>109.25432854228482</v>
      </c>
      <c r="X289" s="97">
        <f t="shared" si="276"/>
        <v>258.97425324870431</v>
      </c>
      <c r="Y289" s="97">
        <f t="shared" si="276"/>
        <v>350.06661589278866</v>
      </c>
      <c r="Z289" s="130">
        <f>SUM(V289:Y289)</f>
        <v>933.8016008151335</v>
      </c>
      <c r="AA289" s="97">
        <f>AA270+AA280+AA286</f>
        <v>301.48986648320755</v>
      </c>
      <c r="AB289" s="97">
        <f t="shared" si="276"/>
        <v>369.51134145234613</v>
      </c>
      <c r="AC289" s="97">
        <f t="shared" si="276"/>
        <v>323.24094270555003</v>
      </c>
      <c r="AD289" s="97">
        <f t="shared" si="276"/>
        <v>289.35277935738748</v>
      </c>
      <c r="AE289" s="130">
        <f>SUM(AA289:AD289)</f>
        <v>1283.5949299984914</v>
      </c>
      <c r="AF289" s="130">
        <f t="shared" ref="AF289:AL289" si="277">AF270+AF280+AF286</f>
        <v>1335.9721735059227</v>
      </c>
      <c r="AG289" s="130">
        <f t="shared" si="277"/>
        <v>1355.6805375453137</v>
      </c>
      <c r="AH289" s="130">
        <f t="shared" si="277"/>
        <v>1356.8577199637775</v>
      </c>
      <c r="AI289" s="130">
        <f t="shared" si="277"/>
        <v>1228.4494479036969</v>
      </c>
      <c r="AJ289" s="130">
        <f t="shared" si="277"/>
        <v>1183.6890981243866</v>
      </c>
      <c r="AK289" s="130">
        <f t="shared" si="277"/>
        <v>1183.6890981243866</v>
      </c>
      <c r="AL289" s="130">
        <f t="shared" si="277"/>
        <v>1183.6890981243866</v>
      </c>
      <c r="AM289" s="651"/>
      <c r="AN289" s="83"/>
      <c r="AO289" s="83"/>
      <c r="CA289" s="477"/>
      <c r="CB289" s="478"/>
    </row>
    <row r="290" spans="1:80">
      <c r="A290" s="83"/>
      <c r="B290" s="95" t="s">
        <v>633</v>
      </c>
      <c r="C290" s="96" t="s">
        <v>225</v>
      </c>
      <c r="D290" s="164" t="s">
        <v>682</v>
      </c>
      <c r="E290" s="162"/>
      <c r="F290" s="83"/>
      <c r="G290" s="662">
        <f>G291-G289</f>
        <v>1.237607526736042</v>
      </c>
      <c r="H290" s="662">
        <f t="shared" ref="H290:W290" si="278">H291-H289</f>
        <v>-7.2594328990766144</v>
      </c>
      <c r="I290" s="662">
        <f t="shared" si="278"/>
        <v>-27.428272464909469</v>
      </c>
      <c r="J290" s="662">
        <f t="shared" si="278"/>
        <v>-20.111106787317567</v>
      </c>
      <c r="K290" s="662">
        <f>K291-K289</f>
        <v>-13.850188794484779</v>
      </c>
      <c r="L290" s="666">
        <f t="shared" si="278"/>
        <v>-6.2021551326420195</v>
      </c>
      <c r="M290" s="666">
        <f t="shared" si="278"/>
        <v>-3.6806445971083122</v>
      </c>
      <c r="N290" s="666">
        <f t="shared" si="278"/>
        <v>-3.3482182399590101</v>
      </c>
      <c r="O290" s="666">
        <f t="shared" si="278"/>
        <v>-11.163884849421436</v>
      </c>
      <c r="P290" s="662">
        <f t="shared" si="278"/>
        <v>-27.739109579231126</v>
      </c>
      <c r="Q290" s="666">
        <f t="shared" si="278"/>
        <v>-6.5268264842428039</v>
      </c>
      <c r="R290" s="666">
        <f t="shared" si="278"/>
        <v>-4.8053426271204671</v>
      </c>
      <c r="S290" s="666">
        <f t="shared" si="278"/>
        <v>-9.9866714487504566</v>
      </c>
      <c r="T290" s="666">
        <f t="shared" si="278"/>
        <v>-14.008608134096733</v>
      </c>
      <c r="U290" s="662">
        <f t="shared" si="278"/>
        <v>-36.84176484759405</v>
      </c>
      <c r="V290" s="666">
        <f t="shared" si="278"/>
        <v>-21.506403131355739</v>
      </c>
      <c r="W290" s="666">
        <f t="shared" si="278"/>
        <v>-8.2543285422848243</v>
      </c>
      <c r="X290" s="666">
        <f>X291-X289</f>
        <v>-13.974253248704315</v>
      </c>
      <c r="Y290" s="666">
        <f>Y291-Y289</f>
        <v>-22.066615892788661</v>
      </c>
      <c r="Z290" s="172">
        <f>SUM(V290:Y290)</f>
        <v>-65.80160081513354</v>
      </c>
      <c r="AA290" s="666">
        <f t="shared" ref="AA290:AB290" si="279">AA291-AA289</f>
        <v>-13.48986648320755</v>
      </c>
      <c r="AB290" s="666">
        <f t="shared" si="279"/>
        <v>-22.51134145234613</v>
      </c>
      <c r="AC290" s="99"/>
      <c r="AD290" s="99"/>
      <c r="AE290" s="172">
        <f>SUM(AA290:AD290)</f>
        <v>-36.00120793555368</v>
      </c>
      <c r="AF290" s="92"/>
      <c r="AG290" s="92"/>
      <c r="AH290" s="92"/>
      <c r="AI290" s="92"/>
      <c r="AJ290" s="92"/>
      <c r="AK290" s="92"/>
      <c r="AL290" s="92"/>
      <c r="AM290" s="651"/>
      <c r="AN290" s="83"/>
      <c r="AO290" s="83"/>
      <c r="CA290" s="477"/>
      <c r="CB290" s="478"/>
    </row>
    <row r="291" spans="1:80">
      <c r="A291" s="83"/>
      <c r="B291" s="95" t="s">
        <v>633</v>
      </c>
      <c r="C291" s="96" t="s">
        <v>225</v>
      </c>
      <c r="D291" s="594" t="s">
        <v>638</v>
      </c>
      <c r="E291" s="661"/>
      <c r="F291" s="595"/>
      <c r="G291" s="596">
        <v>822</v>
      </c>
      <c r="H291" s="596">
        <v>659</v>
      </c>
      <c r="I291" s="596">
        <v>634</v>
      </c>
      <c r="J291" s="596">
        <v>627</v>
      </c>
      <c r="K291" s="596">
        <v>936</v>
      </c>
      <c r="L291" s="597">
        <v>258</v>
      </c>
      <c r="M291" s="597">
        <v>297</v>
      </c>
      <c r="N291" s="597">
        <v>238</v>
      </c>
      <c r="O291" s="597">
        <v>268</v>
      </c>
      <c r="P291" s="596">
        <v>1061</v>
      </c>
      <c r="Q291" s="597">
        <v>220</v>
      </c>
      <c r="R291" s="597">
        <v>234</v>
      </c>
      <c r="S291" s="597">
        <v>192</v>
      </c>
      <c r="T291" s="597">
        <v>254</v>
      </c>
      <c r="U291" s="596">
        <v>900</v>
      </c>
      <c r="V291" s="597">
        <v>194</v>
      </c>
      <c r="W291" s="597">
        <v>101</v>
      </c>
      <c r="X291" s="597">
        <v>245</v>
      </c>
      <c r="Y291" s="597">
        <v>328</v>
      </c>
      <c r="Z291" s="596">
        <v>868</v>
      </c>
      <c r="AA291" s="597">
        <v>288</v>
      </c>
      <c r="AB291" s="597">
        <v>347</v>
      </c>
      <c r="AC291" s="615">
        <f>AC289+AC290</f>
        <v>323.24094270555003</v>
      </c>
      <c r="AD291" s="615">
        <f>AD289+AD290</f>
        <v>289.35277935738748</v>
      </c>
      <c r="AE291" s="602">
        <f>SUM(AA291:AD291)</f>
        <v>1247.5937220629376</v>
      </c>
      <c r="AF291" s="602">
        <f t="shared" ref="AF291:AL291" si="280">AF289+AF290</f>
        <v>1335.9721735059227</v>
      </c>
      <c r="AG291" s="602">
        <f t="shared" si="280"/>
        <v>1355.6805375453137</v>
      </c>
      <c r="AH291" s="602">
        <f t="shared" si="280"/>
        <v>1356.8577199637775</v>
      </c>
      <c r="AI291" s="602">
        <f t="shared" si="280"/>
        <v>1228.4494479036969</v>
      </c>
      <c r="AJ291" s="602">
        <f t="shared" si="280"/>
        <v>1183.6890981243866</v>
      </c>
      <c r="AK291" s="602">
        <f t="shared" si="280"/>
        <v>1183.6890981243866</v>
      </c>
      <c r="AL291" s="602">
        <f t="shared" si="280"/>
        <v>1183.6890981243866</v>
      </c>
      <c r="AM291" s="651"/>
      <c r="AN291" s="83"/>
      <c r="AO291" s="83"/>
      <c r="CA291" s="477"/>
      <c r="CB291" s="478"/>
    </row>
    <row r="292" spans="1:80">
      <c r="A292" s="83"/>
      <c r="B292" s="95" t="s">
        <v>633</v>
      </c>
      <c r="C292" s="96" t="s">
        <v>225</v>
      </c>
      <c r="D292" s="599" t="s">
        <v>642</v>
      </c>
      <c r="G292" s="90">
        <v>-182</v>
      </c>
      <c r="H292" s="90">
        <v>-171</v>
      </c>
      <c r="I292" s="90">
        <v>-192</v>
      </c>
      <c r="J292" s="90">
        <v>-182</v>
      </c>
      <c r="K292" s="90">
        <v>-214</v>
      </c>
      <c r="L292" s="91">
        <v>-50</v>
      </c>
      <c r="M292" s="91">
        <v>-57</v>
      </c>
      <c r="N292" s="91">
        <v>-45</v>
      </c>
      <c r="O292" s="91">
        <v>-61</v>
      </c>
      <c r="P292" s="90">
        <v>-213</v>
      </c>
      <c r="Q292" s="91">
        <v>-53</v>
      </c>
      <c r="R292" s="91">
        <v>-63</v>
      </c>
      <c r="S292" s="91">
        <v>-46</v>
      </c>
      <c r="T292" s="91">
        <v>-78</v>
      </c>
      <c r="U292" s="90">
        <v>-240</v>
      </c>
      <c r="V292" s="91">
        <v>-58</v>
      </c>
      <c r="W292" s="91">
        <v>-38</v>
      </c>
      <c r="X292" s="91">
        <v>-57</v>
      </c>
      <c r="Y292" s="91">
        <v>-91</v>
      </c>
      <c r="Z292" s="90">
        <v>-244</v>
      </c>
      <c r="AA292" s="91">
        <v>-64</v>
      </c>
      <c r="AB292" s="91">
        <v>-74</v>
      </c>
      <c r="AC292" s="126">
        <f>(-AC311*AC305)/1000</f>
        <v>-60.368198122616072</v>
      </c>
      <c r="AD292" s="126">
        <f>(-AD311*AD305)/1000</f>
        <v>-54.039274125890188</v>
      </c>
      <c r="AE292" s="95">
        <f>SUM(AA292:AD292)</f>
        <v>-252.40747224850625</v>
      </c>
      <c r="AF292" s="95">
        <f>(-AF311*AF305)/1000</f>
        <v>-241.47279249046429</v>
      </c>
      <c r="AG292" s="95">
        <f t="shared" ref="AG292:AL292" si="281">(-AG311*AG305)/1000</f>
        <v>-241.47279249046429</v>
      </c>
      <c r="AH292" s="95">
        <f t="shared" si="281"/>
        <v>-241.47279249046429</v>
      </c>
      <c r="AI292" s="95">
        <f t="shared" si="281"/>
        <v>-241.47279249046429</v>
      </c>
      <c r="AJ292" s="95">
        <f t="shared" si="281"/>
        <v>-241.47279249046429</v>
      </c>
      <c r="AK292" s="95">
        <f t="shared" si="281"/>
        <v>-241.47279249046429</v>
      </c>
      <c r="AL292" s="95">
        <f t="shared" si="281"/>
        <v>-241.47279249046429</v>
      </c>
      <c r="AM292" s="651"/>
      <c r="AN292" s="83"/>
      <c r="AO292" s="83"/>
      <c r="CA292" s="477"/>
      <c r="CB292" s="478"/>
    </row>
    <row r="293" spans="1:80">
      <c r="A293" s="83"/>
      <c r="B293" s="95" t="s">
        <v>633</v>
      </c>
      <c r="C293" s="96" t="s">
        <v>225</v>
      </c>
      <c r="D293" s="599" t="s">
        <v>643</v>
      </c>
      <c r="G293" s="90">
        <v>-25</v>
      </c>
      <c r="H293" s="90">
        <v>-19</v>
      </c>
      <c r="I293" s="90">
        <v>-19</v>
      </c>
      <c r="J293" s="90">
        <v>-19</v>
      </c>
      <c r="K293" s="90">
        <v>-24</v>
      </c>
      <c r="L293" s="91">
        <v>-6</v>
      </c>
      <c r="M293" s="91">
        <v>-8</v>
      </c>
      <c r="N293" s="91">
        <v>-7</v>
      </c>
      <c r="O293" s="91">
        <v>-8</v>
      </c>
      <c r="P293" s="90">
        <v>-29</v>
      </c>
      <c r="Q293" s="91">
        <v>-6</v>
      </c>
      <c r="R293" s="91">
        <v>-7</v>
      </c>
      <c r="S293" s="91">
        <v>-7</v>
      </c>
      <c r="T293" s="91">
        <v>-10</v>
      </c>
      <c r="U293" s="90">
        <v>-30</v>
      </c>
      <c r="V293" s="91">
        <v>-8</v>
      </c>
      <c r="W293" s="91">
        <v>-3</v>
      </c>
      <c r="X293" s="91">
        <v>-9</v>
      </c>
      <c r="Y293" s="91">
        <v>-11</v>
      </c>
      <c r="Z293" s="90">
        <v>-31</v>
      </c>
      <c r="AA293" s="91">
        <v>-7</v>
      </c>
      <c r="AB293" s="91">
        <v>-9</v>
      </c>
      <c r="AC293" s="126">
        <f>(-AC312*AC307)/1000000</f>
        <v>-7.4340214285714294</v>
      </c>
      <c r="AD293" s="126">
        <f>(-AD312*AD307)/1000000</f>
        <v>-6.6546482142857135</v>
      </c>
      <c r="AE293" s="95">
        <f t="shared" ref="AE293:AE299" si="282">SUM(AA293:AD293)</f>
        <v>-30.088669642857145</v>
      </c>
      <c r="AF293" s="95">
        <f t="shared" ref="AF293:AL293" si="283">(-AF312*AF307)/1000000</f>
        <v>-29.736085714285718</v>
      </c>
      <c r="AG293" s="95">
        <f t="shared" si="283"/>
        <v>-29.736085714285718</v>
      </c>
      <c r="AH293" s="95">
        <f t="shared" si="283"/>
        <v>-29.736085714285718</v>
      </c>
      <c r="AI293" s="95">
        <f t="shared" si="283"/>
        <v>-29.736085714285718</v>
      </c>
      <c r="AJ293" s="95">
        <f t="shared" si="283"/>
        <v>-29.736085714285718</v>
      </c>
      <c r="AK293" s="95">
        <f t="shared" si="283"/>
        <v>-29.736085714285718</v>
      </c>
      <c r="AL293" s="95">
        <f t="shared" si="283"/>
        <v>-29.736085714285718</v>
      </c>
      <c r="AM293" s="651"/>
      <c r="AN293" s="83"/>
      <c r="AO293" s="83"/>
      <c r="CA293" s="477"/>
      <c r="CB293" s="478"/>
    </row>
    <row r="294" spans="1:80">
      <c r="A294" s="83"/>
      <c r="B294" s="95" t="s">
        <v>633</v>
      </c>
      <c r="C294" s="96" t="s">
        <v>225</v>
      </c>
      <c r="D294" s="599" t="s">
        <v>527</v>
      </c>
      <c r="G294" s="90">
        <v>-19</v>
      </c>
      <c r="H294" s="90">
        <v>-19</v>
      </c>
      <c r="I294" s="90">
        <v>-11</v>
      </c>
      <c r="J294" s="90">
        <v>-17</v>
      </c>
      <c r="K294" s="90">
        <v>-28</v>
      </c>
      <c r="L294" s="91">
        <v>-6</v>
      </c>
      <c r="M294" s="91">
        <v>-6</v>
      </c>
      <c r="N294" s="91">
        <v>-6</v>
      </c>
      <c r="O294" s="91">
        <v>-7</v>
      </c>
      <c r="P294" s="90">
        <v>-25</v>
      </c>
      <c r="Q294" s="91">
        <v>-4</v>
      </c>
      <c r="R294" s="91">
        <v>-7</v>
      </c>
      <c r="S294" s="91">
        <v>-3</v>
      </c>
      <c r="T294" s="91">
        <v>-2</v>
      </c>
      <c r="U294" s="90">
        <v>-16</v>
      </c>
      <c r="V294" s="91">
        <v>-5</v>
      </c>
      <c r="W294" s="91">
        <v>0</v>
      </c>
      <c r="X294" s="91">
        <v>-6</v>
      </c>
      <c r="Y294" s="91">
        <v>-16</v>
      </c>
      <c r="Z294" s="90">
        <v>-27</v>
      </c>
      <c r="AA294" s="91">
        <v>-15</v>
      </c>
      <c r="AB294" s="91">
        <v>-10</v>
      </c>
      <c r="AC294" s="126">
        <f>(-AC316*AC307)/1000</f>
        <v>-9.9642857142857153</v>
      </c>
      <c r="AD294" s="126">
        <f>(-AD316*AD307)/1000</f>
        <v>-8.9196428571428577</v>
      </c>
      <c r="AE294" s="95">
        <f t="shared" si="282"/>
        <v>-43.883928571428569</v>
      </c>
      <c r="AF294" s="95">
        <f t="shared" ref="AF294:AL294" si="284">(-AF316*AF307)/1000</f>
        <v>-39.857142857142861</v>
      </c>
      <c r="AG294" s="95">
        <f t="shared" si="284"/>
        <v>-39.857142857142861</v>
      </c>
      <c r="AH294" s="95">
        <f t="shared" si="284"/>
        <v>-39.857142857142861</v>
      </c>
      <c r="AI294" s="95">
        <f t="shared" si="284"/>
        <v>-39.857142857142861</v>
      </c>
      <c r="AJ294" s="95">
        <f t="shared" si="284"/>
        <v>-39.857142857142861</v>
      </c>
      <c r="AK294" s="95">
        <f t="shared" si="284"/>
        <v>-39.857142857142861</v>
      </c>
      <c r="AL294" s="95">
        <f t="shared" si="284"/>
        <v>-39.857142857142861</v>
      </c>
      <c r="AM294" s="651"/>
      <c r="AN294" s="83"/>
      <c r="AO294" s="83"/>
      <c r="CA294" s="477"/>
      <c r="CB294" s="478"/>
    </row>
    <row r="295" spans="1:80">
      <c r="A295" s="83"/>
      <c r="B295" s="95" t="s">
        <v>633</v>
      </c>
      <c r="C295" s="96" t="s">
        <v>225</v>
      </c>
      <c r="D295" s="599" t="s">
        <v>644</v>
      </c>
      <c r="G295" s="90">
        <v>-47</v>
      </c>
      <c r="H295" s="90">
        <v>-77</v>
      </c>
      <c r="I295" s="90">
        <v>-108</v>
      </c>
      <c r="J295" s="90">
        <v>-104</v>
      </c>
      <c r="K295" s="90">
        <v>-136</v>
      </c>
      <c r="L295" s="91">
        <v>-29</v>
      </c>
      <c r="M295" s="91">
        <v>-33</v>
      </c>
      <c r="N295" s="91">
        <v>-40</v>
      </c>
      <c r="O295" s="91">
        <v>-40</v>
      </c>
      <c r="P295" s="90">
        <v>-142</v>
      </c>
      <c r="Q295" s="91">
        <v>-35</v>
      </c>
      <c r="R295" s="91">
        <v>-37</v>
      </c>
      <c r="S295" s="91">
        <v>-42</v>
      </c>
      <c r="T295" s="91">
        <v>-43</v>
      </c>
      <c r="U295" s="90">
        <v>-157</v>
      </c>
      <c r="V295" s="91">
        <v>-41</v>
      </c>
      <c r="W295" s="91">
        <v>-23</v>
      </c>
      <c r="X295" s="91">
        <v>-48</v>
      </c>
      <c r="Y295" s="91">
        <v>-40</v>
      </c>
      <c r="Z295" s="90">
        <v>-152</v>
      </c>
      <c r="AA295" s="91">
        <v>-41</v>
      </c>
      <c r="AB295" s="91">
        <v>-39</v>
      </c>
      <c r="AC295" s="126">
        <f>(-AC315*AC307)/1000</f>
        <v>-41.355099175004391</v>
      </c>
      <c r="AD295" s="126">
        <f>(-AD315*AD307)/1000</f>
        <v>-37.019483938915215</v>
      </c>
      <c r="AE295" s="95">
        <f t="shared" si="282"/>
        <v>-158.37458311391961</v>
      </c>
      <c r="AF295" s="95">
        <f t="shared" ref="AF295:AL295" si="285">(-AF315*AF307)/1000</f>
        <v>-165.42039670001756</v>
      </c>
      <c r="AG295" s="95">
        <f t="shared" si="285"/>
        <v>-165.42039670001756</v>
      </c>
      <c r="AH295" s="95">
        <f t="shared" si="285"/>
        <v>-165.42039670001756</v>
      </c>
      <c r="AI295" s="95">
        <f t="shared" si="285"/>
        <v>-165.42039670001756</v>
      </c>
      <c r="AJ295" s="95">
        <f t="shared" si="285"/>
        <v>-165.42039670001756</v>
      </c>
      <c r="AK295" s="95">
        <f t="shared" si="285"/>
        <v>-165.42039670001756</v>
      </c>
      <c r="AL295" s="95">
        <f t="shared" si="285"/>
        <v>-165.42039670001756</v>
      </c>
      <c r="AM295" s="651"/>
      <c r="AN295" s="83"/>
      <c r="AO295" s="83"/>
      <c r="CA295" s="477"/>
      <c r="CB295" s="478"/>
    </row>
    <row r="296" spans="1:80">
      <c r="A296" s="83"/>
      <c r="B296" s="95" t="s">
        <v>633</v>
      </c>
      <c r="C296" s="96" t="s">
        <v>225</v>
      </c>
      <c r="D296" s="600" t="s">
        <v>645</v>
      </c>
      <c r="E296" s="601"/>
      <c r="F296" s="601"/>
      <c r="G296" s="601">
        <f t="shared" ref="G296:Y296" si="286">SUM(G292:G295)</f>
        <v>-273</v>
      </c>
      <c r="H296" s="601">
        <f t="shared" si="286"/>
        <v>-286</v>
      </c>
      <c r="I296" s="601">
        <f t="shared" si="286"/>
        <v>-330</v>
      </c>
      <c r="J296" s="601">
        <f t="shared" si="286"/>
        <v>-322</v>
      </c>
      <c r="K296" s="601">
        <f t="shared" si="286"/>
        <v>-402</v>
      </c>
      <c r="L296" s="614">
        <f t="shared" si="286"/>
        <v>-91</v>
      </c>
      <c r="M296" s="614">
        <f t="shared" si="286"/>
        <v>-104</v>
      </c>
      <c r="N296" s="614">
        <f t="shared" si="286"/>
        <v>-98</v>
      </c>
      <c r="O296" s="614">
        <f t="shared" si="286"/>
        <v>-116</v>
      </c>
      <c r="P296" s="601">
        <f t="shared" si="286"/>
        <v>-409</v>
      </c>
      <c r="Q296" s="614">
        <f t="shared" si="286"/>
        <v>-98</v>
      </c>
      <c r="R296" s="614">
        <f t="shared" si="286"/>
        <v>-114</v>
      </c>
      <c r="S296" s="614">
        <f t="shared" si="286"/>
        <v>-98</v>
      </c>
      <c r="T296" s="614">
        <f t="shared" si="286"/>
        <v>-133</v>
      </c>
      <c r="U296" s="601">
        <f t="shared" si="286"/>
        <v>-443</v>
      </c>
      <c r="V296" s="614">
        <f>SUM(V292:V295)</f>
        <v>-112</v>
      </c>
      <c r="W296" s="614">
        <f>SUM(W292:W295)</f>
        <v>-64</v>
      </c>
      <c r="X296" s="614">
        <f>SUM(X292:X295)</f>
        <v>-120</v>
      </c>
      <c r="Y296" s="614">
        <f t="shared" si="286"/>
        <v>-158</v>
      </c>
      <c r="Z296" s="601">
        <f>SUM(V296:Y296)</f>
        <v>-454</v>
      </c>
      <c r="AA296" s="614">
        <f>SUM(AA292:AA295)</f>
        <v>-127</v>
      </c>
      <c r="AB296" s="614">
        <f>SUM(AB292:AB295)</f>
        <v>-132</v>
      </c>
      <c r="AC296" s="614">
        <f>SUM(AC292:AC295)</f>
        <v>-119.12160444047763</v>
      </c>
      <c r="AD296" s="614">
        <f>SUM(AD292:AD295)</f>
        <v>-106.63304913623398</v>
      </c>
      <c r="AE296" s="601">
        <f t="shared" si="282"/>
        <v>-484.75465357671163</v>
      </c>
      <c r="AF296" s="601">
        <f>SUM(AF292:AF295)</f>
        <v>-476.4864177619105</v>
      </c>
      <c r="AG296" s="601">
        <f t="shared" ref="AG296:AL296" si="287">SUM(AG292:AG295)</f>
        <v>-476.4864177619105</v>
      </c>
      <c r="AH296" s="601">
        <f t="shared" si="287"/>
        <v>-476.4864177619105</v>
      </c>
      <c r="AI296" s="601">
        <f t="shared" si="287"/>
        <v>-476.4864177619105</v>
      </c>
      <c r="AJ296" s="601">
        <f t="shared" si="287"/>
        <v>-476.4864177619105</v>
      </c>
      <c r="AK296" s="601">
        <f t="shared" si="287"/>
        <v>-476.4864177619105</v>
      </c>
      <c r="AL296" s="601">
        <f t="shared" si="287"/>
        <v>-476.4864177619105</v>
      </c>
      <c r="AM296" s="651"/>
      <c r="AN296" s="83"/>
      <c r="AO296" s="83"/>
      <c r="CA296" s="477"/>
      <c r="CB296" s="478"/>
    </row>
    <row r="297" spans="1:80">
      <c r="A297" s="83"/>
      <c r="B297" s="95" t="s">
        <v>633</v>
      </c>
      <c r="C297" s="96" t="s">
        <v>225</v>
      </c>
      <c r="D297" s="163" t="s">
        <v>226</v>
      </c>
      <c r="E297" s="95"/>
      <c r="F297" s="95"/>
      <c r="G297" s="95">
        <f t="shared" ref="G297:L297" si="288">G291+G292+G293+G294</f>
        <v>596</v>
      </c>
      <c r="H297" s="95">
        <f t="shared" si="288"/>
        <v>450</v>
      </c>
      <c r="I297" s="95">
        <f t="shared" si="288"/>
        <v>412</v>
      </c>
      <c r="J297" s="95">
        <f t="shared" si="288"/>
        <v>409</v>
      </c>
      <c r="K297" s="95">
        <f t="shared" si="288"/>
        <v>670</v>
      </c>
      <c r="L297" s="126">
        <f t="shared" si="288"/>
        <v>196</v>
      </c>
      <c r="M297" s="126">
        <f t="shared" ref="M297:V297" si="289">M291+M292+M293+M294</f>
        <v>226</v>
      </c>
      <c r="N297" s="126">
        <f t="shared" si="289"/>
        <v>180</v>
      </c>
      <c r="O297" s="126">
        <f t="shared" si="289"/>
        <v>192</v>
      </c>
      <c r="P297" s="95">
        <f t="shared" si="289"/>
        <v>794</v>
      </c>
      <c r="Q297" s="126">
        <f t="shared" si="289"/>
        <v>157</v>
      </c>
      <c r="R297" s="126">
        <f t="shared" si="289"/>
        <v>157</v>
      </c>
      <c r="S297" s="126">
        <f t="shared" si="289"/>
        <v>136</v>
      </c>
      <c r="T297" s="126">
        <f t="shared" si="289"/>
        <v>164</v>
      </c>
      <c r="U297" s="95">
        <f t="shared" si="289"/>
        <v>614</v>
      </c>
      <c r="V297" s="126">
        <f t="shared" si="289"/>
        <v>123</v>
      </c>
      <c r="W297" s="126">
        <f>W291+W292+W293+W294</f>
        <v>60</v>
      </c>
      <c r="X297" s="126">
        <f>X291+X292+X293+X294</f>
        <v>173</v>
      </c>
      <c r="Y297" s="126">
        <f>Y291+Y292+Y293+Y294</f>
        <v>210</v>
      </c>
      <c r="Z297" s="95">
        <f t="shared" ref="Z297:Z298" si="290">SUM(V297:Y297)</f>
        <v>566</v>
      </c>
      <c r="AA297" s="126">
        <f>AA291+AA292+AA293+AA294</f>
        <v>202</v>
      </c>
      <c r="AB297" s="126">
        <f>AB291+AB292+AB293+AB294</f>
        <v>254</v>
      </c>
      <c r="AC297" s="126">
        <f>AC291+AC292+AC293+AC294</f>
        <v>245.47443744007677</v>
      </c>
      <c r="AD297" s="126">
        <f>AD291+AD292+AD293+AD294</f>
        <v>219.73921416006871</v>
      </c>
      <c r="AE297" s="95">
        <f t="shared" si="282"/>
        <v>921.21365160014557</v>
      </c>
      <c r="AF297" s="95">
        <f t="shared" ref="AF297:AL297" si="291">AF291+AF292+AF293+AF294</f>
        <v>1024.9061524440297</v>
      </c>
      <c r="AG297" s="95">
        <f t="shared" si="291"/>
        <v>1044.6145164834206</v>
      </c>
      <c r="AH297" s="95">
        <f t="shared" si="291"/>
        <v>1045.7916989018845</v>
      </c>
      <c r="AI297" s="95">
        <f t="shared" si="291"/>
        <v>917.38342684180395</v>
      </c>
      <c r="AJ297" s="95">
        <f t="shared" si="291"/>
        <v>872.62307706249373</v>
      </c>
      <c r="AK297" s="95">
        <f t="shared" si="291"/>
        <v>872.62307706249373</v>
      </c>
      <c r="AL297" s="95">
        <f t="shared" si="291"/>
        <v>872.62307706249373</v>
      </c>
      <c r="AM297" s="651"/>
      <c r="AN297" s="83"/>
      <c r="AO297" s="83"/>
      <c r="CA297" s="477"/>
      <c r="CB297" s="478"/>
    </row>
    <row r="298" spans="1:80">
      <c r="A298" s="83"/>
      <c r="B298" s="95" t="s">
        <v>633</v>
      </c>
      <c r="C298" s="96" t="s">
        <v>225</v>
      </c>
      <c r="D298" s="594" t="s">
        <v>178</v>
      </c>
      <c r="E298" s="602"/>
      <c r="F298" s="602"/>
      <c r="G298" s="602">
        <f t="shared" ref="G298:Y298" si="292">G297+G295</f>
        <v>549</v>
      </c>
      <c r="H298" s="602">
        <f t="shared" si="292"/>
        <v>373</v>
      </c>
      <c r="I298" s="602">
        <f t="shared" si="292"/>
        <v>304</v>
      </c>
      <c r="J298" s="602">
        <f t="shared" si="292"/>
        <v>305</v>
      </c>
      <c r="K298" s="602">
        <f t="shared" si="292"/>
        <v>534</v>
      </c>
      <c r="L298" s="615">
        <f t="shared" si="292"/>
        <v>167</v>
      </c>
      <c r="M298" s="615">
        <f t="shared" si="292"/>
        <v>193</v>
      </c>
      <c r="N298" s="615">
        <f t="shared" si="292"/>
        <v>140</v>
      </c>
      <c r="O298" s="615">
        <f t="shared" si="292"/>
        <v>152</v>
      </c>
      <c r="P298" s="602">
        <f t="shared" si="292"/>
        <v>652</v>
      </c>
      <c r="Q298" s="615">
        <f t="shared" si="292"/>
        <v>122</v>
      </c>
      <c r="R298" s="615">
        <f t="shared" si="292"/>
        <v>120</v>
      </c>
      <c r="S298" s="615">
        <f t="shared" si="292"/>
        <v>94</v>
      </c>
      <c r="T298" s="615">
        <f t="shared" si="292"/>
        <v>121</v>
      </c>
      <c r="U298" s="602">
        <f t="shared" si="292"/>
        <v>457</v>
      </c>
      <c r="V298" s="615">
        <f t="shared" si="292"/>
        <v>82</v>
      </c>
      <c r="W298" s="615">
        <f>W297+W295</f>
        <v>37</v>
      </c>
      <c r="X298" s="615">
        <f t="shared" si="292"/>
        <v>125</v>
      </c>
      <c r="Y298" s="615">
        <f t="shared" si="292"/>
        <v>170</v>
      </c>
      <c r="Z298" s="602">
        <f t="shared" si="290"/>
        <v>414</v>
      </c>
      <c r="AA298" s="615">
        <f>AA297+AA295</f>
        <v>161</v>
      </c>
      <c r="AB298" s="615">
        <f>AB297+AB295</f>
        <v>215</v>
      </c>
      <c r="AC298" s="615">
        <f>AC297+AC295</f>
        <v>204.11933826507237</v>
      </c>
      <c r="AD298" s="615">
        <f>AD297+AD295</f>
        <v>182.7197302211535</v>
      </c>
      <c r="AE298" s="602">
        <f t="shared" si="282"/>
        <v>762.83906848622587</v>
      </c>
      <c r="AF298" s="602">
        <f t="shared" ref="AF298:AL298" si="293">AF297+AF295</f>
        <v>859.48575574401207</v>
      </c>
      <c r="AG298" s="602">
        <f t="shared" si="293"/>
        <v>879.19411978340304</v>
      </c>
      <c r="AH298" s="602">
        <f t="shared" si="293"/>
        <v>880.37130220186691</v>
      </c>
      <c r="AI298" s="602">
        <f t="shared" si="293"/>
        <v>751.96303014178636</v>
      </c>
      <c r="AJ298" s="602">
        <f t="shared" si="293"/>
        <v>707.20268036247614</v>
      </c>
      <c r="AK298" s="602">
        <f t="shared" si="293"/>
        <v>707.20268036247614</v>
      </c>
      <c r="AL298" s="602">
        <f t="shared" si="293"/>
        <v>707.20268036247614</v>
      </c>
      <c r="AM298" s="651"/>
      <c r="AN298" s="83"/>
      <c r="AO298" s="83"/>
      <c r="CA298" s="477"/>
      <c r="CB298" s="478"/>
    </row>
    <row r="299" spans="1:80">
      <c r="A299" s="83"/>
      <c r="B299" s="95" t="s">
        <v>633</v>
      </c>
      <c r="C299" s="96" t="s">
        <v>225</v>
      </c>
      <c r="D299" s="607" t="s">
        <v>261</v>
      </c>
      <c r="E299" s="610"/>
      <c r="F299" s="610"/>
      <c r="G299" s="1105">
        <v>67</v>
      </c>
      <c r="H299" s="1105">
        <v>63</v>
      </c>
      <c r="I299" s="1105">
        <v>67</v>
      </c>
      <c r="J299" s="1105">
        <v>82</v>
      </c>
      <c r="K299" s="1105">
        <v>75</v>
      </c>
      <c r="L299" s="1104">
        <v>19</v>
      </c>
      <c r="M299" s="1104">
        <v>21</v>
      </c>
      <c r="N299" s="1104">
        <v>19</v>
      </c>
      <c r="O299" s="1104">
        <v>18</v>
      </c>
      <c r="P299" s="1105">
        <v>77</v>
      </c>
      <c r="Q299" s="1104">
        <v>22</v>
      </c>
      <c r="R299" s="1104">
        <v>29</v>
      </c>
      <c r="S299" s="1104">
        <v>20</v>
      </c>
      <c r="T299" s="1104">
        <v>20</v>
      </c>
      <c r="U299" s="1105">
        <v>91</v>
      </c>
      <c r="V299" s="1104">
        <v>18</v>
      </c>
      <c r="W299" s="1104">
        <v>3</v>
      </c>
      <c r="X299" s="1104">
        <v>13</v>
      </c>
      <c r="Y299" s="1104">
        <v>19</v>
      </c>
      <c r="Z299" s="1105">
        <v>53</v>
      </c>
      <c r="AA299" s="1104">
        <v>19</v>
      </c>
      <c r="AB299" s="1104">
        <v>20</v>
      </c>
      <c r="AC299" s="611">
        <f>(AC314*AC307)/1000</f>
        <v>14.419870107073899</v>
      </c>
      <c r="AD299" s="611">
        <f>(AD314*AD307)/1000</f>
        <v>12.908109531332279</v>
      </c>
      <c r="AE299" s="610">
        <f t="shared" si="282"/>
        <v>66.327979638406177</v>
      </c>
      <c r="AF299" s="610">
        <f t="shared" ref="AF299:AL299" si="294">(AF314*AF307)/1000</f>
        <v>57.679480428295598</v>
      </c>
      <c r="AG299" s="610">
        <f t="shared" si="294"/>
        <v>57.679480428295598</v>
      </c>
      <c r="AH299" s="610">
        <f t="shared" si="294"/>
        <v>57.679480428295598</v>
      </c>
      <c r="AI299" s="610">
        <f t="shared" si="294"/>
        <v>57.679480428295598</v>
      </c>
      <c r="AJ299" s="610">
        <f t="shared" si="294"/>
        <v>57.679480428295598</v>
      </c>
      <c r="AK299" s="610">
        <f t="shared" si="294"/>
        <v>57.679480428295598</v>
      </c>
      <c r="AL299" s="610">
        <f t="shared" si="294"/>
        <v>57.679480428295598</v>
      </c>
      <c r="AM299" s="651"/>
      <c r="AN299" s="83"/>
      <c r="AO299" s="83"/>
      <c r="CA299" s="477"/>
      <c r="CB299" s="478"/>
    </row>
    <row r="300" spans="1:80">
      <c r="A300" s="83"/>
      <c r="L300" s="133"/>
      <c r="M300" s="133"/>
      <c r="N300" s="133"/>
      <c r="O300" s="133"/>
      <c r="Q300" s="133"/>
      <c r="R300" s="133"/>
      <c r="S300" s="133"/>
      <c r="T300" s="133"/>
      <c r="V300" s="133"/>
      <c r="W300" s="133"/>
      <c r="X300" s="133"/>
      <c r="Y300" s="133"/>
      <c r="Z300" s="92"/>
      <c r="AA300" s="99"/>
      <c r="AB300" s="99"/>
      <c r="AC300" s="99"/>
      <c r="AD300" s="99"/>
      <c r="AE300" s="92"/>
      <c r="AF300" s="83"/>
      <c r="AG300" s="83"/>
      <c r="AH300" s="83"/>
      <c r="AI300" s="83"/>
      <c r="AJ300" s="83"/>
      <c r="AK300" s="83"/>
      <c r="AL300" s="83"/>
      <c r="AM300" s="651"/>
      <c r="AN300" s="83"/>
      <c r="AO300" s="83"/>
      <c r="CA300" s="477"/>
      <c r="CB300" s="478"/>
    </row>
    <row r="301" spans="1:80">
      <c r="A301" s="83"/>
      <c r="L301" s="620"/>
      <c r="M301" s="620"/>
      <c r="N301" s="620"/>
      <c r="O301" s="620"/>
      <c r="P301" s="95"/>
      <c r="Q301" s="620"/>
      <c r="R301" s="620"/>
      <c r="S301" s="620"/>
      <c r="T301" s="620"/>
      <c r="U301" s="92"/>
      <c r="V301" s="620"/>
      <c r="W301" s="620"/>
      <c r="X301" s="620"/>
      <c r="Y301" s="620"/>
      <c r="Z301" s="92"/>
      <c r="AA301" s="99"/>
      <c r="AB301" s="99"/>
      <c r="AC301" s="99"/>
      <c r="AD301" s="99"/>
      <c r="AE301" s="92"/>
      <c r="AF301" s="83"/>
      <c r="AG301" s="83"/>
      <c r="AH301" s="83"/>
      <c r="AI301" s="83"/>
      <c r="AJ301" s="83"/>
      <c r="AK301" s="83"/>
      <c r="AL301" s="83"/>
      <c r="AM301" s="651"/>
      <c r="AN301" s="83"/>
      <c r="AO301" s="83"/>
      <c r="CA301" s="477"/>
      <c r="CB301" s="478"/>
    </row>
    <row r="302" spans="1:80">
      <c r="A302" s="83"/>
      <c r="L302" s="620"/>
      <c r="M302" s="620"/>
      <c r="N302" s="620"/>
      <c r="O302" s="620"/>
      <c r="P302" s="95"/>
      <c r="Q302" s="620"/>
      <c r="R302" s="620"/>
      <c r="S302" s="620"/>
      <c r="T302" s="620"/>
      <c r="U302" s="92"/>
      <c r="V302" s="620"/>
      <c r="W302" s="620"/>
      <c r="X302" s="620"/>
      <c r="Y302" s="620"/>
      <c r="Z302" s="92"/>
      <c r="AA302" s="99"/>
      <c r="AB302" s="99"/>
      <c r="AC302" s="99"/>
      <c r="AD302" s="99"/>
      <c r="AE302" s="92"/>
      <c r="AF302" s="83"/>
      <c r="AG302" s="83"/>
      <c r="AH302" s="83"/>
      <c r="AI302" s="83"/>
      <c r="AJ302" s="83"/>
      <c r="AK302" s="83"/>
      <c r="AL302" s="83"/>
      <c r="AM302" s="651"/>
      <c r="AN302" s="83"/>
      <c r="AO302" s="83"/>
      <c r="CA302" s="477"/>
      <c r="CB302" s="478"/>
    </row>
    <row r="303" spans="1:80">
      <c r="A303" s="83"/>
      <c r="B303" s="95"/>
      <c r="C303" s="96"/>
      <c r="D303" s="173" t="s">
        <v>646</v>
      </c>
      <c r="E303" s="173"/>
      <c r="F303" s="174"/>
      <c r="G303" s="605"/>
      <c r="H303" s="654"/>
      <c r="I303" s="654"/>
      <c r="J303" s="654"/>
      <c r="K303" s="654"/>
      <c r="L303" s="667"/>
      <c r="M303" s="667"/>
      <c r="N303" s="667"/>
      <c r="O303" s="667"/>
      <c r="P303" s="605"/>
      <c r="Q303" s="667"/>
      <c r="R303" s="667"/>
      <c r="S303" s="667"/>
      <c r="T303" s="667"/>
      <c r="U303" s="588"/>
      <c r="V303" s="667"/>
      <c r="W303" s="667"/>
      <c r="X303" s="667"/>
      <c r="Y303" s="667"/>
      <c r="Z303" s="588"/>
      <c r="AA303" s="705"/>
      <c r="AB303" s="705"/>
      <c r="AC303" s="705"/>
      <c r="AD303" s="705"/>
      <c r="AE303" s="588"/>
      <c r="AF303" s="586"/>
      <c r="AG303" s="586"/>
      <c r="AH303" s="586"/>
      <c r="AI303" s="586"/>
      <c r="AJ303" s="586"/>
      <c r="AK303" s="586"/>
      <c r="AL303" s="586"/>
      <c r="AM303" s="651"/>
      <c r="AN303" s="83"/>
      <c r="AO303" s="83"/>
      <c r="CA303" s="477"/>
      <c r="CB303" s="478"/>
    </row>
    <row r="304" spans="1:80">
      <c r="A304" s="83"/>
      <c r="B304" s="95" t="s">
        <v>649</v>
      </c>
      <c r="C304" s="96"/>
      <c r="D304" s="203" t="s">
        <v>657</v>
      </c>
      <c r="E304" s="186"/>
      <c r="F304" s="136"/>
      <c r="G304" s="90">
        <v>211586</v>
      </c>
      <c r="H304" s="90">
        <v>194102</v>
      </c>
      <c r="I304" s="90">
        <v>215653</v>
      </c>
      <c r="J304" s="90">
        <v>244443</v>
      </c>
      <c r="K304" s="90">
        <v>236366</v>
      </c>
      <c r="L304" s="91">
        <v>58085</v>
      </c>
      <c r="M304" s="91">
        <v>59002</v>
      </c>
      <c r="N304" s="91">
        <v>62470</v>
      </c>
      <c r="O304" s="91">
        <v>62850</v>
      </c>
      <c r="P304" s="90">
        <v>242407</v>
      </c>
      <c r="Q304" s="91">
        <v>57900</v>
      </c>
      <c r="R304" s="91">
        <v>58994</v>
      </c>
      <c r="S304" s="91">
        <v>59299</v>
      </c>
      <c r="T304" s="91">
        <v>63224</v>
      </c>
      <c r="U304" s="90">
        <v>239417</v>
      </c>
      <c r="V304" s="91">
        <v>52872</v>
      </c>
      <c r="W304" s="91">
        <v>13975</v>
      </c>
      <c r="X304" s="91">
        <v>45458</v>
      </c>
      <c r="Y304" s="91">
        <v>57029</v>
      </c>
      <c r="Z304" s="90">
        <v>169334</v>
      </c>
      <c r="AA304" s="91">
        <v>53762</v>
      </c>
      <c r="AB304" s="91">
        <v>63393</v>
      </c>
      <c r="AC304" s="126">
        <f t="shared" ref="AC304:AE304" si="295">X304</f>
        <v>45458</v>
      </c>
      <c r="AD304" s="126">
        <f t="shared" si="295"/>
        <v>57029</v>
      </c>
      <c r="AE304" s="95">
        <f t="shared" si="295"/>
        <v>169334</v>
      </c>
      <c r="AF304" s="95">
        <f>AE304</f>
        <v>169334</v>
      </c>
      <c r="AG304" s="95">
        <f t="shared" ref="AG304:AL304" si="296">AF304</f>
        <v>169334</v>
      </c>
      <c r="AH304" s="95">
        <f t="shared" si="296"/>
        <v>169334</v>
      </c>
      <c r="AI304" s="95">
        <f t="shared" si="296"/>
        <v>169334</v>
      </c>
      <c r="AJ304" s="95">
        <f t="shared" si="296"/>
        <v>169334</v>
      </c>
      <c r="AK304" s="95">
        <f t="shared" si="296"/>
        <v>169334</v>
      </c>
      <c r="AL304" s="95">
        <f t="shared" si="296"/>
        <v>169334</v>
      </c>
      <c r="AM304" s="651"/>
      <c r="AN304" s="83"/>
      <c r="AO304" s="83"/>
      <c r="CA304" s="477"/>
      <c r="CB304" s="478"/>
    </row>
    <row r="305" spans="1:80">
      <c r="A305" s="83"/>
      <c r="B305" s="95" t="s">
        <v>649</v>
      </c>
      <c r="C305" s="96"/>
      <c r="D305" s="163" t="s">
        <v>614</v>
      </c>
      <c r="E305" s="186"/>
      <c r="F305" s="136"/>
      <c r="G305" s="95">
        <f>G223</f>
        <v>47039</v>
      </c>
      <c r="H305" s="95">
        <f t="shared" ref="H305:W305" si="297">H223</f>
        <v>50450</v>
      </c>
      <c r="I305" s="95">
        <f t="shared" si="297"/>
        <v>56196</v>
      </c>
      <c r="J305" s="95">
        <f t="shared" si="297"/>
        <v>54045</v>
      </c>
      <c r="K305" s="95">
        <f t="shared" si="297"/>
        <v>51104</v>
      </c>
      <c r="L305" s="126">
        <f t="shared" si="297"/>
        <v>12166</v>
      </c>
      <c r="M305" s="126">
        <f t="shared" si="297"/>
        <v>12973</v>
      </c>
      <c r="N305" s="126">
        <f t="shared" si="297"/>
        <v>13197</v>
      </c>
      <c r="O305" s="126">
        <f t="shared" si="297"/>
        <v>12911</v>
      </c>
      <c r="P305" s="95">
        <f t="shared" si="297"/>
        <v>51247</v>
      </c>
      <c r="Q305" s="126">
        <f t="shared" si="297"/>
        <v>11465</v>
      </c>
      <c r="R305" s="126">
        <f t="shared" si="297"/>
        <v>12864</v>
      </c>
      <c r="S305" s="126">
        <f t="shared" si="297"/>
        <v>13122</v>
      </c>
      <c r="T305" s="126">
        <f t="shared" si="297"/>
        <v>13638</v>
      </c>
      <c r="U305" s="95">
        <f t="shared" si="297"/>
        <v>51089</v>
      </c>
      <c r="V305" s="126">
        <f>V223</f>
        <v>12906</v>
      </c>
      <c r="W305" s="126">
        <f t="shared" si="297"/>
        <v>6735</v>
      </c>
      <c r="X305" s="126">
        <f t="shared" ref="X305:AF305" si="298">X223</f>
        <v>13203</v>
      </c>
      <c r="Y305" s="126">
        <f t="shared" si="298"/>
        <v>14084</v>
      </c>
      <c r="Z305" s="95">
        <f t="shared" si="298"/>
        <v>46928</v>
      </c>
      <c r="AA305" s="126">
        <f>AA223</f>
        <v>12651</v>
      </c>
      <c r="AB305" s="126">
        <f t="shared" si="298"/>
        <v>13466</v>
      </c>
      <c r="AC305" s="126">
        <f t="shared" si="298"/>
        <v>11610.486891385766</v>
      </c>
      <c r="AD305" s="126">
        <f t="shared" si="298"/>
        <v>10393.258426966289</v>
      </c>
      <c r="AE305" s="95">
        <f t="shared" si="298"/>
        <v>46441.947565543065</v>
      </c>
      <c r="AF305" s="95">
        <f t="shared" si="298"/>
        <v>46441.947565543065</v>
      </c>
      <c r="AG305" s="95">
        <f t="shared" ref="AG305:AL305" si="299">AG223</f>
        <v>46441.947565543065</v>
      </c>
      <c r="AH305" s="95">
        <f t="shared" si="299"/>
        <v>46441.947565543065</v>
      </c>
      <c r="AI305" s="95">
        <f t="shared" si="299"/>
        <v>46441.947565543065</v>
      </c>
      <c r="AJ305" s="95">
        <f t="shared" si="299"/>
        <v>46441.947565543065</v>
      </c>
      <c r="AK305" s="95">
        <f t="shared" si="299"/>
        <v>46441.947565543065</v>
      </c>
      <c r="AL305" s="95">
        <f t="shared" si="299"/>
        <v>46441.947565543065</v>
      </c>
      <c r="AM305" s="651"/>
      <c r="AN305" s="83"/>
      <c r="AO305" s="83"/>
      <c r="CA305" s="477"/>
      <c r="CB305" s="478"/>
    </row>
    <row r="306" spans="1:80">
      <c r="A306" s="83"/>
      <c r="B306" s="95" t="s">
        <v>650</v>
      </c>
      <c r="C306" s="96"/>
      <c r="D306" s="163" t="s">
        <v>647</v>
      </c>
      <c r="E306" s="186"/>
      <c r="F306" s="136"/>
      <c r="G306" s="95">
        <f>G251*1000</f>
        <v>98000</v>
      </c>
      <c r="H306" s="95">
        <f t="shared" ref="H306:W306" si="300">H251*1000</f>
        <v>78000</v>
      </c>
      <c r="I306" s="95">
        <f t="shared" si="300"/>
        <v>87000</v>
      </c>
      <c r="J306" s="95">
        <f t="shared" si="300"/>
        <v>95000</v>
      </c>
      <c r="K306" s="95">
        <f t="shared" si="300"/>
        <v>94000</v>
      </c>
      <c r="L306" s="126">
        <f t="shared" si="300"/>
        <v>22162.5</v>
      </c>
      <c r="M306" s="126">
        <f t="shared" si="300"/>
        <v>25357.5</v>
      </c>
      <c r="N306" s="126">
        <f t="shared" si="300"/>
        <v>23265</v>
      </c>
      <c r="O306" s="126">
        <f t="shared" si="300"/>
        <v>28192.5</v>
      </c>
      <c r="P306" s="95">
        <f t="shared" si="300"/>
        <v>99000</v>
      </c>
      <c r="Q306" s="126">
        <f t="shared" si="300"/>
        <v>23085</v>
      </c>
      <c r="R306" s="126">
        <f t="shared" si="300"/>
        <v>24884.999999999996</v>
      </c>
      <c r="S306" s="126">
        <f t="shared" si="300"/>
        <v>22905</v>
      </c>
      <c r="T306" s="126">
        <f t="shared" si="300"/>
        <v>30352.499999999985</v>
      </c>
      <c r="U306" s="95">
        <f t="shared" si="300"/>
        <v>101227.49999999999</v>
      </c>
      <c r="V306" s="126">
        <f t="shared" si="300"/>
        <v>21330</v>
      </c>
      <c r="W306" s="126">
        <f t="shared" si="300"/>
        <v>12622.5</v>
      </c>
      <c r="X306" s="126">
        <f t="shared" ref="X306:AE306" si="301">X251*1000</f>
        <v>23377.5</v>
      </c>
      <c r="Y306" s="126">
        <f t="shared" si="301"/>
        <v>28125</v>
      </c>
      <c r="Z306" s="95">
        <f t="shared" si="301"/>
        <v>85455</v>
      </c>
      <c r="AA306" s="126">
        <f t="shared" si="301"/>
        <v>21892.5</v>
      </c>
      <c r="AB306" s="126">
        <f t="shared" si="301"/>
        <v>25830</v>
      </c>
      <c r="AC306" s="126">
        <f t="shared" si="301"/>
        <v>23250</v>
      </c>
      <c r="AD306" s="126">
        <f t="shared" si="301"/>
        <v>20812.499999999996</v>
      </c>
      <c r="AE306" s="95">
        <f t="shared" si="301"/>
        <v>93000</v>
      </c>
      <c r="AF306" s="95">
        <f t="shared" ref="AF306:AL306" si="302">AF251*1000</f>
        <v>93000</v>
      </c>
      <c r="AG306" s="95">
        <f t="shared" si="302"/>
        <v>93000</v>
      </c>
      <c r="AH306" s="95">
        <f t="shared" si="302"/>
        <v>93000</v>
      </c>
      <c r="AI306" s="95">
        <f t="shared" si="302"/>
        <v>93000</v>
      </c>
      <c r="AJ306" s="95">
        <f t="shared" si="302"/>
        <v>93000</v>
      </c>
      <c r="AK306" s="95">
        <f t="shared" si="302"/>
        <v>93000</v>
      </c>
      <c r="AL306" s="95">
        <f t="shared" si="302"/>
        <v>93000</v>
      </c>
      <c r="AM306" s="651"/>
      <c r="AN306" s="83"/>
      <c r="AO306" s="83"/>
      <c r="CA306" s="477"/>
      <c r="CB306" s="478"/>
    </row>
    <row r="307" spans="1:80">
      <c r="A307" s="83"/>
      <c r="B307" s="95" t="s">
        <v>650</v>
      </c>
      <c r="C307" s="96"/>
      <c r="D307" s="163" t="s">
        <v>648</v>
      </c>
      <c r="E307" s="186"/>
      <c r="F307" s="136"/>
      <c r="G307" s="95">
        <f>G306/0.35</f>
        <v>280000</v>
      </c>
      <c r="H307" s="95">
        <f t="shared" ref="H307:V307" si="303">H306/0.35</f>
        <v>222857.14285714287</v>
      </c>
      <c r="I307" s="95">
        <f t="shared" si="303"/>
        <v>248571.42857142858</v>
      </c>
      <c r="J307" s="95">
        <f t="shared" si="303"/>
        <v>271428.57142857142</v>
      </c>
      <c r="K307" s="95">
        <f t="shared" si="303"/>
        <v>268571.42857142858</v>
      </c>
      <c r="L307" s="126">
        <f t="shared" si="303"/>
        <v>63321.428571428572</v>
      </c>
      <c r="M307" s="126">
        <f t="shared" si="303"/>
        <v>72450</v>
      </c>
      <c r="N307" s="126">
        <f t="shared" si="303"/>
        <v>66471.42857142858</v>
      </c>
      <c r="O307" s="126">
        <f t="shared" si="303"/>
        <v>80550</v>
      </c>
      <c r="P307" s="95">
        <f t="shared" si="303"/>
        <v>282857.1428571429</v>
      </c>
      <c r="Q307" s="126">
        <f t="shared" si="303"/>
        <v>65957.142857142855</v>
      </c>
      <c r="R307" s="126">
        <f t="shared" si="303"/>
        <v>71100</v>
      </c>
      <c r="S307" s="126">
        <f t="shared" si="303"/>
        <v>65442.857142857145</v>
      </c>
      <c r="T307" s="126">
        <f t="shared" si="303"/>
        <v>86721.428571428536</v>
      </c>
      <c r="U307" s="95">
        <f t="shared" si="303"/>
        <v>289221.42857142852</v>
      </c>
      <c r="V307" s="126">
        <f t="shared" si="303"/>
        <v>60942.857142857145</v>
      </c>
      <c r="W307" s="126">
        <f>W306/0.35</f>
        <v>36064.285714285717</v>
      </c>
      <c r="X307" s="126">
        <f t="shared" ref="X307:AE307" si="304">X306/0.35</f>
        <v>66792.857142857145</v>
      </c>
      <c r="Y307" s="126">
        <f t="shared" si="304"/>
        <v>80357.142857142855</v>
      </c>
      <c r="Z307" s="95">
        <f t="shared" si="304"/>
        <v>244157.14285714287</v>
      </c>
      <c r="AA307" s="126">
        <f>AA306/0.35</f>
        <v>62550.000000000007</v>
      </c>
      <c r="AB307" s="126">
        <f t="shared" si="304"/>
        <v>73800</v>
      </c>
      <c r="AC307" s="126">
        <f t="shared" si="304"/>
        <v>66428.571428571435</v>
      </c>
      <c r="AD307" s="126">
        <f t="shared" si="304"/>
        <v>59464.28571428571</v>
      </c>
      <c r="AE307" s="95">
        <f t="shared" si="304"/>
        <v>265714.28571428574</v>
      </c>
      <c r="AF307" s="95">
        <f t="shared" ref="AF307:AL307" si="305">AF306/0.35</f>
        <v>265714.28571428574</v>
      </c>
      <c r="AG307" s="95">
        <f t="shared" si="305"/>
        <v>265714.28571428574</v>
      </c>
      <c r="AH307" s="95">
        <f t="shared" si="305"/>
        <v>265714.28571428574</v>
      </c>
      <c r="AI307" s="95">
        <f t="shared" si="305"/>
        <v>265714.28571428574</v>
      </c>
      <c r="AJ307" s="95">
        <f t="shared" si="305"/>
        <v>265714.28571428574</v>
      </c>
      <c r="AK307" s="95">
        <f t="shared" si="305"/>
        <v>265714.28571428574</v>
      </c>
      <c r="AL307" s="95">
        <f t="shared" si="305"/>
        <v>265714.28571428574</v>
      </c>
      <c r="AM307" s="651"/>
      <c r="AN307" s="83"/>
      <c r="AO307" s="83"/>
      <c r="CA307" s="477"/>
      <c r="CB307" s="478"/>
    </row>
    <row r="308" spans="1:80">
      <c r="A308" s="83"/>
      <c r="L308" s="620"/>
      <c r="M308" s="620"/>
      <c r="N308" s="620"/>
      <c r="O308" s="620"/>
      <c r="P308" s="95"/>
      <c r="Q308" s="620"/>
      <c r="R308" s="620"/>
      <c r="S308" s="620"/>
      <c r="T308" s="620"/>
      <c r="U308" s="92"/>
      <c r="V308" s="620"/>
      <c r="W308" s="620"/>
      <c r="X308" s="620"/>
      <c r="Y308" s="620"/>
      <c r="Z308" s="92"/>
      <c r="AA308" s="99"/>
      <c r="AB308" s="99"/>
      <c r="AC308" s="99"/>
      <c r="AD308" s="99"/>
      <c r="AE308" s="92"/>
      <c r="AF308" s="83"/>
      <c r="AG308" s="83"/>
      <c r="AH308" s="83"/>
      <c r="AI308" s="83"/>
      <c r="AJ308" s="83"/>
      <c r="AK308" s="83"/>
      <c r="AL308" s="83"/>
      <c r="AM308" s="651"/>
      <c r="AN308" s="83"/>
      <c r="AO308" s="83"/>
      <c r="CA308" s="477"/>
      <c r="CB308" s="478"/>
    </row>
    <row r="309" spans="1:80">
      <c r="A309" s="83"/>
      <c r="D309" s="163"/>
      <c r="L309" s="620"/>
      <c r="M309" s="620"/>
      <c r="N309" s="620"/>
      <c r="O309" s="620"/>
      <c r="P309" s="95"/>
      <c r="Q309" s="620"/>
      <c r="R309" s="620"/>
      <c r="S309" s="620"/>
      <c r="T309" s="620"/>
      <c r="U309" s="92"/>
      <c r="V309" s="620"/>
      <c r="W309" s="620"/>
      <c r="X309" s="620"/>
      <c r="Y309" s="620"/>
      <c r="Z309" s="92"/>
      <c r="AA309" s="99"/>
      <c r="AB309" s="99"/>
      <c r="AC309" s="99"/>
      <c r="AD309" s="99"/>
      <c r="AE309" s="92"/>
      <c r="AF309" s="83"/>
      <c r="AG309" s="83"/>
      <c r="AH309" s="83"/>
      <c r="AI309" s="83"/>
      <c r="AJ309" s="83"/>
      <c r="AK309" s="83"/>
      <c r="AL309" s="83"/>
      <c r="AM309" s="651"/>
      <c r="AN309" s="83"/>
      <c r="AO309" s="83"/>
      <c r="CA309" s="477"/>
      <c r="CB309" s="478"/>
    </row>
    <row r="310" spans="1:80">
      <c r="A310" s="83"/>
      <c r="D310" s="173" t="s">
        <v>651</v>
      </c>
      <c r="E310" s="454"/>
      <c r="F310" s="454"/>
      <c r="G310" s="454"/>
      <c r="H310" s="454"/>
      <c r="I310" s="454"/>
      <c r="J310" s="454"/>
      <c r="K310" s="454"/>
      <c r="L310" s="668"/>
      <c r="M310" s="668"/>
      <c r="N310" s="668"/>
      <c r="O310" s="668"/>
      <c r="P310" s="555"/>
      <c r="Q310" s="668"/>
      <c r="R310" s="668"/>
      <c r="S310" s="668"/>
      <c r="T310" s="668"/>
      <c r="U310" s="179"/>
      <c r="V310" s="668"/>
      <c r="W310" s="668"/>
      <c r="X310" s="668"/>
      <c r="Y310" s="668"/>
      <c r="Z310" s="179"/>
      <c r="AA310" s="995"/>
      <c r="AB310" s="995"/>
      <c r="AC310" s="995"/>
      <c r="AD310" s="995"/>
      <c r="AE310" s="179"/>
      <c r="AF310" s="174"/>
      <c r="AG310" s="174"/>
      <c r="AH310" s="174"/>
      <c r="AI310" s="174"/>
      <c r="AJ310" s="174"/>
      <c r="AK310" s="174"/>
      <c r="AL310" s="174"/>
      <c r="AM310" s="651"/>
      <c r="AN310" s="83"/>
      <c r="AO310" s="83"/>
      <c r="CA310" s="477"/>
      <c r="CB310" s="478"/>
    </row>
    <row r="311" spans="1:80">
      <c r="A311" s="83"/>
      <c r="D311" s="163" t="s">
        <v>652</v>
      </c>
      <c r="G311" s="603">
        <f t="shared" ref="G311:L311" si="306">(-G292*1000)/(G305)</f>
        <v>3.8691298709581412</v>
      </c>
      <c r="H311" s="603">
        <f t="shared" si="306"/>
        <v>3.3894945490584738</v>
      </c>
      <c r="I311" s="603">
        <f t="shared" si="306"/>
        <v>3.4166132820841342</v>
      </c>
      <c r="J311" s="603">
        <f t="shared" si="306"/>
        <v>3.3675640669812195</v>
      </c>
      <c r="K311" s="603">
        <f t="shared" si="306"/>
        <v>4.1875391358797742</v>
      </c>
      <c r="L311" s="616">
        <f t="shared" si="306"/>
        <v>4.1098142363965149</v>
      </c>
      <c r="M311" s="616">
        <f t="shared" ref="M311:U311" si="307">(-M292*1000)/(M305)</f>
        <v>4.3937408463732366</v>
      </c>
      <c r="N311" s="616">
        <f t="shared" si="307"/>
        <v>3.4098658786087745</v>
      </c>
      <c r="O311" s="616">
        <f t="shared" si="307"/>
        <v>4.7246533963287121</v>
      </c>
      <c r="P311" s="603">
        <f t="shared" si="307"/>
        <v>4.1563408589771109</v>
      </c>
      <c r="Q311" s="616">
        <f t="shared" si="307"/>
        <v>4.6227649367640646</v>
      </c>
      <c r="R311" s="616">
        <f t="shared" si="307"/>
        <v>4.8973880597014929</v>
      </c>
      <c r="S311" s="616">
        <f t="shared" si="307"/>
        <v>3.5055631763450692</v>
      </c>
      <c r="T311" s="616">
        <f t="shared" si="307"/>
        <v>5.7193136823581172</v>
      </c>
      <c r="U311" s="603">
        <f t="shared" si="307"/>
        <v>4.6976844330482104</v>
      </c>
      <c r="V311" s="616">
        <f>(-V292*1000)/(V305)</f>
        <v>4.4940337827367118</v>
      </c>
      <c r="W311" s="616">
        <f>(-W292*1000)/(W305)</f>
        <v>5.6421677802524126</v>
      </c>
      <c r="X311" s="616">
        <f>(-X292*1000)/(X305)</f>
        <v>4.3172006362190407</v>
      </c>
      <c r="Y311" s="616">
        <f t="shared" ref="Y311" si="308">(-Y292*1000)/(Y305)</f>
        <v>6.4612326043737571</v>
      </c>
      <c r="Z311" s="603">
        <f t="shared" ref="Z311" si="309">(-Z292*1000)/(Z305)</f>
        <v>5.1994544834640299</v>
      </c>
      <c r="AA311" s="616">
        <f>(-AA292*1000)/(AA305)</f>
        <v>5.058888625405106</v>
      </c>
      <c r="AB311" s="616">
        <f>(-AB292*1000)/(AB305)</f>
        <v>5.49532155057181</v>
      </c>
      <c r="AC311" s="616">
        <f t="shared" ref="AC311:AC316" si="310">AE311</f>
        <v>5.1994544834640299</v>
      </c>
      <c r="AD311" s="616">
        <f t="shared" ref="AD311:AD316" si="311">AE311</f>
        <v>5.1994544834640299</v>
      </c>
      <c r="AE311" s="1175">
        <f t="shared" ref="AE311:AE315" si="312">Z311</f>
        <v>5.1994544834640299</v>
      </c>
      <c r="AF311" s="1002">
        <f>AE311</f>
        <v>5.1994544834640299</v>
      </c>
      <c r="AG311" s="1002">
        <f t="shared" ref="AG311:AL311" si="313">AF311</f>
        <v>5.1994544834640299</v>
      </c>
      <c r="AH311" s="1002">
        <f t="shared" si="313"/>
        <v>5.1994544834640299</v>
      </c>
      <c r="AI311" s="1002">
        <f t="shared" si="313"/>
        <v>5.1994544834640299</v>
      </c>
      <c r="AJ311" s="1002">
        <f t="shared" si="313"/>
        <v>5.1994544834640299</v>
      </c>
      <c r="AK311" s="1002">
        <f t="shared" si="313"/>
        <v>5.1994544834640299</v>
      </c>
      <c r="AL311" s="1002">
        <f t="shared" si="313"/>
        <v>5.1994544834640299</v>
      </c>
      <c r="AM311" s="651"/>
      <c r="AN311" s="83"/>
      <c r="AO311" s="83"/>
      <c r="CA311" s="477"/>
      <c r="CB311" s="478"/>
    </row>
    <row r="312" spans="1:80">
      <c r="A312" s="83"/>
      <c r="D312" s="163" t="s">
        <v>653</v>
      </c>
      <c r="G312" s="603">
        <f>(-G293*1000000)/(G307)</f>
        <v>89.285714285714292</v>
      </c>
      <c r="H312" s="603">
        <f t="shared" ref="H312:U312" si="314">(-H293*1000000)/(H307)</f>
        <v>85.256410256410248</v>
      </c>
      <c r="I312" s="603">
        <f t="shared" si="314"/>
        <v>76.436781609195393</v>
      </c>
      <c r="J312" s="603">
        <f t="shared" si="314"/>
        <v>70</v>
      </c>
      <c r="K312" s="603">
        <f t="shared" si="314"/>
        <v>89.361702127659569</v>
      </c>
      <c r="L312" s="616">
        <f t="shared" si="314"/>
        <v>94.75465313028765</v>
      </c>
      <c r="M312" s="616">
        <f t="shared" si="314"/>
        <v>110.42097998619738</v>
      </c>
      <c r="N312" s="616">
        <f t="shared" si="314"/>
        <v>105.3084031807436</v>
      </c>
      <c r="O312" s="616">
        <f t="shared" si="314"/>
        <v>99.317194289261323</v>
      </c>
      <c r="P312" s="603">
        <f t="shared" si="314"/>
        <v>102.52525252525251</v>
      </c>
      <c r="Q312" s="616">
        <f t="shared" si="314"/>
        <v>90.968161143599744</v>
      </c>
      <c r="R312" s="616">
        <f t="shared" si="314"/>
        <v>98.452883263009852</v>
      </c>
      <c r="S312" s="616">
        <f t="shared" si="314"/>
        <v>106.96354507749399</v>
      </c>
      <c r="T312" s="616">
        <f t="shared" si="314"/>
        <v>115.31175356230958</v>
      </c>
      <c r="U312" s="603">
        <f t="shared" si="314"/>
        <v>103.72675409350228</v>
      </c>
      <c r="V312" s="616">
        <f>(-V293*1000000)/(V307)</f>
        <v>131.27051101734645</v>
      </c>
      <c r="W312" s="616">
        <f>(-W293*1000000)/(W307)</f>
        <v>83.184789067142006</v>
      </c>
      <c r="X312" s="616">
        <f>(-X293*1000000)/(X307)</f>
        <v>134.74494706448507</v>
      </c>
      <c r="Y312" s="616">
        <f>(-Y293*1000000)/(Y307)</f>
        <v>136.88888888888889</v>
      </c>
      <c r="Z312" s="603">
        <f t="shared" ref="Z312" si="315">(-Z293*1000000)/(Z307)</f>
        <v>126.96740974782048</v>
      </c>
      <c r="AA312" s="616">
        <f>(-AA293*1000000)/(AA307)</f>
        <v>111.91047162270182</v>
      </c>
      <c r="AB312" s="616">
        <f>(-AB293*1000000)/(AB307)</f>
        <v>121.95121951219512</v>
      </c>
      <c r="AC312" s="616">
        <f t="shared" si="310"/>
        <v>111.91</v>
      </c>
      <c r="AD312" s="616">
        <f t="shared" si="311"/>
        <v>111.91</v>
      </c>
      <c r="AE312" s="1175">
        <v>111.91</v>
      </c>
      <c r="AF312" s="1002">
        <f>AE312</f>
        <v>111.91</v>
      </c>
      <c r="AG312" s="1002">
        <f t="shared" ref="AG312:AL312" si="316">AF312</f>
        <v>111.91</v>
      </c>
      <c r="AH312" s="1002">
        <f t="shared" si="316"/>
        <v>111.91</v>
      </c>
      <c r="AI312" s="1002">
        <f t="shared" si="316"/>
        <v>111.91</v>
      </c>
      <c r="AJ312" s="1002">
        <f t="shared" si="316"/>
        <v>111.91</v>
      </c>
      <c r="AK312" s="1002">
        <f t="shared" si="316"/>
        <v>111.91</v>
      </c>
      <c r="AL312" s="1002">
        <f t="shared" si="316"/>
        <v>111.91</v>
      </c>
      <c r="AM312" s="651"/>
      <c r="AN312" s="83"/>
      <c r="AO312" s="83"/>
      <c r="CA312" s="477"/>
      <c r="CB312" s="478"/>
    </row>
    <row r="313" spans="1:80">
      <c r="A313" s="83"/>
      <c r="D313" s="163" t="s">
        <v>654</v>
      </c>
      <c r="G313" s="604">
        <f>(G299*1000000)/(G304*1000)</f>
        <v>0.31665611146295125</v>
      </c>
      <c r="H313" s="604">
        <f t="shared" ref="H313:U313" si="317">(H299*1000000)/(H304*1000)</f>
        <v>0.32457161698488424</v>
      </c>
      <c r="I313" s="604">
        <f t="shared" si="317"/>
        <v>0.31068429374968121</v>
      </c>
      <c r="J313" s="604">
        <f t="shared" si="317"/>
        <v>0.33545652769766365</v>
      </c>
      <c r="K313" s="604">
        <f t="shared" si="317"/>
        <v>0.3173045192624997</v>
      </c>
      <c r="L313" s="617">
        <f t="shared" si="317"/>
        <v>0.32710682620297837</v>
      </c>
      <c r="M313" s="617">
        <f t="shared" si="317"/>
        <v>0.35592013830039659</v>
      </c>
      <c r="N313" s="617">
        <f t="shared" si="317"/>
        <v>0.30414599007523613</v>
      </c>
      <c r="O313" s="617">
        <f t="shared" si="317"/>
        <v>0.28639618138424822</v>
      </c>
      <c r="P313" s="604">
        <f t="shared" si="317"/>
        <v>0.31764759268502973</v>
      </c>
      <c r="Q313" s="617">
        <f t="shared" si="317"/>
        <v>0.37996545768566492</v>
      </c>
      <c r="R313" s="617">
        <f t="shared" si="317"/>
        <v>0.491575414448927</v>
      </c>
      <c r="S313" s="617">
        <f t="shared" si="317"/>
        <v>0.33727381574731446</v>
      </c>
      <c r="T313" s="617">
        <f t="shared" si="317"/>
        <v>0.31633556877135266</v>
      </c>
      <c r="U313" s="604">
        <f t="shared" si="317"/>
        <v>0.38008996854859933</v>
      </c>
      <c r="V313" s="617">
        <f>(V299*1000000)/(V304*1000)</f>
        <v>0.34044484793463459</v>
      </c>
      <c r="W313" s="617">
        <f>(W299*1000000)/(W304*1000)</f>
        <v>0.21466905187835419</v>
      </c>
      <c r="X313" s="617">
        <f>(X299*1000000)/(X304*1000)</f>
        <v>0.28597826565181045</v>
      </c>
      <c r="Y313" s="617">
        <f>(Y299*1000000)/(Y304*1000)</f>
        <v>0.33316382892914131</v>
      </c>
      <c r="Z313" s="604">
        <f t="shared" ref="Z313" si="318">(Z299*1000000)/(Z304*1000)</f>
        <v>0.31299089373663885</v>
      </c>
      <c r="AA313" s="617">
        <f>(AA299*1000000)/(AA304*1000)</f>
        <v>0.35340947137383283</v>
      </c>
      <c r="AB313" s="617">
        <f>(AB299*1000000)/(AB304*1000)</f>
        <v>0.31549224677803545</v>
      </c>
      <c r="AC313" s="616">
        <f t="shared" si="310"/>
        <v>0.31299089373663885</v>
      </c>
      <c r="AD313" s="616">
        <f t="shared" si="311"/>
        <v>0.31299089373663885</v>
      </c>
      <c r="AE313" s="1175">
        <f t="shared" si="312"/>
        <v>0.31299089373663885</v>
      </c>
      <c r="AF313" s="1002">
        <f t="shared" ref="AF313:AL316" si="319">AE313</f>
        <v>0.31299089373663885</v>
      </c>
      <c r="AG313" s="1002">
        <f t="shared" si="319"/>
        <v>0.31299089373663885</v>
      </c>
      <c r="AH313" s="1002">
        <f t="shared" si="319"/>
        <v>0.31299089373663885</v>
      </c>
      <c r="AI313" s="1002">
        <f t="shared" si="319"/>
        <v>0.31299089373663885</v>
      </c>
      <c r="AJ313" s="1002">
        <f t="shared" si="319"/>
        <v>0.31299089373663885</v>
      </c>
      <c r="AK313" s="1002">
        <f t="shared" si="319"/>
        <v>0.31299089373663885</v>
      </c>
      <c r="AL313" s="1002">
        <f t="shared" si="319"/>
        <v>0.31299089373663885</v>
      </c>
      <c r="AM313" s="651"/>
      <c r="AN313" s="83"/>
      <c r="AO313" s="83"/>
      <c r="CA313" s="477"/>
      <c r="CB313" s="478"/>
    </row>
    <row r="314" spans="1:80">
      <c r="A314" s="83"/>
      <c r="D314" s="163" t="s">
        <v>655</v>
      </c>
      <c r="G314" s="604">
        <f>(G299*1000000)/(G307*1000)</f>
        <v>0.2392857142857143</v>
      </c>
      <c r="H314" s="604">
        <f t="shared" ref="H314:V314" si="320">(H299*1000000)/(H307*1000)</f>
        <v>0.28269230769230769</v>
      </c>
      <c r="I314" s="604">
        <f t="shared" si="320"/>
        <v>0.26954022988505749</v>
      </c>
      <c r="J314" s="604">
        <f t="shared" si="320"/>
        <v>0.30210526315789477</v>
      </c>
      <c r="K314" s="604">
        <f t="shared" si="320"/>
        <v>0.27925531914893614</v>
      </c>
      <c r="L314" s="617">
        <f t="shared" si="320"/>
        <v>0.30005640157924418</v>
      </c>
      <c r="M314" s="617">
        <f t="shared" si="320"/>
        <v>0.28985507246376813</v>
      </c>
      <c r="N314" s="617">
        <f t="shared" si="320"/>
        <v>0.28583709434773258</v>
      </c>
      <c r="O314" s="617">
        <f t="shared" si="320"/>
        <v>0.22346368715083798</v>
      </c>
      <c r="P314" s="604">
        <f t="shared" si="320"/>
        <v>0.27222222222222214</v>
      </c>
      <c r="Q314" s="617">
        <f t="shared" si="320"/>
        <v>0.33354992419319907</v>
      </c>
      <c r="R314" s="617">
        <f t="shared" si="320"/>
        <v>0.40787623066104078</v>
      </c>
      <c r="S314" s="617">
        <f t="shared" si="320"/>
        <v>0.30561012879284</v>
      </c>
      <c r="T314" s="617">
        <f t="shared" si="320"/>
        <v>0.23062350712461915</v>
      </c>
      <c r="U314" s="604">
        <f t="shared" si="320"/>
        <v>0.31463782075029023</v>
      </c>
      <c r="V314" s="617">
        <f t="shared" si="320"/>
        <v>0.29535864978902954</v>
      </c>
      <c r="W314" s="617">
        <f>(W299*1000000)/(W307*1000)</f>
        <v>8.3184789067142009E-2</v>
      </c>
      <c r="X314" s="617">
        <f>(X299*1000000)/(X307*1000)</f>
        <v>0.19463159020425624</v>
      </c>
      <c r="Y314" s="617">
        <f t="shared" ref="Y314" si="321">(Y299*1000000)/(Y307*1000)</f>
        <v>0.23644444444444446</v>
      </c>
      <c r="Z314" s="604">
        <f t="shared" ref="Z314:AA314" si="322">(Z299*1000000)/(Z307*1000)</f>
        <v>0.21707331343982211</v>
      </c>
      <c r="AA314" s="617">
        <f t="shared" si="322"/>
        <v>0.3037569944044764</v>
      </c>
      <c r="AB314" s="617">
        <f t="shared" ref="AB314" si="323">(AB299*1000000)/(AB307*1000)</f>
        <v>0.27100271002710025</v>
      </c>
      <c r="AC314" s="616">
        <f t="shared" si="310"/>
        <v>0.21707331343982211</v>
      </c>
      <c r="AD314" s="616">
        <f t="shared" si="311"/>
        <v>0.21707331343982211</v>
      </c>
      <c r="AE314" s="1175">
        <f t="shared" si="312"/>
        <v>0.21707331343982211</v>
      </c>
      <c r="AF314" s="1002">
        <f t="shared" si="319"/>
        <v>0.21707331343982211</v>
      </c>
      <c r="AG314" s="1002">
        <f t="shared" si="319"/>
        <v>0.21707331343982211</v>
      </c>
      <c r="AH314" s="1002">
        <f t="shared" si="319"/>
        <v>0.21707331343982211</v>
      </c>
      <c r="AI314" s="1002">
        <f t="shared" si="319"/>
        <v>0.21707331343982211</v>
      </c>
      <c r="AJ314" s="1002">
        <f t="shared" si="319"/>
        <v>0.21707331343982211</v>
      </c>
      <c r="AK314" s="1002">
        <f t="shared" si="319"/>
        <v>0.21707331343982211</v>
      </c>
      <c r="AL314" s="1002">
        <f t="shared" si="319"/>
        <v>0.21707331343982211</v>
      </c>
      <c r="AM314" s="651"/>
      <c r="AN314" s="83"/>
      <c r="AO314" s="83"/>
      <c r="CA314" s="477"/>
      <c r="CB314" s="478"/>
    </row>
    <row r="315" spans="1:80">
      <c r="A315" s="83"/>
      <c r="D315" s="163" t="s">
        <v>861</v>
      </c>
      <c r="G315" s="604">
        <f>(-G295*1000000)/(G307*1000)</f>
        <v>0.16785714285714284</v>
      </c>
      <c r="H315" s="1000">
        <f t="shared" ref="H315:V315" si="324">(-H295*1000000)/(H307*1000)</f>
        <v>0.34551282051282051</v>
      </c>
      <c r="I315" s="1000">
        <f t="shared" si="324"/>
        <v>0.43448275862068964</v>
      </c>
      <c r="J315" s="1000">
        <f t="shared" si="324"/>
        <v>0.38315789473684214</v>
      </c>
      <c r="K315" s="1000">
        <f t="shared" si="324"/>
        <v>0.50638297872340421</v>
      </c>
      <c r="L315" s="1001">
        <f t="shared" si="324"/>
        <v>0.45798082346305696</v>
      </c>
      <c r="M315" s="1001">
        <f t="shared" si="324"/>
        <v>0.45548654244306419</v>
      </c>
      <c r="N315" s="1001">
        <f t="shared" si="324"/>
        <v>0.60176230388996332</v>
      </c>
      <c r="O315" s="1001">
        <f t="shared" si="324"/>
        <v>0.49658597144630662</v>
      </c>
      <c r="P315" s="603">
        <f t="shared" si="324"/>
        <v>0.50202020202020192</v>
      </c>
      <c r="Q315" s="1001">
        <f t="shared" si="324"/>
        <v>0.53064760667099853</v>
      </c>
      <c r="R315" s="1001">
        <f t="shared" si="324"/>
        <v>0.52039381153305209</v>
      </c>
      <c r="S315" s="1001">
        <f t="shared" si="324"/>
        <v>0.64178127046496403</v>
      </c>
      <c r="T315" s="1001">
        <f t="shared" si="324"/>
        <v>0.49584054031793118</v>
      </c>
      <c r="U315" s="704">
        <f t="shared" si="324"/>
        <v>0.54283667975599526</v>
      </c>
      <c r="V315" s="1001">
        <f t="shared" si="324"/>
        <v>0.6727613689639006</v>
      </c>
      <c r="W315" s="1001">
        <f>(-W295*1000000)/(W307*1000)</f>
        <v>0.63775004951475533</v>
      </c>
      <c r="X315" s="1001">
        <f>(-X295*1000000)/(X307*1000)</f>
        <v>0.71863971767725376</v>
      </c>
      <c r="Y315" s="1001">
        <f t="shared" ref="Y315" si="325">(-Y295*1000000)/(Y307*1000)</f>
        <v>0.49777777777777782</v>
      </c>
      <c r="Z315" s="704">
        <f t="shared" ref="Z315:AA315" si="326">(-Z295*1000000)/(Z307*1000)</f>
        <v>0.6225498800538295</v>
      </c>
      <c r="AA315" s="1001">
        <f t="shared" si="326"/>
        <v>0.65547561950439637</v>
      </c>
      <c r="AB315" s="1001">
        <f t="shared" ref="AB315" si="327">(-AB295*1000000)/(AB307*1000)</f>
        <v>0.52845528455284552</v>
      </c>
      <c r="AC315" s="616">
        <f t="shared" si="310"/>
        <v>0.6225498800538295</v>
      </c>
      <c r="AD315" s="616">
        <f t="shared" si="311"/>
        <v>0.6225498800538295</v>
      </c>
      <c r="AE315" s="1175">
        <f t="shared" si="312"/>
        <v>0.6225498800538295</v>
      </c>
      <c r="AF315" s="1002">
        <f t="shared" si="319"/>
        <v>0.6225498800538295</v>
      </c>
      <c r="AG315" s="1002">
        <f t="shared" si="319"/>
        <v>0.6225498800538295</v>
      </c>
      <c r="AH315" s="1002">
        <f t="shared" si="319"/>
        <v>0.6225498800538295</v>
      </c>
      <c r="AI315" s="1002">
        <f t="shared" si="319"/>
        <v>0.6225498800538295</v>
      </c>
      <c r="AJ315" s="1002">
        <f t="shared" si="319"/>
        <v>0.6225498800538295</v>
      </c>
      <c r="AK315" s="1002">
        <f t="shared" si="319"/>
        <v>0.6225498800538295</v>
      </c>
      <c r="AL315" s="1002">
        <f t="shared" si="319"/>
        <v>0.6225498800538295</v>
      </c>
      <c r="AM315" s="651"/>
      <c r="AN315" s="83"/>
      <c r="AO315" s="83"/>
      <c r="CA315" s="477"/>
      <c r="CB315" s="478"/>
    </row>
    <row r="316" spans="1:80">
      <c r="A316" s="83"/>
      <c r="D316" s="163" t="s">
        <v>862</v>
      </c>
      <c r="G316" s="604">
        <f>(-G294*1000000)/(G307*1000)</f>
        <v>6.7857142857142852E-2</v>
      </c>
      <c r="H316" s="1000">
        <f t="shared" ref="H316:V316" si="328">(-H294*1000000)/(H307*1000)</f>
        <v>8.5256410256410259E-2</v>
      </c>
      <c r="I316" s="1000">
        <f t="shared" si="328"/>
        <v>4.4252873563218394E-2</v>
      </c>
      <c r="J316" s="1000">
        <f t="shared" si="328"/>
        <v>6.2631578947368427E-2</v>
      </c>
      <c r="K316" s="1000">
        <f t="shared" si="328"/>
        <v>0.10425531914893615</v>
      </c>
      <c r="L316" s="1001">
        <f t="shared" si="328"/>
        <v>9.475465313028765E-2</v>
      </c>
      <c r="M316" s="1001">
        <f t="shared" si="328"/>
        <v>8.2815734989648032E-2</v>
      </c>
      <c r="N316" s="1001">
        <f t="shared" si="328"/>
        <v>9.0264345583494499E-2</v>
      </c>
      <c r="O316" s="1001">
        <f t="shared" si="328"/>
        <v>8.6902545003103668E-2</v>
      </c>
      <c r="P316" s="603">
        <f t="shared" si="328"/>
        <v>8.8383838383838356E-2</v>
      </c>
      <c r="Q316" s="1001">
        <f t="shared" si="328"/>
        <v>6.0645440762399826E-2</v>
      </c>
      <c r="R316" s="1001">
        <f t="shared" si="328"/>
        <v>9.8452883263009841E-2</v>
      </c>
      <c r="S316" s="1001">
        <f t="shared" si="328"/>
        <v>4.5841519318926001E-2</v>
      </c>
      <c r="T316" s="1001">
        <f t="shared" si="328"/>
        <v>2.3062350712461915E-2</v>
      </c>
      <c r="U316" s="704">
        <f t="shared" si="328"/>
        <v>5.5320935516534546E-2</v>
      </c>
      <c r="V316" s="1001">
        <f t="shared" si="328"/>
        <v>8.2044069385841537E-2</v>
      </c>
      <c r="W316" s="1001">
        <f>(-W294*1000000)/(W307*1000)</f>
        <v>0</v>
      </c>
      <c r="X316" s="1001">
        <f>(-X294*1000000)/(X307*1000)</f>
        <v>8.9829964709656721E-2</v>
      </c>
      <c r="Y316" s="1001">
        <f t="shared" ref="Y316" si="329">(-Y294*1000000)/(Y307*1000)</f>
        <v>0.19911111111111113</v>
      </c>
      <c r="Z316" s="704">
        <f t="shared" ref="Z316" si="330">(-Z294*1000000)/(Z307*1000)</f>
        <v>0.11058451816745656</v>
      </c>
      <c r="AA316" s="1001">
        <f>(-AA294*1000000)/(AA307*1000)</f>
        <v>0.23980815347721821</v>
      </c>
      <c r="AB316" s="1001">
        <f>(-AB294*1000000)/(AB307*1000)</f>
        <v>0.13550135501355012</v>
      </c>
      <c r="AC316" s="616">
        <f t="shared" si="310"/>
        <v>0.15</v>
      </c>
      <c r="AD316" s="616">
        <f t="shared" si="311"/>
        <v>0.15</v>
      </c>
      <c r="AE316" s="1175">
        <v>0.15</v>
      </c>
      <c r="AF316" s="1002">
        <f t="shared" si="319"/>
        <v>0.15</v>
      </c>
      <c r="AG316" s="1002">
        <f t="shared" si="319"/>
        <v>0.15</v>
      </c>
      <c r="AH316" s="1002">
        <f t="shared" si="319"/>
        <v>0.15</v>
      </c>
      <c r="AI316" s="1002">
        <f t="shared" si="319"/>
        <v>0.15</v>
      </c>
      <c r="AJ316" s="1002">
        <f t="shared" si="319"/>
        <v>0.15</v>
      </c>
      <c r="AK316" s="1002">
        <f t="shared" si="319"/>
        <v>0.15</v>
      </c>
      <c r="AL316" s="1002">
        <f t="shared" si="319"/>
        <v>0.15</v>
      </c>
      <c r="AM316" s="651"/>
      <c r="AN316" s="83"/>
      <c r="AO316" s="83"/>
      <c r="CA316" s="477"/>
      <c r="CB316" s="478"/>
    </row>
    <row r="317" spans="1:80">
      <c r="A317" s="83"/>
      <c r="L317" s="620"/>
      <c r="M317" s="620"/>
      <c r="N317" s="620"/>
      <c r="O317" s="620"/>
      <c r="P317" s="95"/>
      <c r="Q317" s="620"/>
      <c r="R317" s="620"/>
      <c r="S317" s="620"/>
      <c r="T317" s="620"/>
      <c r="U317" s="92"/>
      <c r="V317" s="620"/>
      <c r="W317" s="620"/>
      <c r="X317" s="620"/>
      <c r="Y317" s="620"/>
      <c r="Z317" s="92"/>
      <c r="AA317" s="620"/>
      <c r="AB317" s="99"/>
      <c r="AC317" s="99"/>
      <c r="AD317" s="99"/>
      <c r="AE317" s="92"/>
      <c r="AF317" s="83"/>
      <c r="AG317" s="83"/>
      <c r="AH317" s="83"/>
      <c r="AI317" s="83"/>
      <c r="AJ317" s="83"/>
      <c r="AK317" s="83"/>
      <c r="AL317" s="83"/>
      <c r="AM317" s="651"/>
      <c r="AN317" s="83"/>
      <c r="AO317" s="83"/>
      <c r="CA317" s="477"/>
      <c r="CB317" s="478"/>
    </row>
    <row r="318" spans="1:80">
      <c r="A318" s="83"/>
      <c r="D318" s="174" t="s">
        <v>207</v>
      </c>
      <c r="E318" s="174"/>
      <c r="F318" s="174"/>
      <c r="G318" s="175"/>
      <c r="H318" s="175"/>
      <c r="I318" s="175"/>
      <c r="J318" s="175"/>
      <c r="K318" s="175"/>
      <c r="L318" s="176"/>
      <c r="M318" s="176"/>
      <c r="N318" s="176"/>
      <c r="O318" s="176"/>
      <c r="P318" s="175"/>
      <c r="Q318" s="176"/>
      <c r="R318" s="176"/>
      <c r="S318" s="176"/>
      <c r="T318" s="176"/>
      <c r="U318" s="179"/>
      <c r="V318" s="176"/>
      <c r="W318" s="176"/>
      <c r="X318" s="176"/>
      <c r="Y318" s="176"/>
      <c r="Z318" s="179"/>
      <c r="AA318" s="176"/>
      <c r="AB318" s="995"/>
      <c r="AC318" s="995"/>
      <c r="AD318" s="995"/>
      <c r="AE318" s="179"/>
      <c r="AF318" s="174"/>
      <c r="AG318" s="174"/>
      <c r="AH318" s="174"/>
      <c r="AI318" s="174"/>
      <c r="AJ318" s="174"/>
      <c r="AK318" s="174"/>
      <c r="AL318" s="174"/>
      <c r="AM318" s="651"/>
      <c r="AN318" s="83"/>
      <c r="AO318" s="83"/>
      <c r="CA318" s="477"/>
      <c r="CB318" s="478"/>
    </row>
    <row r="319" spans="1:80">
      <c r="A319" s="83"/>
      <c r="D319" s="83" t="s">
        <v>860</v>
      </c>
      <c r="E319" s="136"/>
      <c r="F319" s="136"/>
      <c r="G319" s="187"/>
      <c r="H319" s="187"/>
      <c r="I319" s="187"/>
      <c r="J319" s="187"/>
      <c r="K319" s="187"/>
      <c r="L319" s="191">
        <f>L238/$P$238</f>
        <v>0.24345000000000003</v>
      </c>
      <c r="M319" s="191">
        <f>M238/$P$238</f>
        <v>0.239175</v>
      </c>
      <c r="N319" s="191">
        <f>N238/$P$238</f>
        <v>0.25559999999999999</v>
      </c>
      <c r="O319" s="191">
        <f>O238/$P$238</f>
        <v>0.26550000000000001</v>
      </c>
      <c r="P319" s="190">
        <f>SUM(L319:O319)</f>
        <v>1.003725</v>
      </c>
      <c r="Q319" s="191">
        <f>Q238/$U$238</f>
        <v>0.23678929765886286</v>
      </c>
      <c r="R319" s="191">
        <f>R238/$U$238</f>
        <v>0.25663322185061316</v>
      </c>
      <c r="S319" s="191">
        <f>S238/$U$238</f>
        <v>0.25819397993311033</v>
      </c>
      <c r="T319" s="191">
        <f>T238/$U$238</f>
        <v>0.24838350055741359</v>
      </c>
      <c r="U319" s="190">
        <f>SUM(Q319:T319)</f>
        <v>1</v>
      </c>
      <c r="V319" s="191">
        <f>V238/$Z$238</f>
        <v>0.26582610979774102</v>
      </c>
      <c r="W319" s="191">
        <f>W238/$Z$238</f>
        <v>0.14342001576044131</v>
      </c>
      <c r="X319" s="191">
        <f>X238/$Z$238</f>
        <v>0.27948515891778303</v>
      </c>
      <c r="Y319" s="191">
        <f>Y238/$Z$238</f>
        <v>0.31126871552403468</v>
      </c>
      <c r="Z319" s="997">
        <v>1</v>
      </c>
      <c r="AA319" s="191">
        <f>AA238/$AE$238</f>
        <v>0.25814516129032261</v>
      </c>
      <c r="AB319" s="191">
        <f>AB238/$AE$238</f>
        <v>0.26806451612903226</v>
      </c>
      <c r="AC319" s="122">
        <v>0.25</v>
      </c>
      <c r="AD319" s="998">
        <f>AE319-AA319-AB319-AC319</f>
        <v>0.22379032258064513</v>
      </c>
      <c r="AE319" s="997">
        <v>1</v>
      </c>
      <c r="AF319" s="136"/>
      <c r="AG319" s="136"/>
      <c r="AH319" s="136"/>
      <c r="AI319" s="136"/>
      <c r="AJ319" s="136"/>
      <c r="AK319" s="136"/>
      <c r="AL319" s="136"/>
      <c r="AM319" s="651"/>
      <c r="AN319" s="83"/>
      <c r="AO319" s="83"/>
      <c r="CA319" s="477"/>
      <c r="CB319" s="478"/>
    </row>
    <row r="320" spans="1:80">
      <c r="A320" s="83"/>
      <c r="D320" s="83" t="s">
        <v>265</v>
      </c>
      <c r="E320" s="83"/>
      <c r="F320" s="136"/>
      <c r="G320" s="187"/>
      <c r="H320" s="142">
        <f t="shared" ref="H320:V320" si="331">H297/H291</f>
        <v>0.6828528072837633</v>
      </c>
      <c r="I320" s="142">
        <f t="shared" si="331"/>
        <v>0.64984227129337535</v>
      </c>
      <c r="J320" s="142">
        <f t="shared" si="331"/>
        <v>0.65231259968102073</v>
      </c>
      <c r="K320" s="142">
        <f t="shared" si="331"/>
        <v>0.71581196581196582</v>
      </c>
      <c r="L320" s="143">
        <f t="shared" si="331"/>
        <v>0.75968992248062017</v>
      </c>
      <c r="M320" s="143">
        <f t="shared" si="331"/>
        <v>0.76094276094276092</v>
      </c>
      <c r="N320" s="143">
        <f t="shared" si="331"/>
        <v>0.75630252100840334</v>
      </c>
      <c r="O320" s="143">
        <f t="shared" si="331"/>
        <v>0.71641791044776115</v>
      </c>
      <c r="P320" s="142">
        <f t="shared" si="331"/>
        <v>0.74835061262959468</v>
      </c>
      <c r="Q320" s="143">
        <f t="shared" si="331"/>
        <v>0.71363636363636362</v>
      </c>
      <c r="R320" s="143">
        <f t="shared" si="331"/>
        <v>0.67094017094017089</v>
      </c>
      <c r="S320" s="143">
        <f t="shared" si="331"/>
        <v>0.70833333333333337</v>
      </c>
      <c r="T320" s="143">
        <f t="shared" si="331"/>
        <v>0.64566929133858264</v>
      </c>
      <c r="U320" s="142">
        <f t="shared" si="331"/>
        <v>0.68222222222222217</v>
      </c>
      <c r="V320" s="143">
        <f t="shared" si="331"/>
        <v>0.634020618556701</v>
      </c>
      <c r="W320" s="143">
        <f>W297/W291</f>
        <v>0.59405940594059403</v>
      </c>
      <c r="X320" s="143">
        <f>X297/X291</f>
        <v>0.70612244897959187</v>
      </c>
      <c r="Y320" s="143">
        <f>Y297/Y291</f>
        <v>0.6402439024390244</v>
      </c>
      <c r="Z320" s="142">
        <f>Z297/Z291</f>
        <v>0.65207373271889402</v>
      </c>
      <c r="AA320" s="143">
        <f>AA297/AA291</f>
        <v>0.70138888888888884</v>
      </c>
      <c r="AB320" s="143">
        <f t="shared" ref="AB320:AL320" si="332">AB297/AB291</f>
        <v>0.73198847262247835</v>
      </c>
      <c r="AC320" s="143">
        <f t="shared" si="332"/>
        <v>0.75941628985931675</v>
      </c>
      <c r="AD320" s="143">
        <f t="shared" si="332"/>
        <v>0.75941628985931686</v>
      </c>
      <c r="AE320" s="142">
        <f t="shared" si="332"/>
        <v>0.73839234304328516</v>
      </c>
      <c r="AF320" s="142">
        <f t="shared" si="332"/>
        <v>0.76716130228552704</v>
      </c>
      <c r="AG320" s="142">
        <f t="shared" si="332"/>
        <v>0.77054622202873102</v>
      </c>
      <c r="AH320" s="142">
        <f t="shared" si="332"/>
        <v>0.77074529150322613</v>
      </c>
      <c r="AI320" s="142">
        <f t="shared" si="332"/>
        <v>0.7467815858497755</v>
      </c>
      <c r="AJ320" s="142">
        <f t="shared" si="332"/>
        <v>0.73720631409481407</v>
      </c>
      <c r="AK320" s="142">
        <f t="shared" si="332"/>
        <v>0.73720631409481407</v>
      </c>
      <c r="AL320" s="142">
        <f t="shared" si="332"/>
        <v>0.73720631409481407</v>
      </c>
      <c r="AM320" s="651"/>
      <c r="AN320" s="83"/>
      <c r="AO320" s="83"/>
      <c r="CA320" s="477"/>
      <c r="CB320" s="478"/>
    </row>
    <row r="321" spans="1:80">
      <c r="A321" s="83"/>
      <c r="D321" s="83" t="s">
        <v>256</v>
      </c>
      <c r="E321" s="83"/>
      <c r="F321" s="136"/>
      <c r="G321" s="187"/>
      <c r="H321" s="190">
        <f t="shared" ref="H321:V321" si="333">H295/H296</f>
        <v>0.26923076923076922</v>
      </c>
      <c r="I321" s="190">
        <f t="shared" si="333"/>
        <v>0.32727272727272727</v>
      </c>
      <c r="J321" s="190">
        <f t="shared" si="333"/>
        <v>0.32298136645962733</v>
      </c>
      <c r="K321" s="190">
        <f t="shared" si="333"/>
        <v>0.3383084577114428</v>
      </c>
      <c r="L321" s="143">
        <f t="shared" si="333"/>
        <v>0.31868131868131866</v>
      </c>
      <c r="M321" s="143">
        <f t="shared" si="333"/>
        <v>0.31730769230769229</v>
      </c>
      <c r="N321" s="143">
        <f t="shared" si="333"/>
        <v>0.40816326530612246</v>
      </c>
      <c r="O321" s="143">
        <f t="shared" si="333"/>
        <v>0.34482758620689657</v>
      </c>
      <c r="P321" s="190">
        <f t="shared" si="333"/>
        <v>0.3471882640586797</v>
      </c>
      <c r="Q321" s="143">
        <f t="shared" si="333"/>
        <v>0.35714285714285715</v>
      </c>
      <c r="R321" s="143">
        <f t="shared" si="333"/>
        <v>0.32456140350877194</v>
      </c>
      <c r="S321" s="143">
        <f t="shared" si="333"/>
        <v>0.42857142857142855</v>
      </c>
      <c r="T321" s="143">
        <f t="shared" si="333"/>
        <v>0.32330827067669171</v>
      </c>
      <c r="U321" s="190">
        <f t="shared" si="333"/>
        <v>0.35440180586907449</v>
      </c>
      <c r="V321" s="143">
        <f t="shared" si="333"/>
        <v>0.36607142857142855</v>
      </c>
      <c r="W321" s="143">
        <f>W295/W296</f>
        <v>0.359375</v>
      </c>
      <c r="X321" s="143">
        <f>X295/X296</f>
        <v>0.4</v>
      </c>
      <c r="Y321" s="143">
        <f>Y295/Y296</f>
        <v>0.25316455696202533</v>
      </c>
      <c r="Z321" s="190">
        <f>Z295/Z296</f>
        <v>0.33480176211453744</v>
      </c>
      <c r="AA321" s="143">
        <f t="shared" ref="AA321" si="334">AA295/AA296</f>
        <v>0.32283464566929132</v>
      </c>
      <c r="AB321" s="191">
        <f t="shared" ref="AB321:AL321" si="335">AB295/AB296</f>
        <v>0.29545454545454547</v>
      </c>
      <c r="AC321" s="191">
        <f t="shared" si="335"/>
        <v>0.34716707661261059</v>
      </c>
      <c r="AD321" s="191">
        <f t="shared" si="335"/>
        <v>0.34716707661261065</v>
      </c>
      <c r="AE321" s="190">
        <f t="shared" si="335"/>
        <v>0.32671080503378208</v>
      </c>
      <c r="AF321" s="190">
        <f>AF295/AF296</f>
        <v>0.34716707661261059</v>
      </c>
      <c r="AG321" s="190">
        <f t="shared" si="335"/>
        <v>0.34716707661261059</v>
      </c>
      <c r="AH321" s="190">
        <f t="shared" si="335"/>
        <v>0.34716707661261059</v>
      </c>
      <c r="AI321" s="190">
        <f t="shared" si="335"/>
        <v>0.34716707661261059</v>
      </c>
      <c r="AJ321" s="190">
        <f t="shared" si="335"/>
        <v>0.34716707661261059</v>
      </c>
      <c r="AK321" s="190">
        <f t="shared" si="335"/>
        <v>0.34716707661261059</v>
      </c>
      <c r="AL321" s="190">
        <f t="shared" si="335"/>
        <v>0.34716707661261059</v>
      </c>
      <c r="AM321" s="651"/>
      <c r="AN321" s="83"/>
      <c r="AO321" s="83"/>
      <c r="CA321" s="477"/>
      <c r="CB321" s="478"/>
    </row>
    <row r="322" spans="1:80">
      <c r="A322" s="83"/>
      <c r="L322" s="620"/>
      <c r="M322" s="620"/>
      <c r="N322" s="620"/>
      <c r="O322" s="620"/>
      <c r="P322" s="95"/>
      <c r="Q322" s="620"/>
      <c r="R322" s="620"/>
      <c r="S322" s="620"/>
      <c r="T322" s="620"/>
      <c r="U322" s="92"/>
      <c r="V322" s="620"/>
      <c r="W322" s="620"/>
      <c r="X322" s="620"/>
      <c r="Y322" s="620"/>
      <c r="Z322" s="92"/>
      <c r="AA322" s="620"/>
      <c r="AB322" s="99"/>
      <c r="AC322" s="99"/>
      <c r="AD322" s="99"/>
      <c r="AE322" s="92"/>
      <c r="AF322" s="83"/>
      <c r="AG322" s="83"/>
      <c r="AH322" s="83"/>
      <c r="AI322" s="83"/>
      <c r="AJ322" s="83"/>
      <c r="AK322" s="83"/>
      <c r="AL322" s="83"/>
      <c r="AM322" s="651"/>
      <c r="AN322" s="83"/>
      <c r="AO322" s="83"/>
      <c r="CA322" s="477"/>
      <c r="CB322" s="478"/>
    </row>
    <row r="323" spans="1:80">
      <c r="A323" s="83"/>
      <c r="L323" s="620"/>
      <c r="M323" s="620"/>
      <c r="N323" s="620"/>
      <c r="O323" s="620"/>
      <c r="P323" s="95"/>
      <c r="Q323" s="620"/>
      <c r="R323" s="620"/>
      <c r="S323" s="620"/>
      <c r="T323" s="620"/>
      <c r="U323" s="92"/>
      <c r="V323" s="620"/>
      <c r="W323" s="620"/>
      <c r="X323" s="620"/>
      <c r="Y323" s="620"/>
      <c r="Z323" s="92"/>
      <c r="AA323" s="620"/>
      <c r="AB323" s="99"/>
      <c r="AC323" s="99"/>
      <c r="AD323" s="99"/>
      <c r="AE323" s="92"/>
      <c r="AF323" s="83"/>
      <c r="AG323" s="83"/>
      <c r="AH323" s="83"/>
      <c r="AI323" s="83"/>
      <c r="AJ323" s="83"/>
      <c r="AK323" s="83"/>
      <c r="AL323" s="83"/>
      <c r="AM323" s="651"/>
      <c r="AN323" s="83"/>
      <c r="AO323" s="83"/>
      <c r="CA323" s="477"/>
      <c r="CB323" s="478"/>
    </row>
    <row r="324" spans="1:80">
      <c r="A324" s="83"/>
      <c r="L324" s="620"/>
      <c r="M324" s="620"/>
      <c r="N324" s="620"/>
      <c r="O324" s="620"/>
      <c r="P324" s="95"/>
      <c r="Q324" s="620"/>
      <c r="R324" s="620"/>
      <c r="S324" s="620"/>
      <c r="T324" s="620"/>
      <c r="U324" s="92"/>
      <c r="V324" s="620"/>
      <c r="W324" s="620"/>
      <c r="X324" s="620"/>
      <c r="Y324" s="620"/>
      <c r="Z324" s="92"/>
      <c r="AA324" s="620"/>
      <c r="AB324" s="99"/>
      <c r="AC324" s="99"/>
      <c r="AD324" s="99"/>
      <c r="AE324" s="92"/>
      <c r="AF324" s="83"/>
      <c r="AG324" s="83"/>
      <c r="AH324" s="83"/>
      <c r="AI324" s="83"/>
      <c r="AJ324" s="83"/>
      <c r="AK324" s="83"/>
      <c r="AL324" s="83"/>
      <c r="AM324" s="651"/>
      <c r="AN324" s="83"/>
      <c r="AO324" s="83"/>
      <c r="CA324" s="477"/>
      <c r="CB324" s="478"/>
    </row>
    <row r="325" spans="1:80">
      <c r="A325" s="83"/>
      <c r="L325" s="620"/>
      <c r="M325" s="620"/>
      <c r="N325" s="620"/>
      <c r="O325" s="620"/>
      <c r="P325" s="95"/>
      <c r="Q325" s="620"/>
      <c r="R325" s="620"/>
      <c r="S325" s="620"/>
      <c r="T325" s="620"/>
      <c r="U325" s="92"/>
      <c r="V325" s="620"/>
      <c r="W325" s="620"/>
      <c r="X325" s="620"/>
      <c r="Y325" s="620"/>
      <c r="Z325" s="92"/>
      <c r="AA325" s="620"/>
      <c r="AB325" s="99"/>
      <c r="AC325" s="99"/>
      <c r="AD325" s="99"/>
      <c r="AE325" s="92"/>
      <c r="AF325" s="83"/>
      <c r="AG325" s="83"/>
      <c r="AH325" s="83"/>
      <c r="AI325" s="83"/>
      <c r="AJ325" s="83"/>
      <c r="AK325" s="83"/>
      <c r="AL325" s="83"/>
      <c r="AM325" s="651"/>
      <c r="AN325" s="83"/>
      <c r="AO325" s="83"/>
      <c r="CA325" s="477"/>
      <c r="CB325" s="478"/>
    </row>
    <row r="326" spans="1:80">
      <c r="A326" s="83"/>
      <c r="L326" s="620"/>
      <c r="M326" s="620"/>
      <c r="N326" s="620"/>
      <c r="O326" s="620"/>
      <c r="P326" s="95"/>
      <c r="Q326" s="620"/>
      <c r="R326" s="620"/>
      <c r="S326" s="620"/>
      <c r="T326" s="620"/>
      <c r="U326" s="92"/>
      <c r="V326" s="620"/>
      <c r="W326" s="620"/>
      <c r="X326" s="620"/>
      <c r="Y326" s="620"/>
      <c r="Z326" s="92"/>
      <c r="AA326" s="620"/>
      <c r="AB326" s="99"/>
      <c r="AC326" s="99"/>
      <c r="AD326" s="99"/>
      <c r="AE326" s="92"/>
      <c r="AF326" s="83"/>
      <c r="AG326" s="83"/>
      <c r="AH326" s="83"/>
      <c r="AI326" s="83"/>
      <c r="AJ326" s="83"/>
      <c r="AK326" s="83"/>
      <c r="AL326" s="83"/>
      <c r="AM326" s="651"/>
      <c r="AN326" s="83"/>
      <c r="AO326" s="83"/>
      <c r="CA326" s="477"/>
      <c r="CB326" s="478"/>
    </row>
    <row r="327" spans="1:80">
      <c r="A327" s="83"/>
      <c r="B327" s="95"/>
      <c r="C327" s="96"/>
      <c r="D327" s="162"/>
      <c r="E327" s="162"/>
      <c r="F327" s="83"/>
      <c r="G327" s="464"/>
      <c r="H327" s="464"/>
      <c r="I327" s="464"/>
      <c r="J327" s="464"/>
      <c r="K327" s="464"/>
      <c r="L327" s="465"/>
      <c r="M327" s="465"/>
      <c r="N327" s="465"/>
      <c r="O327" s="465"/>
      <c r="P327" s="95"/>
      <c r="Q327" s="465"/>
      <c r="R327" s="465"/>
      <c r="S327" s="465"/>
      <c r="T327" s="465"/>
      <c r="U327" s="92"/>
      <c r="V327" s="465"/>
      <c r="W327" s="465"/>
      <c r="X327" s="465"/>
      <c r="Y327" s="465"/>
      <c r="Z327" s="92"/>
      <c r="AA327" s="465"/>
      <c r="AB327" s="99"/>
      <c r="AC327" s="99"/>
      <c r="AD327" s="99"/>
      <c r="AE327" s="92"/>
      <c r="AF327" s="83"/>
      <c r="AG327" s="83"/>
      <c r="AH327" s="83"/>
      <c r="AI327" s="83"/>
      <c r="AJ327" s="83"/>
      <c r="AK327" s="83"/>
      <c r="AL327" s="83"/>
      <c r="AM327" s="651"/>
      <c r="AN327" s="83"/>
      <c r="AO327" s="83"/>
      <c r="CA327" s="477"/>
      <c r="CB327" s="478"/>
    </row>
    <row r="328" spans="1:80">
      <c r="A328" s="83"/>
      <c r="B328" s="95"/>
      <c r="C328" s="96"/>
      <c r="D328" s="186"/>
      <c r="E328" s="186"/>
      <c r="F328" s="136"/>
      <c r="G328" s="187"/>
      <c r="H328" s="187"/>
      <c r="I328" s="187"/>
      <c r="J328" s="187"/>
      <c r="K328" s="187"/>
      <c r="L328" s="188"/>
      <c r="M328" s="188"/>
      <c r="N328" s="188"/>
      <c r="O328" s="188"/>
      <c r="P328" s="187"/>
      <c r="Q328" s="188"/>
      <c r="R328" s="188"/>
      <c r="S328" s="188"/>
      <c r="T328" s="188"/>
      <c r="U328" s="189"/>
      <c r="V328" s="686"/>
      <c r="W328" s="686"/>
      <c r="X328" s="686"/>
      <c r="Y328" s="686"/>
      <c r="Z328" s="189"/>
      <c r="AA328" s="686"/>
      <c r="AB328" s="686"/>
      <c r="AC328" s="686"/>
      <c r="AD328" s="686"/>
      <c r="AE328" s="189"/>
      <c r="AF328" s="136"/>
      <c r="AG328" s="136"/>
      <c r="AH328" s="136"/>
      <c r="AI328" s="136"/>
      <c r="AJ328" s="83"/>
      <c r="AK328" s="83"/>
      <c r="AL328" s="83"/>
      <c r="AM328" s="651"/>
      <c r="AN328" s="83"/>
      <c r="AO328" s="83"/>
      <c r="CA328" s="477"/>
      <c r="CB328" s="478"/>
    </row>
    <row r="329" spans="1:80">
      <c r="A329" s="83"/>
      <c r="B329" s="95"/>
      <c r="C329" s="96"/>
      <c r="D329" s="186"/>
      <c r="E329" s="186"/>
      <c r="F329" s="136"/>
      <c r="G329" s="187"/>
      <c r="H329" s="187"/>
      <c r="I329" s="187"/>
      <c r="J329" s="187"/>
      <c r="K329" s="187"/>
      <c r="L329" s="188"/>
      <c r="M329" s="188"/>
      <c r="N329" s="188"/>
      <c r="O329" s="188"/>
      <c r="P329" s="187"/>
      <c r="Q329" s="188"/>
      <c r="R329" s="188"/>
      <c r="S329" s="188"/>
      <c r="T329" s="188"/>
      <c r="U329" s="189"/>
      <c r="V329" s="686"/>
      <c r="W329" s="686"/>
      <c r="X329" s="686"/>
      <c r="Y329" s="686"/>
      <c r="Z329" s="189"/>
      <c r="AA329" s="686"/>
      <c r="AB329" s="686"/>
      <c r="AC329" s="686"/>
      <c r="AD329" s="686"/>
      <c r="AE329" s="189"/>
      <c r="AF329" s="136"/>
      <c r="AG329" s="136"/>
      <c r="AH329" s="136"/>
      <c r="AI329" s="136"/>
      <c r="AJ329" s="83"/>
      <c r="AK329" s="83"/>
      <c r="AL329" s="83"/>
      <c r="AM329" s="651"/>
      <c r="AN329" s="83"/>
      <c r="AO329" s="83"/>
      <c r="CA329" s="477"/>
      <c r="CB329" s="478"/>
    </row>
    <row r="330" spans="1:80">
      <c r="A330" s="83"/>
      <c r="B330" s="95"/>
      <c r="C330" s="96"/>
      <c r="D330" s="84"/>
      <c r="E330" s="84"/>
      <c r="F330" s="83"/>
      <c r="G330" s="197"/>
      <c r="H330" s="197"/>
      <c r="I330" s="197"/>
      <c r="J330" s="197"/>
      <c r="K330" s="197"/>
      <c r="L330" s="198"/>
      <c r="M330" s="198"/>
      <c r="N330" s="198"/>
      <c r="O330" s="198"/>
      <c r="P330" s="197"/>
      <c r="Q330" s="198"/>
      <c r="R330" s="198"/>
      <c r="S330" s="198"/>
      <c r="T330" s="198"/>
      <c r="U330" s="83"/>
      <c r="V330" s="140"/>
      <c r="W330" s="140"/>
      <c r="X330" s="140"/>
      <c r="Y330" s="140"/>
      <c r="Z330" s="83"/>
      <c r="AA330" s="140"/>
      <c r="AB330" s="140"/>
      <c r="AC330" s="140"/>
      <c r="AD330" s="140"/>
      <c r="AE330" s="83"/>
      <c r="AF330" s="83"/>
      <c r="AG330" s="83"/>
      <c r="AH330" s="83"/>
      <c r="AI330" s="83"/>
      <c r="AJ330" s="83"/>
      <c r="AK330" s="83"/>
      <c r="AL330" s="83"/>
      <c r="AM330" s="651"/>
      <c r="AN330" s="83"/>
      <c r="AO330" s="83"/>
      <c r="CA330" s="477"/>
      <c r="CB330" s="478"/>
    </row>
    <row r="331" spans="1:80">
      <c r="A331" s="155" t="s">
        <v>40</v>
      </c>
      <c r="B331" s="199" t="s">
        <v>0</v>
      </c>
      <c r="C331" s="192" t="s">
        <v>0</v>
      </c>
      <c r="D331" s="193" t="s">
        <v>194</v>
      </c>
      <c r="E331" s="193"/>
      <c r="F331" s="161"/>
      <c r="G331" s="194" t="s">
        <v>0</v>
      </c>
      <c r="H331" s="194" t="s">
        <v>0</v>
      </c>
      <c r="I331" s="194" t="s">
        <v>0</v>
      </c>
      <c r="J331" s="194" t="s">
        <v>0</v>
      </c>
      <c r="K331" s="194" t="s">
        <v>0</v>
      </c>
      <c r="L331" s="194"/>
      <c r="M331" s="194"/>
      <c r="N331" s="194"/>
      <c r="O331" s="194"/>
      <c r="P331" s="195" t="s">
        <v>0</v>
      </c>
      <c r="Q331" s="194"/>
      <c r="R331" s="194"/>
      <c r="S331" s="194"/>
      <c r="T331" s="194"/>
      <c r="U331" s="161"/>
      <c r="V331" s="161"/>
      <c r="W331" s="161"/>
      <c r="X331" s="161"/>
      <c r="Y331" s="161"/>
      <c r="Z331" s="161"/>
      <c r="AA331" s="161"/>
      <c r="AB331" s="161"/>
      <c r="AC331" s="161"/>
      <c r="AD331" s="161"/>
      <c r="AE331" s="161"/>
      <c r="AF331" s="161"/>
      <c r="AG331" s="161"/>
      <c r="AH331" s="161"/>
      <c r="AI331" s="161"/>
      <c r="AJ331" s="161"/>
      <c r="AK331" s="161"/>
      <c r="AL331" s="161"/>
      <c r="AM331" s="651"/>
      <c r="AN331" s="161"/>
      <c r="AO331" s="161"/>
      <c r="AP331" s="158"/>
      <c r="AQ331" s="158"/>
      <c r="AR331" s="158"/>
      <c r="CA331" s="477"/>
      <c r="CB331" s="478"/>
    </row>
    <row r="332" spans="1:80">
      <c r="A332" s="83"/>
      <c r="B332" s="95"/>
      <c r="C332" s="96"/>
      <c r="D332" s="162"/>
      <c r="E332" s="162"/>
      <c r="F332" s="83"/>
      <c r="G332" s="95"/>
      <c r="H332" s="95"/>
      <c r="I332" s="95"/>
      <c r="J332" s="95"/>
      <c r="K332" s="95"/>
      <c r="L332" s="126"/>
      <c r="M332" s="126"/>
      <c r="N332" s="126"/>
      <c r="O332" s="126"/>
      <c r="P332" s="95"/>
      <c r="Q332" s="126"/>
      <c r="R332" s="126"/>
      <c r="S332" s="126"/>
      <c r="T332" s="126"/>
      <c r="U332" s="92"/>
      <c r="V332" s="126"/>
      <c r="W332" s="126"/>
      <c r="X332" s="126"/>
      <c r="Y332" s="126"/>
      <c r="Z332" s="83"/>
      <c r="AA332" s="126"/>
      <c r="AB332" s="140"/>
      <c r="AC332" s="140"/>
      <c r="AD332" s="140"/>
      <c r="AE332" s="83"/>
      <c r="AF332" s="83"/>
      <c r="AG332" s="83"/>
      <c r="AH332" s="83"/>
      <c r="AI332" s="83"/>
      <c r="AJ332" s="83"/>
      <c r="AK332" s="83"/>
      <c r="AL332" s="83"/>
      <c r="AM332" s="651"/>
      <c r="AN332" s="83"/>
      <c r="AO332" s="83"/>
      <c r="CA332" s="477"/>
      <c r="CB332" s="478"/>
    </row>
    <row r="333" spans="1:80">
      <c r="A333" s="83"/>
      <c r="B333" s="95" t="s">
        <v>656</v>
      </c>
      <c r="C333" s="96"/>
      <c r="D333" s="162" t="s">
        <v>614</v>
      </c>
      <c r="E333" s="162"/>
      <c r="F333" s="83"/>
      <c r="G333" s="90">
        <v>18048</v>
      </c>
      <c r="H333" s="90">
        <v>17676</v>
      </c>
      <c r="I333" s="90">
        <v>17309</v>
      </c>
      <c r="J333" s="90">
        <v>17861</v>
      </c>
      <c r="K333" s="90">
        <v>17274</v>
      </c>
      <c r="L333" s="91">
        <v>4330</v>
      </c>
      <c r="M333" s="91">
        <v>4440</v>
      </c>
      <c r="N333" s="91">
        <v>4771</v>
      </c>
      <c r="O333" s="91">
        <v>4925</v>
      </c>
      <c r="P333" s="90">
        <v>18466</v>
      </c>
      <c r="Q333" s="91">
        <v>4190</v>
      </c>
      <c r="R333" s="91">
        <v>4157</v>
      </c>
      <c r="S333" s="91">
        <v>4597</v>
      </c>
      <c r="T333" s="91">
        <v>2043</v>
      </c>
      <c r="U333" s="146">
        <v>14987</v>
      </c>
      <c r="V333" s="91">
        <v>4792</v>
      </c>
      <c r="W333" s="91">
        <v>4663</v>
      </c>
      <c r="X333" s="91">
        <v>4031</v>
      </c>
      <c r="Y333" s="91">
        <v>4658</v>
      </c>
      <c r="Z333" s="146">
        <v>18144</v>
      </c>
      <c r="AA333" s="91">
        <v>4364</v>
      </c>
      <c r="AB333" s="91">
        <v>4218</v>
      </c>
      <c r="AC333" s="97">
        <f t="shared" ref="AC333:AF333" si="336">AC338/AC335/AC334</f>
        <v>3636.3636363636365</v>
      </c>
      <c r="AD333" s="97">
        <f t="shared" si="336"/>
        <v>3851.981351981352</v>
      </c>
      <c r="AE333" s="130">
        <f t="shared" si="336"/>
        <v>13986.013986013986</v>
      </c>
      <c r="AF333" s="130">
        <f t="shared" si="336"/>
        <v>13986.013986013986</v>
      </c>
      <c r="AG333" s="130">
        <f t="shared" ref="AG333:AL333" si="337">AG338/AG335/AG334</f>
        <v>13986.013986013986</v>
      </c>
      <c r="AH333" s="130">
        <f t="shared" si="337"/>
        <v>13986.013986013986</v>
      </c>
      <c r="AI333" s="130">
        <f t="shared" si="337"/>
        <v>13986.013986013986</v>
      </c>
      <c r="AJ333" s="130">
        <f t="shared" si="337"/>
        <v>13986.013986013986</v>
      </c>
      <c r="AK333" s="130">
        <f t="shared" si="337"/>
        <v>13986.013986013986</v>
      </c>
      <c r="AL333" s="130">
        <f t="shared" si="337"/>
        <v>13986.013986013986</v>
      </c>
      <c r="AM333" s="651"/>
      <c r="AN333" s="83"/>
      <c r="AO333" s="83"/>
      <c r="CA333" s="477"/>
      <c r="CB333" s="478"/>
    </row>
    <row r="334" spans="1:80">
      <c r="A334" s="83"/>
      <c r="B334" s="95" t="s">
        <v>221</v>
      </c>
      <c r="C334" s="96"/>
      <c r="D334" s="162" t="s">
        <v>615</v>
      </c>
      <c r="E334" s="162"/>
      <c r="F334" s="83"/>
      <c r="G334" s="583">
        <v>4.7999999999999996E-3</v>
      </c>
      <c r="H334" s="583">
        <v>4.4000000000000003E-3</v>
      </c>
      <c r="I334" s="583">
        <v>4.4999999999999997E-3</v>
      </c>
      <c r="J334" s="583">
        <v>4.4000000000000003E-3</v>
      </c>
      <c r="K334" s="583">
        <v>4.7000000000000002E-3</v>
      </c>
      <c r="L334" s="584">
        <v>4.1000000000000003E-3</v>
      </c>
      <c r="M334" s="584">
        <v>4.0000000000000001E-3</v>
      </c>
      <c r="N334" s="584">
        <v>3.8999999999999998E-3</v>
      </c>
      <c r="O334" s="584">
        <v>4.0000000000000001E-3</v>
      </c>
      <c r="P334" s="583">
        <v>4.0000000000000001E-3</v>
      </c>
      <c r="Q334" s="584">
        <v>3.7000000000000002E-3</v>
      </c>
      <c r="R334" s="584">
        <v>3.8999999999999998E-3</v>
      </c>
      <c r="S334" s="584">
        <v>3.8999999999999998E-3</v>
      </c>
      <c r="T334" s="584">
        <v>3.8999999999999998E-3</v>
      </c>
      <c r="U334" s="583">
        <v>3.8999999999999998E-3</v>
      </c>
      <c r="V334" s="584">
        <v>4.0000000000000001E-3</v>
      </c>
      <c r="W334" s="584">
        <v>3.5000000000000001E-3</v>
      </c>
      <c r="X334" s="584">
        <v>3.3E-3</v>
      </c>
      <c r="Y334" s="584">
        <v>3.3999999999999998E-3</v>
      </c>
      <c r="Z334" s="583">
        <v>3.5999999999999999E-3</v>
      </c>
      <c r="AA334" s="584">
        <v>3.2000000000000002E-3</v>
      </c>
      <c r="AB334" s="584">
        <v>2.8999999999999998E-3</v>
      </c>
      <c r="AC334" s="991">
        <v>3.8999999999999998E-3</v>
      </c>
      <c r="AD334" s="991">
        <v>3.8999999999999998E-3</v>
      </c>
      <c r="AE334" s="992">
        <v>3.8999999999999998E-3</v>
      </c>
      <c r="AF334" s="992">
        <v>3.8999999999999998E-3</v>
      </c>
      <c r="AG334" s="992">
        <v>3.8999999999999998E-3</v>
      </c>
      <c r="AH334" s="992">
        <v>3.8999999999999998E-3</v>
      </c>
      <c r="AI334" s="992">
        <v>3.8999999999999998E-3</v>
      </c>
      <c r="AJ334" s="992">
        <v>3.8999999999999998E-3</v>
      </c>
      <c r="AK334" s="992">
        <v>3.8999999999999998E-3</v>
      </c>
      <c r="AL334" s="992">
        <v>3.8999999999999998E-3</v>
      </c>
      <c r="AM334" s="651"/>
      <c r="AN334" s="83"/>
      <c r="AO334" s="83"/>
      <c r="CA334" s="477"/>
      <c r="CB334" s="478"/>
    </row>
    <row r="335" spans="1:80">
      <c r="A335" s="83"/>
      <c r="B335" s="95" t="s">
        <v>221</v>
      </c>
      <c r="C335" s="96"/>
      <c r="D335" s="162" t="s">
        <v>616</v>
      </c>
      <c r="E335" s="162"/>
      <c r="F335" s="83"/>
      <c r="G335" s="583">
        <v>0.877</v>
      </c>
      <c r="H335" s="583">
        <v>0.87</v>
      </c>
      <c r="I335" s="583">
        <v>0.88600000000000001</v>
      </c>
      <c r="J335" s="583">
        <v>0.89</v>
      </c>
      <c r="K335" s="583">
        <v>0.89</v>
      </c>
      <c r="L335" s="584">
        <v>0.875</v>
      </c>
      <c r="M335" s="584">
        <v>0.86499999999999999</v>
      </c>
      <c r="N335" s="584">
        <v>0.86299999999999999</v>
      </c>
      <c r="O335" s="584">
        <v>0.874</v>
      </c>
      <c r="P335" s="583">
        <v>0.86899999999999999</v>
      </c>
      <c r="Q335" s="584">
        <v>0.89</v>
      </c>
      <c r="R335" s="584">
        <v>0.88900000000000001</v>
      </c>
      <c r="S335" s="584">
        <v>0.88900000000000001</v>
      </c>
      <c r="T335" s="584">
        <v>0.88400000000000001</v>
      </c>
      <c r="U335" s="583">
        <v>0.88400000000000001</v>
      </c>
      <c r="V335" s="584">
        <v>0.876</v>
      </c>
      <c r="W335" s="584">
        <v>0.83299999999999996</v>
      </c>
      <c r="X335" s="584">
        <v>0.83099999999999996</v>
      </c>
      <c r="Y335" s="584">
        <v>0.871</v>
      </c>
      <c r="Z335" s="583">
        <v>0.85499999999999998</v>
      </c>
      <c r="AA335" s="584">
        <v>0.85</v>
      </c>
      <c r="AB335" s="584">
        <v>0.84699999999999998</v>
      </c>
      <c r="AC335" s="991">
        <v>0.88</v>
      </c>
      <c r="AD335" s="991">
        <v>0.88</v>
      </c>
      <c r="AE335" s="992">
        <v>0.88</v>
      </c>
      <c r="AF335" s="992">
        <v>0.88</v>
      </c>
      <c r="AG335" s="992">
        <v>0.88</v>
      </c>
      <c r="AH335" s="992">
        <v>0.88</v>
      </c>
      <c r="AI335" s="992">
        <v>0.88</v>
      </c>
      <c r="AJ335" s="992">
        <v>0.88</v>
      </c>
      <c r="AK335" s="992">
        <v>0.88</v>
      </c>
      <c r="AL335" s="992">
        <v>0.88</v>
      </c>
      <c r="AM335" s="651"/>
      <c r="AN335" s="83"/>
      <c r="AO335" s="83"/>
      <c r="CA335" s="477"/>
      <c r="CB335" s="478"/>
    </row>
    <row r="336" spans="1:80">
      <c r="A336" s="83"/>
      <c r="B336" s="95"/>
      <c r="C336" s="96"/>
      <c r="D336" s="162"/>
      <c r="E336" s="162"/>
      <c r="F336" s="83"/>
      <c r="G336" s="95"/>
      <c r="H336" s="95"/>
      <c r="I336" s="95"/>
      <c r="J336" s="95"/>
      <c r="K336" s="95"/>
      <c r="L336" s="126"/>
      <c r="M336" s="126"/>
      <c r="N336" s="126"/>
      <c r="O336" s="126"/>
      <c r="P336" s="95"/>
      <c r="Q336" s="126"/>
      <c r="R336" s="126"/>
      <c r="S336" s="126"/>
      <c r="T336" s="126"/>
      <c r="U336" s="92"/>
      <c r="V336" s="126"/>
      <c r="W336" s="126"/>
      <c r="X336" s="126"/>
      <c r="Y336" s="126"/>
      <c r="Z336" s="83"/>
      <c r="AA336" s="126"/>
      <c r="AB336" s="126"/>
      <c r="AC336" s="140"/>
      <c r="AD336" s="140"/>
      <c r="AE336" s="83"/>
      <c r="AF336" s="83"/>
      <c r="AG336" s="83"/>
      <c r="AH336" s="83"/>
      <c r="AI336" s="83"/>
      <c r="AJ336" s="83"/>
      <c r="AK336" s="83"/>
      <c r="AL336" s="83"/>
      <c r="AM336" s="651"/>
      <c r="AN336" s="83"/>
      <c r="AO336" s="83"/>
      <c r="CA336" s="477"/>
      <c r="CB336" s="478"/>
    </row>
    <row r="337" spans="1:80">
      <c r="A337" s="83"/>
      <c r="B337" s="95"/>
      <c r="C337" s="96"/>
      <c r="D337" s="554" t="s">
        <v>641</v>
      </c>
      <c r="E337" s="653"/>
      <c r="F337" s="586"/>
      <c r="G337" s="605"/>
      <c r="H337" s="605"/>
      <c r="I337" s="605"/>
      <c r="J337" s="605"/>
      <c r="K337" s="605"/>
      <c r="L337" s="182"/>
      <c r="M337" s="182"/>
      <c r="N337" s="182"/>
      <c r="O337" s="182"/>
      <c r="P337" s="605"/>
      <c r="Q337" s="182"/>
      <c r="R337" s="182"/>
      <c r="S337" s="182"/>
      <c r="T337" s="182"/>
      <c r="U337" s="588"/>
      <c r="V337" s="182"/>
      <c r="W337" s="182"/>
      <c r="X337" s="182"/>
      <c r="Y337" s="182"/>
      <c r="Z337" s="586"/>
      <c r="AA337" s="567"/>
      <c r="AB337" s="985"/>
      <c r="AC337" s="985"/>
      <c r="AD337" s="985"/>
      <c r="AE337" s="134"/>
      <c r="AF337" s="134"/>
      <c r="AG337" s="134"/>
      <c r="AH337" s="134"/>
      <c r="AI337" s="134"/>
      <c r="AJ337" s="134"/>
      <c r="AK337" s="134"/>
      <c r="AL337" s="134"/>
      <c r="AM337" s="651"/>
      <c r="AN337" s="83"/>
      <c r="AO337" s="83"/>
      <c r="CA337" s="477"/>
      <c r="CB337" s="478"/>
    </row>
    <row r="338" spans="1:80">
      <c r="A338" s="83"/>
      <c r="B338" s="95" t="s">
        <v>640</v>
      </c>
      <c r="C338" s="96"/>
      <c r="D338" s="163" t="s">
        <v>169</v>
      </c>
      <c r="E338" s="162"/>
      <c r="F338" s="83"/>
      <c r="G338" s="90">
        <v>76.8</v>
      </c>
      <c r="H338" s="90">
        <v>67.5</v>
      </c>
      <c r="I338" s="90">
        <v>68.3</v>
      </c>
      <c r="J338" s="90">
        <v>69.5</v>
      </c>
      <c r="K338" s="90">
        <v>72.5</v>
      </c>
      <c r="L338" s="91">
        <v>15.6</v>
      </c>
      <c r="M338" s="91">
        <v>15.1</v>
      </c>
      <c r="N338" s="91">
        <v>15.7</v>
      </c>
      <c r="O338" s="91">
        <v>17.100000000000001</v>
      </c>
      <c r="P338" s="90">
        <v>63.5</v>
      </c>
      <c r="Q338" s="91">
        <v>14</v>
      </c>
      <c r="R338" s="91">
        <v>14.8</v>
      </c>
      <c r="S338" s="91">
        <v>15.9</v>
      </c>
      <c r="T338" s="91">
        <v>6.9</v>
      </c>
      <c r="U338" s="90">
        <v>51.6</v>
      </c>
      <c r="V338" s="91">
        <v>16.7</v>
      </c>
      <c r="W338" s="91">
        <v>13.7</v>
      </c>
      <c r="X338" s="91">
        <v>11.2</v>
      </c>
      <c r="Y338" s="91">
        <v>13.8</v>
      </c>
      <c r="Z338" s="90">
        <v>55.4</v>
      </c>
      <c r="AA338" s="1194">
        <v>11.9</v>
      </c>
      <c r="AB338" s="1194">
        <v>10.4</v>
      </c>
      <c r="AC338" s="1195">
        <f>AE338*AC$398</f>
        <v>12.48</v>
      </c>
      <c r="AD338" s="1195">
        <f>AE338*AD$398</f>
        <v>13.219999999999999</v>
      </c>
      <c r="AE338" s="1171">
        <v>48</v>
      </c>
      <c r="AF338" s="394">
        <f t="shared" ref="AF338:AL340" si="338">AE338</f>
        <v>48</v>
      </c>
      <c r="AG338" s="394">
        <f t="shared" si="338"/>
        <v>48</v>
      </c>
      <c r="AH338" s="394">
        <f>AG338</f>
        <v>48</v>
      </c>
      <c r="AI338" s="394">
        <f t="shared" si="338"/>
        <v>48</v>
      </c>
      <c r="AJ338" s="394">
        <f t="shared" si="338"/>
        <v>48</v>
      </c>
      <c r="AK338" s="394">
        <f t="shared" si="338"/>
        <v>48</v>
      </c>
      <c r="AL338" s="394">
        <f t="shared" si="338"/>
        <v>48</v>
      </c>
      <c r="AM338" s="651"/>
      <c r="AN338" s="83"/>
      <c r="AO338" s="83"/>
      <c r="CA338" s="477"/>
      <c r="CB338" s="478"/>
    </row>
    <row r="339" spans="1:80">
      <c r="A339" s="83"/>
      <c r="B339" s="95" t="s">
        <v>656</v>
      </c>
      <c r="C339" s="96"/>
      <c r="D339" s="163" t="s">
        <v>690</v>
      </c>
      <c r="E339" s="162"/>
      <c r="F339" s="83"/>
      <c r="G339" s="90">
        <v>4.4000000000000004</v>
      </c>
      <c r="H339" s="90">
        <v>4.3</v>
      </c>
      <c r="I339" s="90">
        <v>4.7</v>
      </c>
      <c r="J339" s="90">
        <v>3.7</v>
      </c>
      <c r="K339" s="90">
        <v>3.5</v>
      </c>
      <c r="L339" s="86">
        <v>1.1000000000000001</v>
      </c>
      <c r="M339" s="86">
        <v>0.9</v>
      </c>
      <c r="N339" s="86">
        <v>0.9</v>
      </c>
      <c r="O339" s="86">
        <v>0.8</v>
      </c>
      <c r="P339" s="576">
        <v>3.7</v>
      </c>
      <c r="Q339" s="86">
        <v>0.7</v>
      </c>
      <c r="R339" s="86">
        <v>0.5</v>
      </c>
      <c r="S339" s="86">
        <v>0.8</v>
      </c>
      <c r="T339" s="86">
        <v>0.4</v>
      </c>
      <c r="U339" s="576">
        <v>2.4</v>
      </c>
      <c r="V339" s="86">
        <v>0.7</v>
      </c>
      <c r="W339" s="86">
        <v>0.4</v>
      </c>
      <c r="X339" s="86">
        <v>0.4</v>
      </c>
      <c r="Y339" s="86">
        <v>0.5</v>
      </c>
      <c r="Z339" s="576">
        <v>2</v>
      </c>
      <c r="AA339" s="86">
        <v>0.3</v>
      </c>
      <c r="AB339" s="86">
        <v>0.4</v>
      </c>
      <c r="AC339" s="87">
        <f>AE339*AC$398</f>
        <v>0.46800000000000003</v>
      </c>
      <c r="AD339" s="87">
        <f>AE339*AD$398</f>
        <v>0.49574999999999997</v>
      </c>
      <c r="AE339" s="581">
        <v>1.8</v>
      </c>
      <c r="AF339" s="209">
        <f t="shared" si="338"/>
        <v>1.8</v>
      </c>
      <c r="AG339" s="209">
        <f t="shared" si="338"/>
        <v>1.8</v>
      </c>
      <c r="AH339" s="209">
        <f t="shared" si="338"/>
        <v>1.8</v>
      </c>
      <c r="AI339" s="209">
        <f t="shared" si="338"/>
        <v>1.8</v>
      </c>
      <c r="AJ339" s="209">
        <f t="shared" si="338"/>
        <v>1.8</v>
      </c>
      <c r="AK339" s="209">
        <f t="shared" si="338"/>
        <v>1.8</v>
      </c>
      <c r="AL339" s="209">
        <f t="shared" si="338"/>
        <v>1.8</v>
      </c>
      <c r="AM339" s="651"/>
      <c r="AN339" s="83"/>
      <c r="AO339" s="83"/>
      <c r="CA339" s="477"/>
      <c r="CB339" s="478"/>
    </row>
    <row r="340" spans="1:80">
      <c r="A340" s="83"/>
      <c r="B340" s="95" t="s">
        <v>685</v>
      </c>
      <c r="C340" s="96"/>
      <c r="D340" s="163" t="s">
        <v>683</v>
      </c>
      <c r="E340" s="162"/>
      <c r="F340" s="83"/>
      <c r="G340" s="90">
        <v>68</v>
      </c>
      <c r="H340" s="90">
        <v>47.5</v>
      </c>
      <c r="I340" s="90">
        <v>47.6</v>
      </c>
      <c r="J340" s="90">
        <v>53.3</v>
      </c>
      <c r="K340" s="90">
        <v>54.5</v>
      </c>
      <c r="L340" s="91">
        <v>14</v>
      </c>
      <c r="M340" s="91">
        <v>13.1</v>
      </c>
      <c r="N340" s="91">
        <v>16.2</v>
      </c>
      <c r="O340" s="91">
        <v>16.3</v>
      </c>
      <c r="P340" s="90">
        <v>59.6</v>
      </c>
      <c r="Q340" s="91">
        <v>13.2</v>
      </c>
      <c r="R340" s="91">
        <v>13.1</v>
      </c>
      <c r="S340" s="91">
        <v>14.1</v>
      </c>
      <c r="T340" s="91">
        <v>6.4</v>
      </c>
      <c r="U340" s="90">
        <v>46.8</v>
      </c>
      <c r="V340" s="91">
        <v>14.8</v>
      </c>
      <c r="W340" s="91">
        <v>12.7</v>
      </c>
      <c r="X340" s="91">
        <v>9.6999999999999993</v>
      </c>
      <c r="Y340" s="91">
        <v>12</v>
      </c>
      <c r="Z340" s="90">
        <v>49.2</v>
      </c>
      <c r="AA340" s="91">
        <v>10.5</v>
      </c>
      <c r="AB340" s="91">
        <v>9.1999999999999993</v>
      </c>
      <c r="AC340" s="97">
        <f>AE340*AC$398</f>
        <v>11.700000000000001</v>
      </c>
      <c r="AD340" s="97">
        <f>AE340*AD$398</f>
        <v>12.393749999999999</v>
      </c>
      <c r="AE340" s="581">
        <v>45</v>
      </c>
      <c r="AF340" s="209">
        <f t="shared" si="338"/>
        <v>45</v>
      </c>
      <c r="AG340" s="209">
        <f t="shared" si="338"/>
        <v>45</v>
      </c>
      <c r="AH340" s="209">
        <f t="shared" si="338"/>
        <v>45</v>
      </c>
      <c r="AI340" s="209">
        <f t="shared" si="338"/>
        <v>45</v>
      </c>
      <c r="AJ340" s="209">
        <f t="shared" si="338"/>
        <v>45</v>
      </c>
      <c r="AK340" s="209">
        <f t="shared" si="338"/>
        <v>45</v>
      </c>
      <c r="AL340" s="209">
        <f t="shared" si="338"/>
        <v>45</v>
      </c>
      <c r="AM340" s="651"/>
      <c r="AN340" s="83"/>
      <c r="AO340" s="83"/>
      <c r="CA340" s="477"/>
      <c r="CB340" s="478"/>
    </row>
    <row r="341" spans="1:80">
      <c r="A341" s="83"/>
      <c r="B341" s="95"/>
      <c r="C341" s="96"/>
      <c r="D341" s="163"/>
      <c r="E341" s="162"/>
      <c r="F341" s="83"/>
      <c r="G341" s="95"/>
      <c r="H341" s="95"/>
      <c r="I341" s="95"/>
      <c r="J341" s="95"/>
      <c r="K341" s="95"/>
      <c r="L341" s="126"/>
      <c r="M341" s="126"/>
      <c r="N341" s="126"/>
      <c r="O341" s="126"/>
      <c r="P341" s="95"/>
      <c r="Q341" s="126"/>
      <c r="R341" s="126"/>
      <c r="S341" s="126"/>
      <c r="T341" s="126"/>
      <c r="U341" s="92"/>
      <c r="V341" s="126"/>
      <c r="W341" s="126"/>
      <c r="X341" s="126"/>
      <c r="Y341" s="126"/>
      <c r="Z341" s="83"/>
      <c r="AA341" s="126"/>
      <c r="AB341" s="126"/>
      <c r="AC341" s="140"/>
      <c r="AD341" s="140"/>
      <c r="AE341" s="83"/>
      <c r="AF341" s="83"/>
      <c r="AG341" s="83"/>
      <c r="AH341" s="83"/>
      <c r="AI341" s="83"/>
      <c r="AJ341" s="83"/>
      <c r="AK341" s="83"/>
      <c r="AL341" s="83"/>
      <c r="AM341" s="651"/>
      <c r="AN341" s="83"/>
      <c r="AO341" s="83"/>
      <c r="CA341" s="477"/>
      <c r="CB341" s="478"/>
    </row>
    <row r="342" spans="1:80">
      <c r="A342" s="83"/>
      <c r="B342" s="95"/>
      <c r="C342" s="96"/>
      <c r="D342" s="554" t="s">
        <v>617</v>
      </c>
      <c r="E342" s="653"/>
      <c r="F342" s="586"/>
      <c r="G342" s="605"/>
      <c r="H342" s="605"/>
      <c r="I342" s="605"/>
      <c r="J342" s="605"/>
      <c r="K342" s="605"/>
      <c r="L342" s="182"/>
      <c r="M342" s="182"/>
      <c r="N342" s="182"/>
      <c r="O342" s="182"/>
      <c r="P342" s="605"/>
      <c r="Q342" s="182"/>
      <c r="R342" s="182"/>
      <c r="S342" s="182"/>
      <c r="T342" s="182"/>
      <c r="U342" s="588"/>
      <c r="V342" s="182"/>
      <c r="W342" s="182"/>
      <c r="X342" s="182"/>
      <c r="Y342" s="182"/>
      <c r="Z342" s="586"/>
      <c r="AA342" s="182"/>
      <c r="AB342" s="182"/>
      <c r="AC342" s="725"/>
      <c r="AD342" s="725"/>
      <c r="AE342" s="586"/>
      <c r="AF342" s="586"/>
      <c r="AG342" s="586"/>
      <c r="AH342" s="586"/>
      <c r="AI342" s="586"/>
      <c r="AJ342" s="586"/>
      <c r="AK342" s="586"/>
      <c r="AL342" s="586"/>
      <c r="AM342" s="651"/>
      <c r="AN342" s="83"/>
      <c r="AO342" s="83"/>
      <c r="CA342" s="477"/>
      <c r="CB342" s="478"/>
    </row>
    <row r="343" spans="1:80">
      <c r="A343" s="83"/>
      <c r="B343" s="95" t="s">
        <v>656</v>
      </c>
      <c r="C343" s="96"/>
      <c r="D343" s="163" t="s">
        <v>151</v>
      </c>
      <c r="E343" s="162"/>
      <c r="F343" s="83"/>
      <c r="G343" s="90">
        <v>78.8</v>
      </c>
      <c r="H343" s="90">
        <v>69.400000000000006</v>
      </c>
      <c r="I343" s="90">
        <v>66.900000000000006</v>
      </c>
      <c r="J343" s="90">
        <v>69.599999999999994</v>
      </c>
      <c r="K343" s="90">
        <v>73.900000000000006</v>
      </c>
      <c r="L343" s="91">
        <v>17.3</v>
      </c>
      <c r="M343" s="91">
        <v>13.9</v>
      </c>
      <c r="N343" s="91">
        <v>13.9</v>
      </c>
      <c r="O343" s="91">
        <v>15.8</v>
      </c>
      <c r="P343" s="90">
        <v>60.1</v>
      </c>
      <c r="Q343" s="91">
        <v>18.399999999999999</v>
      </c>
      <c r="R343" s="91">
        <v>14.5</v>
      </c>
      <c r="S343" s="91">
        <v>14.4</v>
      </c>
      <c r="T343" s="91">
        <v>5</v>
      </c>
      <c r="U343" s="90">
        <v>52.3</v>
      </c>
      <c r="V343" s="91">
        <v>20.3</v>
      </c>
      <c r="W343" s="91">
        <v>9.4</v>
      </c>
      <c r="X343" s="91">
        <v>14</v>
      </c>
      <c r="Y343" s="91">
        <v>13.9</v>
      </c>
      <c r="Z343" s="90">
        <v>57.6</v>
      </c>
      <c r="AA343" s="91">
        <v>10.9</v>
      </c>
      <c r="AB343" s="91">
        <v>11.2</v>
      </c>
      <c r="AC343" s="97">
        <f t="shared" ref="AC343:AD345" si="339">AC338</f>
        <v>12.48</v>
      </c>
      <c r="AD343" s="97">
        <f t="shared" si="339"/>
        <v>13.219999999999999</v>
      </c>
      <c r="AE343" s="955">
        <f>SUM(AA343:AD343)</f>
        <v>47.8</v>
      </c>
      <c r="AF343" s="92">
        <f>AF338</f>
        <v>48</v>
      </c>
      <c r="AG343" s="92">
        <f t="shared" ref="AG343:AL343" si="340">AG338</f>
        <v>48</v>
      </c>
      <c r="AH343" s="92">
        <f t="shared" si="340"/>
        <v>48</v>
      </c>
      <c r="AI343" s="92">
        <f t="shared" si="340"/>
        <v>48</v>
      </c>
      <c r="AJ343" s="92">
        <f t="shared" si="340"/>
        <v>48</v>
      </c>
      <c r="AK343" s="92">
        <f t="shared" si="340"/>
        <v>48</v>
      </c>
      <c r="AL343" s="92">
        <f t="shared" si="340"/>
        <v>48</v>
      </c>
      <c r="AM343" s="651"/>
      <c r="AN343" s="83"/>
      <c r="AO343" s="83"/>
      <c r="CA343" s="477"/>
      <c r="CB343" s="478"/>
    </row>
    <row r="344" spans="1:80">
      <c r="A344" s="83"/>
      <c r="B344" s="95" t="s">
        <v>656</v>
      </c>
      <c r="C344" s="96"/>
      <c r="D344" s="163" t="s">
        <v>690</v>
      </c>
      <c r="E344" s="162"/>
      <c r="F344" s="83"/>
      <c r="G344" s="85">
        <v>4.0999999999999996</v>
      </c>
      <c r="H344" s="85">
        <v>4.4000000000000004</v>
      </c>
      <c r="I344" s="85">
        <v>4.7</v>
      </c>
      <c r="J344" s="85">
        <v>3.6</v>
      </c>
      <c r="K344" s="85">
        <v>3.5</v>
      </c>
      <c r="L344" s="86">
        <v>0.8</v>
      </c>
      <c r="M344" s="86">
        <v>1.3</v>
      </c>
      <c r="N344" s="86">
        <v>0.9</v>
      </c>
      <c r="O344" s="86">
        <v>0.9</v>
      </c>
      <c r="P344" s="576">
        <v>3.9</v>
      </c>
      <c r="Q344" s="86">
        <v>0.7</v>
      </c>
      <c r="R344" s="86">
        <v>0.5</v>
      </c>
      <c r="S344" s="86">
        <v>0.8</v>
      </c>
      <c r="T344" s="86">
        <v>0.3</v>
      </c>
      <c r="U344" s="576">
        <v>2.2999999999999998</v>
      </c>
      <c r="V344" s="86">
        <v>0.5</v>
      </c>
      <c r="W344" s="86">
        <v>0.8</v>
      </c>
      <c r="X344" s="86">
        <v>0.4</v>
      </c>
      <c r="Y344" s="86">
        <v>0.2</v>
      </c>
      <c r="Z344" s="576">
        <v>1.9</v>
      </c>
      <c r="AA344" s="86">
        <v>0.5</v>
      </c>
      <c r="AB344" s="86">
        <v>0.3</v>
      </c>
      <c r="AC344" s="87">
        <f t="shared" si="339"/>
        <v>0.46800000000000003</v>
      </c>
      <c r="AD344" s="87">
        <f t="shared" si="339"/>
        <v>0.49574999999999997</v>
      </c>
      <c r="AE344" s="955">
        <f>SUM(AA344:AD344)</f>
        <v>1.7637499999999999</v>
      </c>
      <c r="AF344" s="92">
        <f>AF339</f>
        <v>1.8</v>
      </c>
      <c r="AG344" s="92">
        <f t="shared" ref="AG344:AL344" si="341">AG339</f>
        <v>1.8</v>
      </c>
      <c r="AH344" s="92">
        <f t="shared" si="341"/>
        <v>1.8</v>
      </c>
      <c r="AI344" s="92">
        <f t="shared" si="341"/>
        <v>1.8</v>
      </c>
      <c r="AJ344" s="92">
        <f t="shared" si="341"/>
        <v>1.8</v>
      </c>
      <c r="AK344" s="92">
        <f t="shared" si="341"/>
        <v>1.8</v>
      </c>
      <c r="AL344" s="92">
        <f t="shared" si="341"/>
        <v>1.8</v>
      </c>
      <c r="AM344" s="651"/>
      <c r="AN344" s="83"/>
      <c r="AO344" s="83"/>
      <c r="CA344" s="477"/>
      <c r="CB344" s="478"/>
    </row>
    <row r="345" spans="1:80">
      <c r="A345" s="83"/>
      <c r="B345" s="95" t="s">
        <v>685</v>
      </c>
      <c r="C345" s="96"/>
      <c r="D345" s="163" t="s">
        <v>684</v>
      </c>
      <c r="E345" s="162"/>
      <c r="F345" s="83"/>
      <c r="G345" s="90">
        <v>67.099999999999994</v>
      </c>
      <c r="H345" s="90">
        <v>42.8</v>
      </c>
      <c r="I345" s="90">
        <v>40.4</v>
      </c>
      <c r="J345" s="90">
        <v>53.7</v>
      </c>
      <c r="K345" s="90">
        <v>55.4</v>
      </c>
      <c r="L345" s="91">
        <v>15.4</v>
      </c>
      <c r="M345" s="91">
        <v>12.5</v>
      </c>
      <c r="N345" s="91">
        <v>14.2</v>
      </c>
      <c r="O345" s="91">
        <v>16.2</v>
      </c>
      <c r="P345" s="90">
        <v>58.3</v>
      </c>
      <c r="Q345" s="91">
        <v>18.399999999999999</v>
      </c>
      <c r="R345" s="91">
        <v>13.8</v>
      </c>
      <c r="S345" s="91">
        <v>14.1</v>
      </c>
      <c r="T345" s="91">
        <v>4.5</v>
      </c>
      <c r="U345" s="90">
        <v>50.8</v>
      </c>
      <c r="V345" s="91">
        <v>18.899999999999999</v>
      </c>
      <c r="W345" s="91">
        <v>9</v>
      </c>
      <c r="X345" s="91">
        <v>13.1</v>
      </c>
      <c r="Y345" s="91">
        <v>13</v>
      </c>
      <c r="Z345" s="90">
        <v>54</v>
      </c>
      <c r="AA345" s="91">
        <v>9.6999999999999993</v>
      </c>
      <c r="AB345" s="91">
        <v>10.4</v>
      </c>
      <c r="AC345" s="97">
        <f t="shared" si="339"/>
        <v>11.700000000000001</v>
      </c>
      <c r="AD345" s="97">
        <f t="shared" si="339"/>
        <v>12.393749999999999</v>
      </c>
      <c r="AE345" s="955">
        <f>SUM(AA345:AD345)</f>
        <v>44.193750000000001</v>
      </c>
      <c r="AF345" s="92">
        <f>AF340</f>
        <v>45</v>
      </c>
      <c r="AG345" s="92">
        <f t="shared" ref="AG345:AL345" si="342">AG340</f>
        <v>45</v>
      </c>
      <c r="AH345" s="92">
        <f t="shared" si="342"/>
        <v>45</v>
      </c>
      <c r="AI345" s="92">
        <f t="shared" si="342"/>
        <v>45</v>
      </c>
      <c r="AJ345" s="92">
        <f t="shared" si="342"/>
        <v>45</v>
      </c>
      <c r="AK345" s="92">
        <f t="shared" si="342"/>
        <v>45</v>
      </c>
      <c r="AL345" s="92">
        <f t="shared" si="342"/>
        <v>45</v>
      </c>
      <c r="AM345" s="651"/>
      <c r="AN345" s="83"/>
      <c r="AO345" s="83"/>
      <c r="CA345" s="477"/>
      <c r="CB345" s="478"/>
    </row>
    <row r="346" spans="1:80">
      <c r="A346" s="83"/>
      <c r="B346" s="95"/>
      <c r="C346" s="96"/>
      <c r="D346" s="163"/>
      <c r="E346" s="162"/>
      <c r="F346" s="83"/>
      <c r="G346" s="95"/>
      <c r="H346" s="95"/>
      <c r="I346" s="95"/>
      <c r="J346" s="95"/>
      <c r="K346" s="95"/>
      <c r="L346" s="126"/>
      <c r="M346" s="126"/>
      <c r="N346" s="126"/>
      <c r="O346" s="126"/>
      <c r="P346" s="95"/>
      <c r="Q346" s="126"/>
      <c r="R346" s="126"/>
      <c r="S346" s="126"/>
      <c r="T346" s="126"/>
      <c r="U346" s="92"/>
      <c r="V346" s="126"/>
      <c r="W346" s="126"/>
      <c r="X346" s="126"/>
      <c r="Y346" s="126"/>
      <c r="Z346" s="83"/>
      <c r="AA346" s="126"/>
      <c r="AB346" s="140"/>
      <c r="AC346" s="140"/>
      <c r="AD346" s="140"/>
      <c r="AE346" s="83"/>
      <c r="AF346" s="83"/>
      <c r="AG346" s="83"/>
      <c r="AH346" s="83"/>
      <c r="AI346" s="83"/>
      <c r="AJ346" s="83"/>
      <c r="AK346" s="83"/>
      <c r="AL346" s="83"/>
      <c r="AM346" s="651"/>
      <c r="AN346" s="83"/>
      <c r="AO346" s="83"/>
      <c r="CA346" s="477"/>
      <c r="CB346" s="478"/>
    </row>
    <row r="347" spans="1:80">
      <c r="A347" s="83"/>
      <c r="B347" s="95"/>
      <c r="C347" s="96"/>
      <c r="D347" s="554" t="s">
        <v>725</v>
      </c>
      <c r="E347" s="653"/>
      <c r="F347" s="586"/>
      <c r="G347" s="605"/>
      <c r="H347" s="605"/>
      <c r="I347" s="605"/>
      <c r="J347" s="605"/>
      <c r="K347" s="605"/>
      <c r="L347" s="182"/>
      <c r="M347" s="182"/>
      <c r="N347" s="182"/>
      <c r="O347" s="182"/>
      <c r="P347" s="605"/>
      <c r="Q347" s="182"/>
      <c r="R347" s="182"/>
      <c r="S347" s="182"/>
      <c r="T347" s="182"/>
      <c r="U347" s="588"/>
      <c r="V347" s="182"/>
      <c r="W347" s="182"/>
      <c r="X347" s="182"/>
      <c r="Y347" s="182"/>
      <c r="Z347" s="586"/>
      <c r="AA347" s="182"/>
      <c r="AB347" s="725"/>
      <c r="AC347" s="725"/>
      <c r="AD347" s="725"/>
      <c r="AE347" s="586"/>
      <c r="AF347" s="586"/>
      <c r="AG347" s="586"/>
      <c r="AH347" s="586"/>
      <c r="AI347" s="586"/>
      <c r="AJ347" s="586"/>
      <c r="AK347" s="586"/>
      <c r="AL347" s="586"/>
      <c r="AM347" s="651"/>
      <c r="AN347" s="83"/>
      <c r="AO347" s="83"/>
      <c r="CA347" s="477"/>
      <c r="CB347" s="478"/>
    </row>
    <row r="348" spans="1:80">
      <c r="A348" s="83"/>
      <c r="B348" s="95" t="s">
        <v>618</v>
      </c>
      <c r="C348" s="96"/>
      <c r="D348" s="163" t="s">
        <v>146</v>
      </c>
      <c r="E348" s="162"/>
      <c r="F348" s="83"/>
      <c r="G348" s="589">
        <f t="shared" ref="G348:X348" si="343">G16</f>
        <v>3.32</v>
      </c>
      <c r="H348" s="589">
        <f t="shared" si="343"/>
        <v>3.11</v>
      </c>
      <c r="I348" s="589">
        <f t="shared" si="343"/>
        <v>2.4900000000000002</v>
      </c>
      <c r="J348" s="589">
        <f t="shared" si="343"/>
        <v>2.21</v>
      </c>
      <c r="K348" s="589">
        <f t="shared" si="343"/>
        <v>2.8</v>
      </c>
      <c r="L348" s="590">
        <f t="shared" si="343"/>
        <v>3.16</v>
      </c>
      <c r="M348" s="590">
        <f t="shared" si="343"/>
        <v>3.12</v>
      </c>
      <c r="N348" s="590">
        <f t="shared" si="343"/>
        <v>2.77</v>
      </c>
      <c r="O348" s="590">
        <f t="shared" si="343"/>
        <v>2.8</v>
      </c>
      <c r="P348" s="589">
        <f t="shared" si="343"/>
        <v>2.96</v>
      </c>
      <c r="Q348" s="590">
        <f t="shared" si="343"/>
        <v>2.82</v>
      </c>
      <c r="R348" s="590">
        <f t="shared" si="343"/>
        <v>2.77</v>
      </c>
      <c r="S348" s="590">
        <f t="shared" si="343"/>
        <v>2.63</v>
      </c>
      <c r="T348" s="590">
        <f t="shared" si="343"/>
        <v>2.67</v>
      </c>
      <c r="U348" s="589">
        <f t="shared" si="343"/>
        <v>2.72</v>
      </c>
      <c r="V348" s="590">
        <f t="shared" si="343"/>
        <v>2.5567456964982314</v>
      </c>
      <c r="W348" s="590">
        <f t="shared" si="343"/>
        <v>2.4255515593495116</v>
      </c>
      <c r="X348" s="590">
        <f t="shared" si="343"/>
        <v>2.953751659752748</v>
      </c>
      <c r="Y348" s="590">
        <f>Y16</f>
        <v>3.250681813027307</v>
      </c>
      <c r="Z348" s="589">
        <f>AVERAGE(V348:Y348)</f>
        <v>2.7966826821569493</v>
      </c>
      <c r="AA348" s="590">
        <f>AA16</f>
        <v>3.8572270965902482</v>
      </c>
      <c r="AB348" s="590">
        <f>AB16</f>
        <v>4.393529804250937</v>
      </c>
      <c r="AC348" s="590">
        <f>AC16</f>
        <v>4.1730926245123836</v>
      </c>
      <c r="AD348" s="590">
        <f>AD16</f>
        <v>4.1730926245123836</v>
      </c>
      <c r="AE348" s="589">
        <f>AVERAGE(AA348:AD348)</f>
        <v>4.1492355374664882</v>
      </c>
      <c r="AF348" s="589">
        <f t="shared" ref="AF348:AL348" si="344">AF16</f>
        <v>4.3148820326678763</v>
      </c>
      <c r="AG348" s="589">
        <f t="shared" si="344"/>
        <v>4.3148820326678763</v>
      </c>
      <c r="AH348" s="589">
        <f t="shared" si="344"/>
        <v>4.3148820326678763</v>
      </c>
      <c r="AI348" s="589">
        <f t="shared" si="344"/>
        <v>3.8688787081556746</v>
      </c>
      <c r="AJ348" s="589">
        <f t="shared" si="344"/>
        <v>3.8688787081556746</v>
      </c>
      <c r="AK348" s="589">
        <f t="shared" si="344"/>
        <v>3.8688787081556746</v>
      </c>
      <c r="AL348" s="589">
        <f t="shared" si="344"/>
        <v>3.8688787081556746</v>
      </c>
      <c r="AM348" s="651"/>
      <c r="AN348" s="83"/>
      <c r="AO348" s="83"/>
      <c r="CA348" s="477"/>
      <c r="CB348" s="478"/>
    </row>
    <row r="349" spans="1:80">
      <c r="A349" s="83"/>
      <c r="B349" s="95"/>
      <c r="C349" s="96"/>
      <c r="D349" s="163" t="s">
        <v>683</v>
      </c>
      <c r="E349" s="162"/>
      <c r="F349" s="83"/>
      <c r="G349" s="669">
        <f t="shared" ref="G349:X349" si="345">G19</f>
        <v>1411.2257</v>
      </c>
      <c r="H349" s="669">
        <f t="shared" si="345"/>
        <v>1266.4023999999999</v>
      </c>
      <c r="I349" s="669">
        <f t="shared" si="345"/>
        <v>1160.0624</v>
      </c>
      <c r="J349" s="669">
        <f t="shared" si="345"/>
        <v>1250.798</v>
      </c>
      <c r="K349" s="669">
        <f t="shared" si="345"/>
        <v>1257.1454000000001</v>
      </c>
      <c r="L349" s="671">
        <f t="shared" si="345"/>
        <v>1329.2849000000001</v>
      </c>
      <c r="M349" s="671">
        <f t="shared" si="345"/>
        <v>1305.9879000000001</v>
      </c>
      <c r="N349" s="671">
        <f t="shared" si="345"/>
        <v>1213.1938</v>
      </c>
      <c r="O349" s="671">
        <f t="shared" si="345"/>
        <v>1226.2831000000001</v>
      </c>
      <c r="P349" s="669">
        <f t="shared" si="345"/>
        <v>1268.4866999999999</v>
      </c>
      <c r="Q349" s="671">
        <f t="shared" si="345"/>
        <v>1303.7864999999999</v>
      </c>
      <c r="R349" s="671">
        <f t="shared" si="345"/>
        <v>1309.3877</v>
      </c>
      <c r="S349" s="671">
        <f t="shared" si="345"/>
        <v>1472.4746</v>
      </c>
      <c r="T349" s="671">
        <f t="shared" si="345"/>
        <v>1480.9604999999999</v>
      </c>
      <c r="U349" s="669">
        <f t="shared" si="345"/>
        <v>1392.596</v>
      </c>
      <c r="V349" s="671">
        <f t="shared" si="345"/>
        <v>1582.8008</v>
      </c>
      <c r="W349" s="671">
        <f t="shared" si="345"/>
        <v>1709.4774</v>
      </c>
      <c r="X349" s="671">
        <f t="shared" si="345"/>
        <v>1906.4287999999999</v>
      </c>
      <c r="Y349" s="671">
        <f>Y19</f>
        <v>1874.2347</v>
      </c>
      <c r="Z349" s="669">
        <f>AVERAGE(V349:Y349)</f>
        <v>1768.2354249999999</v>
      </c>
      <c r="AA349" s="671">
        <f>AA19</f>
        <v>1794.0071</v>
      </c>
      <c r="AB349" s="671">
        <f>AB19</f>
        <v>1814.4565</v>
      </c>
      <c r="AC349" s="671">
        <f>AC19</f>
        <v>1780</v>
      </c>
      <c r="AD349" s="671">
        <f>AD19</f>
        <v>1780</v>
      </c>
      <c r="AE349" s="669">
        <f>AVERAGE(AA349:AD349)</f>
        <v>1792.1159</v>
      </c>
      <c r="AF349" s="669">
        <f t="shared" ref="AF349:AL349" si="346">AF19</f>
        <v>1740</v>
      </c>
      <c r="AG349" s="669">
        <f t="shared" si="346"/>
        <v>1690</v>
      </c>
      <c r="AH349" s="669">
        <f t="shared" si="346"/>
        <v>1660</v>
      </c>
      <c r="AI349" s="669">
        <f t="shared" si="346"/>
        <v>1660</v>
      </c>
      <c r="AJ349" s="669">
        <f t="shared" si="346"/>
        <v>1660</v>
      </c>
      <c r="AK349" s="669">
        <f t="shared" si="346"/>
        <v>1660</v>
      </c>
      <c r="AL349" s="669">
        <f t="shared" si="346"/>
        <v>1660</v>
      </c>
      <c r="AM349" s="651"/>
      <c r="AN349" s="83"/>
      <c r="AO349" s="83"/>
      <c r="CA349" s="477"/>
      <c r="CB349" s="478"/>
    </row>
    <row r="350" spans="1:80">
      <c r="A350" s="83"/>
      <c r="B350" s="95" t="s">
        <v>619</v>
      </c>
      <c r="C350" s="96"/>
      <c r="D350" s="163" t="s">
        <v>620</v>
      </c>
      <c r="E350" s="162"/>
      <c r="F350" s="83"/>
      <c r="G350" s="589">
        <f t="shared" ref="G350:AD350" si="347">G23</f>
        <v>1.03</v>
      </c>
      <c r="H350" s="589">
        <f t="shared" si="347"/>
        <v>1.1046</v>
      </c>
      <c r="I350" s="589">
        <f t="shared" si="347"/>
        <v>1.2789999999999999</v>
      </c>
      <c r="J350" s="589">
        <f t="shared" si="347"/>
        <v>1.3248</v>
      </c>
      <c r="K350" s="589">
        <f t="shared" si="347"/>
        <v>1.2982</v>
      </c>
      <c r="L350" s="590">
        <f t="shared" si="347"/>
        <v>1.2647999999999999</v>
      </c>
      <c r="M350" s="590">
        <f t="shared" si="347"/>
        <v>1.2907999999999999</v>
      </c>
      <c r="N350" s="590">
        <f t="shared" si="347"/>
        <v>1.3068</v>
      </c>
      <c r="O350" s="590">
        <f t="shared" si="347"/>
        <v>1.3218000000000001</v>
      </c>
      <c r="P350" s="589">
        <f t="shared" si="347"/>
        <v>1.2961</v>
      </c>
      <c r="Q350" s="590">
        <f t="shared" si="347"/>
        <v>1.3295999999999999</v>
      </c>
      <c r="R350" s="590">
        <f t="shared" si="347"/>
        <v>1.3376999999999999</v>
      </c>
      <c r="S350" s="590">
        <f t="shared" si="347"/>
        <v>1.3204</v>
      </c>
      <c r="T350" s="590">
        <f t="shared" si="347"/>
        <v>1.3198000000000001</v>
      </c>
      <c r="U350" s="589">
        <f t="shared" si="347"/>
        <v>1.3268</v>
      </c>
      <c r="V350" s="590">
        <f t="shared" si="347"/>
        <v>1.3436999999999999</v>
      </c>
      <c r="W350" s="590">
        <f t="shared" si="347"/>
        <v>1.3858999999999999</v>
      </c>
      <c r="X350" s="590">
        <f t="shared" si="347"/>
        <v>1.3326</v>
      </c>
      <c r="Y350" s="590">
        <f t="shared" si="347"/>
        <v>1.3027</v>
      </c>
      <c r="Z350" s="589">
        <f>AVERAGE(V350:Y350)</f>
        <v>1.3412249999999999</v>
      </c>
      <c r="AA350" s="590">
        <f t="shared" si="347"/>
        <v>1.266</v>
      </c>
      <c r="AB350" s="590">
        <f t="shared" si="347"/>
        <v>1.2287999999999999</v>
      </c>
      <c r="AC350" s="590">
        <f t="shared" si="347"/>
        <v>1.24</v>
      </c>
      <c r="AD350" s="590">
        <f t="shared" si="347"/>
        <v>1.24</v>
      </c>
      <c r="AE350" s="589">
        <f>AVERAGE(AA350:AD350)</f>
        <v>1.2437</v>
      </c>
      <c r="AF350" s="589">
        <f t="shared" ref="AF350:AL350" si="348">AF23</f>
        <v>1.22</v>
      </c>
      <c r="AG350" s="589">
        <f t="shared" si="348"/>
        <v>1.22</v>
      </c>
      <c r="AH350" s="589">
        <f t="shared" si="348"/>
        <v>1.23</v>
      </c>
      <c r="AI350" s="589">
        <f t="shared" si="348"/>
        <v>1.23</v>
      </c>
      <c r="AJ350" s="589">
        <f t="shared" si="348"/>
        <v>1.23</v>
      </c>
      <c r="AK350" s="589">
        <f t="shared" si="348"/>
        <v>1.23</v>
      </c>
      <c r="AL350" s="589">
        <f t="shared" si="348"/>
        <v>1.23</v>
      </c>
      <c r="AM350" s="651"/>
      <c r="AN350" s="83"/>
      <c r="AO350" s="83"/>
      <c r="CA350" s="477"/>
      <c r="CB350" s="478"/>
    </row>
    <row r="351" spans="1:80">
      <c r="A351" s="83"/>
      <c r="B351" s="95"/>
      <c r="C351" s="96"/>
      <c r="D351" s="163"/>
      <c r="E351" s="162"/>
      <c r="F351" s="83"/>
      <c r="G351" s="95"/>
      <c r="H351" s="95"/>
      <c r="I351" s="95"/>
      <c r="J351" s="95"/>
      <c r="K351" s="95"/>
      <c r="L351" s="126"/>
      <c r="M351" s="126"/>
      <c r="N351" s="126"/>
      <c r="O351" s="126"/>
      <c r="P351" s="95"/>
      <c r="Q351" s="126"/>
      <c r="R351" s="126"/>
      <c r="S351" s="126"/>
      <c r="T351" s="126"/>
      <c r="U351" s="92"/>
      <c r="V351" s="126"/>
      <c r="W351" s="126"/>
      <c r="X351" s="126"/>
      <c r="Y351" s="126"/>
      <c r="Z351" s="83"/>
      <c r="AA351" s="126"/>
      <c r="AB351" s="140"/>
      <c r="AC351" s="140"/>
      <c r="AD351" s="140"/>
      <c r="AE351" s="83"/>
      <c r="AF351" s="83"/>
      <c r="AG351" s="83"/>
      <c r="AH351" s="83"/>
      <c r="AI351" s="83"/>
      <c r="AJ351" s="83"/>
      <c r="AK351" s="83"/>
      <c r="AL351" s="83"/>
      <c r="AM351" s="651"/>
      <c r="AN351" s="83"/>
      <c r="AO351" s="83"/>
      <c r="CA351" s="477"/>
      <c r="CB351" s="478"/>
    </row>
    <row r="352" spans="1:80">
      <c r="A352" s="83"/>
      <c r="B352" s="95"/>
      <c r="C352" s="96"/>
      <c r="D352" s="554" t="s">
        <v>267</v>
      </c>
      <c r="E352" s="653"/>
      <c r="F352" s="586"/>
      <c r="G352" s="605"/>
      <c r="H352" s="605"/>
      <c r="I352" s="605"/>
      <c r="J352" s="605"/>
      <c r="K352" s="605"/>
      <c r="L352" s="182"/>
      <c r="M352" s="182"/>
      <c r="N352" s="182"/>
      <c r="O352" s="182"/>
      <c r="P352" s="605"/>
      <c r="Q352" s="182"/>
      <c r="R352" s="182"/>
      <c r="S352" s="182"/>
      <c r="T352" s="182"/>
      <c r="U352" s="588"/>
      <c r="V352" s="182"/>
      <c r="W352" s="182"/>
      <c r="X352" s="182"/>
      <c r="Y352" s="182"/>
      <c r="Z352" s="586"/>
      <c r="AA352" s="182"/>
      <c r="AB352" s="725"/>
      <c r="AC352" s="725"/>
      <c r="AD352" s="725"/>
      <c r="AE352" s="586"/>
      <c r="AF352" s="586"/>
      <c r="AG352" s="586"/>
      <c r="AH352" s="586"/>
      <c r="AI352" s="586"/>
      <c r="AJ352" s="586"/>
      <c r="AK352" s="586"/>
      <c r="AL352" s="586"/>
      <c r="AM352" s="651"/>
      <c r="AN352" s="83"/>
      <c r="AO352" s="83"/>
      <c r="CA352" s="477"/>
      <c r="CB352" s="478"/>
    </row>
    <row r="353" spans="1:80">
      <c r="A353" s="83"/>
      <c r="B353" s="95" t="s">
        <v>221</v>
      </c>
      <c r="C353" s="96"/>
      <c r="D353" s="163" t="s">
        <v>626</v>
      </c>
      <c r="E353" s="162"/>
      <c r="F353" s="83"/>
      <c r="G353" s="647">
        <f t="shared" ref="G353:X353" si="349">G30</f>
        <v>0.96499999999999997</v>
      </c>
      <c r="H353" s="647">
        <f t="shared" si="349"/>
        <v>0.96499999999999997</v>
      </c>
      <c r="I353" s="647">
        <f t="shared" si="349"/>
        <v>0.96499999999999997</v>
      </c>
      <c r="J353" s="647">
        <f t="shared" si="349"/>
        <v>0.96499999999999997</v>
      </c>
      <c r="K353" s="647">
        <f>K30</f>
        <v>0.96499999999999997</v>
      </c>
      <c r="L353" s="680">
        <f t="shared" si="349"/>
        <v>0.96499999999999997</v>
      </c>
      <c r="M353" s="680">
        <f t="shared" si="349"/>
        <v>0.96499999999999997</v>
      </c>
      <c r="N353" s="680">
        <f t="shared" si="349"/>
        <v>0.96499999999999997</v>
      </c>
      <c r="O353" s="680">
        <f t="shared" si="349"/>
        <v>0.96499999999999997</v>
      </c>
      <c r="P353" s="647">
        <f t="shared" si="349"/>
        <v>0.96499999999999997</v>
      </c>
      <c r="Q353" s="680">
        <f t="shared" si="349"/>
        <v>0.96499999999999997</v>
      </c>
      <c r="R353" s="680">
        <f t="shared" si="349"/>
        <v>0.96499999999999997</v>
      </c>
      <c r="S353" s="680">
        <f t="shared" si="349"/>
        <v>0.96499999999999997</v>
      </c>
      <c r="T353" s="680">
        <f t="shared" si="349"/>
        <v>0.96499999999999997</v>
      </c>
      <c r="U353" s="647">
        <f t="shared" si="349"/>
        <v>0.96499999999999997</v>
      </c>
      <c r="V353" s="680">
        <f t="shared" si="349"/>
        <v>0.96499999999999997</v>
      </c>
      <c r="W353" s="680">
        <f t="shared" si="349"/>
        <v>0.96499999999999997</v>
      </c>
      <c r="X353" s="680">
        <f t="shared" si="349"/>
        <v>0.96499999999999997</v>
      </c>
      <c r="Y353" s="680">
        <f t="shared" ref="Y353:AE353" si="350">Y30</f>
        <v>0.96499999999999997</v>
      </c>
      <c r="Z353" s="647">
        <f t="shared" si="350"/>
        <v>0.96499999999999997</v>
      </c>
      <c r="AA353" s="680">
        <f t="shared" si="350"/>
        <v>0.96499999999999997</v>
      </c>
      <c r="AB353" s="680">
        <f t="shared" si="350"/>
        <v>0.96499999999999997</v>
      </c>
      <c r="AC353" s="680">
        <f t="shared" si="350"/>
        <v>0.96499999999999997</v>
      </c>
      <c r="AD353" s="680">
        <f t="shared" si="350"/>
        <v>0.96499999999999997</v>
      </c>
      <c r="AE353" s="647">
        <f t="shared" si="350"/>
        <v>0.96499999999999997</v>
      </c>
      <c r="AF353" s="647">
        <f t="shared" ref="AF353:AL353" si="351">AF30</f>
        <v>0.96499999999999997</v>
      </c>
      <c r="AG353" s="647">
        <f t="shared" si="351"/>
        <v>0.96499999999999997</v>
      </c>
      <c r="AH353" s="647">
        <f t="shared" si="351"/>
        <v>0.96499999999999997</v>
      </c>
      <c r="AI353" s="647">
        <f t="shared" si="351"/>
        <v>0.96499999999999997</v>
      </c>
      <c r="AJ353" s="647">
        <f t="shared" si="351"/>
        <v>0.96499999999999997</v>
      </c>
      <c r="AK353" s="647">
        <f t="shared" si="351"/>
        <v>0.96499999999999997</v>
      </c>
      <c r="AL353" s="647">
        <f t="shared" si="351"/>
        <v>0.96499999999999997</v>
      </c>
      <c r="AM353" s="651"/>
      <c r="AN353" s="83"/>
      <c r="AO353" s="83"/>
      <c r="CA353" s="477"/>
      <c r="CB353" s="478"/>
    </row>
    <row r="354" spans="1:80">
      <c r="A354" s="83"/>
      <c r="B354" s="95" t="s">
        <v>628</v>
      </c>
      <c r="C354" s="96"/>
      <c r="D354" s="163" t="s">
        <v>627</v>
      </c>
      <c r="E354" s="162"/>
      <c r="F354" s="83"/>
      <c r="G354" s="95">
        <f t="shared" ref="G354:X354" si="352">G343*2204.6*G353</f>
        <v>167642.19319999998</v>
      </c>
      <c r="H354" s="95">
        <f t="shared" si="352"/>
        <v>147644.2666</v>
      </c>
      <c r="I354" s="95">
        <f t="shared" si="352"/>
        <v>142325.66910000003</v>
      </c>
      <c r="J354" s="95">
        <f t="shared" si="352"/>
        <v>148069.75439999998</v>
      </c>
      <c r="K354" s="95">
        <f t="shared" si="352"/>
        <v>157217.7421</v>
      </c>
      <c r="L354" s="126">
        <f t="shared" si="352"/>
        <v>36804.6947</v>
      </c>
      <c r="M354" s="126">
        <f t="shared" si="352"/>
        <v>29571.402099999999</v>
      </c>
      <c r="N354" s="126">
        <f t="shared" si="352"/>
        <v>29571.402099999999</v>
      </c>
      <c r="O354" s="126">
        <f t="shared" si="352"/>
        <v>33613.536200000002</v>
      </c>
      <c r="P354" s="95">
        <f t="shared" si="352"/>
        <v>127859.08389999998</v>
      </c>
      <c r="Q354" s="126">
        <f t="shared" si="352"/>
        <v>39144.877599999993</v>
      </c>
      <c r="R354" s="126">
        <f t="shared" si="352"/>
        <v>30847.865499999996</v>
      </c>
      <c r="S354" s="126">
        <f t="shared" si="352"/>
        <v>30635.121599999999</v>
      </c>
      <c r="T354" s="126">
        <f t="shared" si="352"/>
        <v>10637.195</v>
      </c>
      <c r="U354" s="95">
        <f t="shared" si="352"/>
        <v>111265.05969999998</v>
      </c>
      <c r="V354" s="126">
        <f>V343*2204.6*V353</f>
        <v>43187.011699999995</v>
      </c>
      <c r="W354" s="126">
        <f t="shared" si="352"/>
        <v>19997.926600000003</v>
      </c>
      <c r="X354" s="126">
        <f t="shared" si="352"/>
        <v>29784.145999999997</v>
      </c>
      <c r="Y354" s="126">
        <f t="shared" ref="Y354:AE354" si="353">Y343*2204.6*Y353</f>
        <v>29571.402099999999</v>
      </c>
      <c r="Z354" s="95">
        <f t="shared" si="353"/>
        <v>122540.48639999999</v>
      </c>
      <c r="AA354" s="126">
        <f>AA343*2204.6*AA353</f>
        <v>23189.0851</v>
      </c>
      <c r="AB354" s="126">
        <f t="shared" si="353"/>
        <v>23827.316799999997</v>
      </c>
      <c r="AC354" s="126">
        <f t="shared" si="353"/>
        <v>26550.438719999998</v>
      </c>
      <c r="AD354" s="126">
        <f t="shared" si="353"/>
        <v>28124.743579999998</v>
      </c>
      <c r="AE354" s="95">
        <f t="shared" si="353"/>
        <v>101691.58419999998</v>
      </c>
      <c r="AF354" s="95">
        <f t="shared" ref="AF354:AL354" si="354">AF343*2204.6*AF353</f>
        <v>102117.07199999999</v>
      </c>
      <c r="AG354" s="95">
        <f t="shared" si="354"/>
        <v>102117.07199999999</v>
      </c>
      <c r="AH354" s="95">
        <f t="shared" si="354"/>
        <v>102117.07199999999</v>
      </c>
      <c r="AI354" s="95">
        <f t="shared" si="354"/>
        <v>102117.07199999999</v>
      </c>
      <c r="AJ354" s="95">
        <f t="shared" si="354"/>
        <v>102117.07199999999</v>
      </c>
      <c r="AK354" s="95">
        <f t="shared" si="354"/>
        <v>102117.07199999999</v>
      </c>
      <c r="AL354" s="95">
        <f t="shared" si="354"/>
        <v>102117.07199999999</v>
      </c>
      <c r="AM354" s="651"/>
      <c r="AN354" s="83"/>
      <c r="AO354" s="83"/>
      <c r="CA354" s="477"/>
      <c r="CB354" s="478"/>
    </row>
    <row r="355" spans="1:80">
      <c r="A355" s="83"/>
      <c r="B355" s="95" t="s">
        <v>632</v>
      </c>
      <c r="C355" s="96"/>
      <c r="D355" s="163" t="s">
        <v>629</v>
      </c>
      <c r="E355" s="162"/>
      <c r="F355" s="83"/>
      <c r="G355" s="670">
        <f t="shared" ref="G355:X355" si="355">G31</f>
        <v>0.18719999999999998</v>
      </c>
      <c r="H355" s="670">
        <f t="shared" si="355"/>
        <v>0.23600000000000002</v>
      </c>
      <c r="I355" s="670">
        <f t="shared" si="355"/>
        <v>0.27440000000000003</v>
      </c>
      <c r="J355" s="670">
        <f t="shared" si="355"/>
        <v>0.24960000000000002</v>
      </c>
      <c r="K355" s="670">
        <f t="shared" si="355"/>
        <v>0.23719999999999999</v>
      </c>
      <c r="L355" s="672">
        <f t="shared" si="355"/>
        <v>0.2109</v>
      </c>
      <c r="M355" s="672">
        <f t="shared" si="355"/>
        <v>0.2109</v>
      </c>
      <c r="N355" s="672">
        <f t="shared" si="355"/>
        <v>0.2109</v>
      </c>
      <c r="O355" s="672">
        <f t="shared" si="355"/>
        <v>0.2109</v>
      </c>
      <c r="P355" s="670">
        <f t="shared" si="355"/>
        <v>0.2109</v>
      </c>
      <c r="Q355" s="672">
        <f t="shared" si="355"/>
        <v>0.2072</v>
      </c>
      <c r="R355" s="672">
        <f t="shared" si="355"/>
        <v>0.2072</v>
      </c>
      <c r="S355" s="672">
        <f t="shared" si="355"/>
        <v>0.2072</v>
      </c>
      <c r="T355" s="672">
        <f t="shared" si="355"/>
        <v>0.2072</v>
      </c>
      <c r="U355" s="670">
        <f t="shared" si="355"/>
        <v>0.2072</v>
      </c>
      <c r="V355" s="672">
        <f t="shared" si="355"/>
        <v>0.16700000000000001</v>
      </c>
      <c r="W355" s="672">
        <f t="shared" si="355"/>
        <v>0.16700000000000001</v>
      </c>
      <c r="X355" s="672">
        <f t="shared" si="355"/>
        <v>0.16700000000000001</v>
      </c>
      <c r="Y355" s="672">
        <f t="shared" ref="Y355:AE355" si="356">Y31</f>
        <v>0.16700000000000001</v>
      </c>
      <c r="Z355" s="670">
        <f t="shared" si="356"/>
        <v>0.16700000000000001</v>
      </c>
      <c r="AA355" s="672">
        <f t="shared" si="356"/>
        <v>0.16700000000000001</v>
      </c>
      <c r="AB355" s="672">
        <f t="shared" si="356"/>
        <v>0.16700000000000001</v>
      </c>
      <c r="AC355" s="672">
        <f t="shared" si="356"/>
        <v>0.16700000000000001</v>
      </c>
      <c r="AD355" s="672">
        <f t="shared" si="356"/>
        <v>0.16700000000000001</v>
      </c>
      <c r="AE355" s="670">
        <f t="shared" si="356"/>
        <v>0.16700000000000001</v>
      </c>
      <c r="AF355" s="670">
        <f t="shared" ref="AF355:AL355" si="357">AF31</f>
        <v>0.16700000000000001</v>
      </c>
      <c r="AG355" s="670">
        <f t="shared" si="357"/>
        <v>0.16700000000000001</v>
      </c>
      <c r="AH355" s="670">
        <f t="shared" si="357"/>
        <v>0.16700000000000001</v>
      </c>
      <c r="AI355" s="670">
        <f t="shared" si="357"/>
        <v>0.16700000000000001</v>
      </c>
      <c r="AJ355" s="670">
        <f t="shared" si="357"/>
        <v>0.16700000000000001</v>
      </c>
      <c r="AK355" s="670">
        <f t="shared" si="357"/>
        <v>0.16700000000000001</v>
      </c>
      <c r="AL355" s="670">
        <f t="shared" si="357"/>
        <v>0.16700000000000001</v>
      </c>
      <c r="AM355" s="651"/>
      <c r="AN355" s="83"/>
      <c r="AO355" s="83"/>
      <c r="CA355" s="477"/>
      <c r="CB355" s="478"/>
    </row>
    <row r="356" spans="1:80">
      <c r="A356" s="83"/>
      <c r="B356" s="95" t="s">
        <v>631</v>
      </c>
      <c r="C356" s="96"/>
      <c r="D356" s="163" t="s">
        <v>630</v>
      </c>
      <c r="E356" s="162"/>
      <c r="F356" s="83"/>
      <c r="G356" s="589">
        <f>G355*1000*G354/1000000</f>
        <v>31.382618567039994</v>
      </c>
      <c r="H356" s="589">
        <f t="shared" ref="H356:X356" si="358">H355*1000*H354/1000000</f>
        <v>34.844046917600004</v>
      </c>
      <c r="I356" s="589">
        <f t="shared" si="358"/>
        <v>39.05416360104001</v>
      </c>
      <c r="J356" s="589">
        <f t="shared" si="358"/>
        <v>36.958210698239995</v>
      </c>
      <c r="K356" s="589">
        <f t="shared" si="358"/>
        <v>37.292048426119997</v>
      </c>
      <c r="L356" s="590">
        <f t="shared" si="358"/>
        <v>7.7621101122300002</v>
      </c>
      <c r="M356" s="590">
        <f t="shared" si="358"/>
        <v>6.2366087028899999</v>
      </c>
      <c r="N356" s="590">
        <f t="shared" si="358"/>
        <v>6.2366087028899999</v>
      </c>
      <c r="O356" s="590">
        <f t="shared" si="358"/>
        <v>7.0890947845800003</v>
      </c>
      <c r="P356" s="589">
        <f t="shared" si="358"/>
        <v>26.965480794509997</v>
      </c>
      <c r="Q356" s="590">
        <f t="shared" si="358"/>
        <v>8.1108186387199979</v>
      </c>
      <c r="R356" s="590">
        <f t="shared" si="358"/>
        <v>6.3916777315999989</v>
      </c>
      <c r="S356" s="590">
        <f t="shared" si="358"/>
        <v>6.3475971955199997</v>
      </c>
      <c r="T356" s="590">
        <f t="shared" si="358"/>
        <v>2.2040268040000002</v>
      </c>
      <c r="U356" s="589">
        <f t="shared" si="358"/>
        <v>23.054120369839996</v>
      </c>
      <c r="V356" s="590">
        <f>V355*1000*V354/1000000</f>
        <v>7.2122309538999989</v>
      </c>
      <c r="W356" s="590">
        <f>W355*1000*W354/1000000</f>
        <v>3.3396537422000003</v>
      </c>
      <c r="X356" s="590">
        <f t="shared" si="358"/>
        <v>4.9739523819999993</v>
      </c>
      <c r="Y356" s="590">
        <f t="shared" ref="Y356:AE356" si="359">Y355*1000*Y354/1000000</f>
        <v>4.9384241507000004</v>
      </c>
      <c r="Z356" s="589">
        <f t="shared" si="359"/>
        <v>20.464261228799998</v>
      </c>
      <c r="AA356" s="590">
        <f>AA355*1000*AA354/1000000</f>
        <v>3.8725772116999999</v>
      </c>
      <c r="AB356" s="590">
        <f t="shared" si="359"/>
        <v>3.9791619055999998</v>
      </c>
      <c r="AC356" s="590">
        <f t="shared" si="359"/>
        <v>4.4339232662399999</v>
      </c>
      <c r="AD356" s="590">
        <f t="shared" si="359"/>
        <v>4.6968321778600002</v>
      </c>
      <c r="AE356" s="589">
        <f t="shared" si="359"/>
        <v>16.982494561399996</v>
      </c>
      <c r="AF356" s="589">
        <f t="shared" ref="AF356:AL356" si="360">AF355*1000*AF354/1000000</f>
        <v>17.053551023999997</v>
      </c>
      <c r="AG356" s="589">
        <f t="shared" si="360"/>
        <v>17.053551023999997</v>
      </c>
      <c r="AH356" s="589">
        <f t="shared" si="360"/>
        <v>17.053551023999997</v>
      </c>
      <c r="AI356" s="589">
        <f t="shared" si="360"/>
        <v>17.053551023999997</v>
      </c>
      <c r="AJ356" s="589">
        <f t="shared" si="360"/>
        <v>17.053551023999997</v>
      </c>
      <c r="AK356" s="589">
        <f t="shared" si="360"/>
        <v>17.053551023999997</v>
      </c>
      <c r="AL356" s="589">
        <f t="shared" si="360"/>
        <v>17.053551023999997</v>
      </c>
      <c r="AM356" s="651"/>
      <c r="AN356" s="83"/>
      <c r="AO356" s="83"/>
      <c r="CA356" s="477"/>
      <c r="CB356" s="478"/>
    </row>
    <row r="357" spans="1:80">
      <c r="A357" s="83"/>
      <c r="B357" s="95" t="s">
        <v>631</v>
      </c>
      <c r="C357" s="96"/>
      <c r="D357" s="585" t="s">
        <v>267</v>
      </c>
      <c r="E357" s="585"/>
      <c r="F357" s="585"/>
      <c r="G357" s="676">
        <f>(G354*G348/1000)-G356</f>
        <v>525.18946285695984</v>
      </c>
      <c r="H357" s="130">
        <f t="shared" ref="H357:X357" si="361">(H354*H348/1000)-H356</f>
        <v>424.32962220839994</v>
      </c>
      <c r="I357" s="130">
        <f t="shared" si="361"/>
        <v>315.33675245796013</v>
      </c>
      <c r="J357" s="130">
        <f t="shared" si="361"/>
        <v>290.27594652575993</v>
      </c>
      <c r="K357" s="130">
        <f t="shared" si="361"/>
        <v>402.91762945387995</v>
      </c>
      <c r="L357" s="97">
        <f t="shared" si="361"/>
        <v>108.54072513977</v>
      </c>
      <c r="M357" s="97">
        <f t="shared" si="361"/>
        <v>86.026165849110001</v>
      </c>
      <c r="N357" s="97">
        <f t="shared" si="361"/>
        <v>75.676175114110009</v>
      </c>
      <c r="O357" s="97">
        <f t="shared" si="361"/>
        <v>87.028806575420006</v>
      </c>
      <c r="P357" s="130">
        <f t="shared" si="361"/>
        <v>351.49740754948994</v>
      </c>
      <c r="Q357" s="97">
        <f t="shared" si="361"/>
        <v>102.27773619327999</v>
      </c>
      <c r="R357" s="97">
        <f t="shared" si="361"/>
        <v>79.056909703399995</v>
      </c>
      <c r="S357" s="97">
        <f t="shared" si="361"/>
        <v>74.22277261248</v>
      </c>
      <c r="T357" s="97">
        <f t="shared" si="361"/>
        <v>26.197283845999998</v>
      </c>
      <c r="U357" s="130">
        <f>(U354*U348/1000)-U356</f>
        <v>279.58684201415997</v>
      </c>
      <c r="V357" s="97">
        <f>(V354*V348/1000)-V356</f>
        <v>103.20597535469375</v>
      </c>
      <c r="W357" s="97">
        <f t="shared" si="361"/>
        <v>45.166348306187082</v>
      </c>
      <c r="X357" s="97">
        <f t="shared" si="361"/>
        <v>83.00101829981817</v>
      </c>
      <c r="Y357" s="97">
        <f t="shared" ref="Y357:AE357" si="362">(Y354*Y348/1000)-Y356</f>
        <v>91.188794841487507</v>
      </c>
      <c r="Z357" s="130">
        <f t="shared" si="362"/>
        <v>322.24259494916913</v>
      </c>
      <c r="AA357" s="97">
        <f>(AA354*AA348/1000)-AA356</f>
        <v>85.572990181157181</v>
      </c>
      <c r="AB357" s="97">
        <f t="shared" si="362"/>
        <v>100.70686461052905</v>
      </c>
      <c r="AC357" s="97">
        <f t="shared" si="362"/>
        <v>106.36351673376001</v>
      </c>
      <c r="AD357" s="97">
        <f t="shared" si="362"/>
        <v>112.67032782214</v>
      </c>
      <c r="AE357" s="130">
        <f t="shared" si="362"/>
        <v>404.95984046250555</v>
      </c>
      <c r="AF357" s="130">
        <f t="shared" ref="AF357:AL357" si="363">(AF354*AF348/1000)-AF356</f>
        <v>423.56956817745186</v>
      </c>
      <c r="AG357" s="130">
        <f t="shared" si="363"/>
        <v>423.56956817745186</v>
      </c>
      <c r="AH357" s="130">
        <f t="shared" si="363"/>
        <v>423.56956817745186</v>
      </c>
      <c r="AI357" s="130">
        <f t="shared" si="363"/>
        <v>378.02501457599999</v>
      </c>
      <c r="AJ357" s="130">
        <f t="shared" si="363"/>
        <v>378.02501457599999</v>
      </c>
      <c r="AK357" s="130">
        <f t="shared" si="363"/>
        <v>378.02501457599999</v>
      </c>
      <c r="AL357" s="130">
        <f t="shared" si="363"/>
        <v>378.02501457599999</v>
      </c>
      <c r="AM357" s="651"/>
      <c r="AN357" s="83"/>
      <c r="AO357" s="83"/>
      <c r="CA357" s="477"/>
      <c r="CB357" s="478"/>
    </row>
    <row r="358" spans="1:80">
      <c r="A358" s="83"/>
      <c r="B358" s="95" t="s">
        <v>633</v>
      </c>
      <c r="C358" s="96"/>
      <c r="D358" s="186" t="s">
        <v>267</v>
      </c>
      <c r="E358" s="162"/>
      <c r="F358" s="83"/>
      <c r="G358" s="675">
        <f>G357*G350</f>
        <v>540.94514674266861</v>
      </c>
      <c r="H358" s="184">
        <f t="shared" ref="H358:X358" si="364">H357*H350</f>
        <v>468.7145006913986</v>
      </c>
      <c r="I358" s="184">
        <f t="shared" si="364"/>
        <v>403.31570639373098</v>
      </c>
      <c r="J358" s="184">
        <f t="shared" si="364"/>
        <v>384.55757395732678</v>
      </c>
      <c r="K358" s="184">
        <f t="shared" si="364"/>
        <v>523.067666557027</v>
      </c>
      <c r="L358" s="106">
        <f t="shared" si="364"/>
        <v>137.28230915678108</v>
      </c>
      <c r="M358" s="106">
        <f t="shared" si="364"/>
        <v>111.04257487803119</v>
      </c>
      <c r="N358" s="106">
        <f t="shared" si="364"/>
        <v>98.893625639118952</v>
      </c>
      <c r="O358" s="106">
        <f t="shared" si="364"/>
        <v>115.03467653139018</v>
      </c>
      <c r="P358" s="184">
        <f t="shared" si="364"/>
        <v>455.57578992489391</v>
      </c>
      <c r="Q358" s="106">
        <f t="shared" si="364"/>
        <v>135.98847804258506</v>
      </c>
      <c r="R358" s="106">
        <f t="shared" si="364"/>
        <v>105.75442811023817</v>
      </c>
      <c r="S358" s="106">
        <f t="shared" si="364"/>
        <v>98.003748957518596</v>
      </c>
      <c r="T358" s="106">
        <f t="shared" si="364"/>
        <v>34.5751752199508</v>
      </c>
      <c r="U358" s="184">
        <f t="shared" si="364"/>
        <v>370.95582198438746</v>
      </c>
      <c r="V358" s="106">
        <f t="shared" si="364"/>
        <v>138.67786908410199</v>
      </c>
      <c r="W358" s="106">
        <f t="shared" si="364"/>
        <v>62.59604211754467</v>
      </c>
      <c r="X358" s="106">
        <f t="shared" si="364"/>
        <v>110.6071569863377</v>
      </c>
      <c r="Y358" s="106">
        <f t="shared" ref="Y358:AE358" si="365">Y357*Y350</f>
        <v>118.79164304000577</v>
      </c>
      <c r="Z358" s="184">
        <f t="shared" si="365"/>
        <v>432.19982441069931</v>
      </c>
      <c r="AA358" s="106">
        <f t="shared" si="365"/>
        <v>108.33540556934499</v>
      </c>
      <c r="AB358" s="106">
        <f t="shared" si="365"/>
        <v>123.74859523341809</v>
      </c>
      <c r="AC358" s="106">
        <f t="shared" si="365"/>
        <v>131.89076074986241</v>
      </c>
      <c r="AD358" s="106">
        <f t="shared" si="365"/>
        <v>139.7112064994536</v>
      </c>
      <c r="AE358" s="184">
        <f t="shared" si="365"/>
        <v>503.64855358321819</v>
      </c>
      <c r="AF358" s="184">
        <f t="shared" ref="AF358:AL358" si="366">AF357*AF350</f>
        <v>516.75487317649129</v>
      </c>
      <c r="AG358" s="184">
        <f t="shared" si="366"/>
        <v>516.75487317649129</v>
      </c>
      <c r="AH358" s="184">
        <f t="shared" si="366"/>
        <v>520.99056885826576</v>
      </c>
      <c r="AI358" s="184">
        <f t="shared" si="366"/>
        <v>464.97076792847997</v>
      </c>
      <c r="AJ358" s="184">
        <f t="shared" si="366"/>
        <v>464.97076792847997</v>
      </c>
      <c r="AK358" s="184">
        <f t="shared" si="366"/>
        <v>464.97076792847997</v>
      </c>
      <c r="AL358" s="184">
        <f t="shared" si="366"/>
        <v>464.97076792847997</v>
      </c>
      <c r="AM358" s="651"/>
      <c r="AN358" s="83"/>
      <c r="AO358" s="83"/>
      <c r="CA358" s="477"/>
      <c r="CB358" s="478"/>
    </row>
    <row r="359" spans="1:80">
      <c r="A359" s="83"/>
      <c r="B359" s="95"/>
      <c r="C359" s="96"/>
      <c r="D359" s="162"/>
      <c r="E359" s="162"/>
      <c r="F359" s="83"/>
      <c r="G359" s="95"/>
      <c r="H359" s="95"/>
      <c r="I359" s="95"/>
      <c r="J359" s="95"/>
      <c r="K359" s="95"/>
      <c r="L359" s="126"/>
      <c r="M359" s="126"/>
      <c r="N359" s="126"/>
      <c r="O359" s="126"/>
      <c r="P359" s="95"/>
      <c r="Q359" s="126"/>
      <c r="R359" s="126"/>
      <c r="S359" s="126"/>
      <c r="T359" s="126"/>
      <c r="U359" s="92"/>
      <c r="V359" s="126"/>
      <c r="W359" s="126"/>
      <c r="X359" s="126"/>
      <c r="Y359" s="126"/>
      <c r="Z359" s="83"/>
      <c r="AA359" s="140"/>
      <c r="AB359" s="140"/>
      <c r="AC359" s="140"/>
      <c r="AD359" s="140"/>
      <c r="AE359" s="83"/>
      <c r="AF359" s="83"/>
      <c r="AG359" s="83"/>
      <c r="AH359" s="83"/>
      <c r="AI359" s="83"/>
      <c r="AJ359" s="83"/>
      <c r="AK359" s="83"/>
      <c r="AL359" s="83"/>
      <c r="AM359" s="651"/>
      <c r="AN359" s="83"/>
      <c r="AO359" s="83"/>
      <c r="CA359" s="477"/>
      <c r="CB359" s="478"/>
    </row>
    <row r="360" spans="1:80">
      <c r="A360" s="83"/>
      <c r="B360" s="95"/>
      <c r="C360" s="96"/>
      <c r="D360" s="162"/>
      <c r="E360" s="162"/>
      <c r="F360" s="83"/>
      <c r="G360" s="95"/>
      <c r="H360" s="95"/>
      <c r="I360" s="95"/>
      <c r="J360" s="95"/>
      <c r="K360" s="95"/>
      <c r="L360" s="126"/>
      <c r="M360" s="126"/>
      <c r="N360" s="126"/>
      <c r="O360" s="126"/>
      <c r="P360" s="95"/>
      <c r="Q360" s="126"/>
      <c r="R360" s="126"/>
      <c r="S360" s="126"/>
      <c r="T360" s="126"/>
      <c r="U360" s="92"/>
      <c r="V360" s="126"/>
      <c r="W360" s="126"/>
      <c r="X360" s="126"/>
      <c r="Y360" s="126"/>
      <c r="Z360" s="83"/>
      <c r="AA360" s="140"/>
      <c r="AB360" s="140"/>
      <c r="AC360" s="140"/>
      <c r="AD360" s="140"/>
      <c r="AE360" s="83"/>
      <c r="AF360" s="83"/>
      <c r="AG360" s="83"/>
      <c r="AH360" s="83"/>
      <c r="AI360" s="83"/>
      <c r="AJ360" s="83"/>
      <c r="AK360" s="83"/>
      <c r="AL360" s="83"/>
      <c r="AM360" s="651"/>
      <c r="AN360" s="83"/>
      <c r="AO360" s="83"/>
      <c r="CA360" s="477"/>
      <c r="CB360" s="478"/>
    </row>
    <row r="361" spans="1:80">
      <c r="A361" s="83"/>
      <c r="B361" s="95"/>
      <c r="C361" s="96"/>
      <c r="D361" s="173" t="s">
        <v>691</v>
      </c>
      <c r="E361" s="653"/>
      <c r="F361" s="586"/>
      <c r="G361" s="605"/>
      <c r="H361" s="605"/>
      <c r="I361" s="605"/>
      <c r="J361" s="605"/>
      <c r="K361" s="605"/>
      <c r="L361" s="182"/>
      <c r="M361" s="182"/>
      <c r="N361" s="182"/>
      <c r="O361" s="182"/>
      <c r="P361" s="605"/>
      <c r="Q361" s="182"/>
      <c r="R361" s="182"/>
      <c r="S361" s="182"/>
      <c r="T361" s="182"/>
      <c r="U361" s="588"/>
      <c r="V361" s="182"/>
      <c r="W361" s="182"/>
      <c r="X361" s="182"/>
      <c r="Y361" s="182"/>
      <c r="Z361" s="586"/>
      <c r="AA361" s="725"/>
      <c r="AB361" s="725"/>
      <c r="AC361" s="725"/>
      <c r="AD361" s="725"/>
      <c r="AE361" s="586"/>
      <c r="AF361" s="586"/>
      <c r="AG361" s="586"/>
      <c r="AH361" s="586"/>
      <c r="AI361" s="586"/>
      <c r="AJ361" s="586"/>
      <c r="AK361" s="586"/>
      <c r="AL361" s="586"/>
      <c r="AM361" s="651"/>
      <c r="AN361" s="83"/>
      <c r="AO361" s="83"/>
      <c r="CA361" s="477"/>
      <c r="CB361" s="478"/>
    </row>
    <row r="362" spans="1:80">
      <c r="A362" s="83"/>
      <c r="B362" s="95" t="s">
        <v>631</v>
      </c>
      <c r="C362" s="96"/>
      <c r="D362" s="163" t="s">
        <v>689</v>
      </c>
      <c r="E362" s="162"/>
      <c r="F362" s="83"/>
      <c r="G362" s="95">
        <f t="shared" ref="G362:U362" si="367">((G348*2204.6)*G344)/1000</f>
        <v>30.009015199999993</v>
      </c>
      <c r="H362" s="95">
        <f t="shared" si="367"/>
        <v>30.167746399999999</v>
      </c>
      <c r="I362" s="95">
        <f t="shared" si="367"/>
        <v>25.800433800000004</v>
      </c>
      <c r="J362" s="95">
        <f t="shared" si="367"/>
        <v>17.5397976</v>
      </c>
      <c r="K362" s="95">
        <f t="shared" si="367"/>
        <v>21.605079999999997</v>
      </c>
      <c r="L362" s="126">
        <f t="shared" si="367"/>
        <v>5.5732288000000008</v>
      </c>
      <c r="M362" s="126">
        <f t="shared" si="367"/>
        <v>8.9418575999999987</v>
      </c>
      <c r="N362" s="126">
        <f t="shared" si="367"/>
        <v>5.4960678000000005</v>
      </c>
      <c r="O362" s="126">
        <f t="shared" si="367"/>
        <v>5.5555919999999999</v>
      </c>
      <c r="P362" s="95">
        <f t="shared" si="367"/>
        <v>25.449902399999999</v>
      </c>
      <c r="Q362" s="126">
        <f t="shared" si="367"/>
        <v>4.3518803999999989</v>
      </c>
      <c r="R362" s="126">
        <f t="shared" si="367"/>
        <v>3.0533710000000003</v>
      </c>
      <c r="S362" s="126">
        <f t="shared" si="367"/>
        <v>4.6384784000000003</v>
      </c>
      <c r="T362" s="126">
        <f t="shared" si="367"/>
        <v>1.7658845999999997</v>
      </c>
      <c r="U362" s="95">
        <f t="shared" si="367"/>
        <v>13.791977600000001</v>
      </c>
      <c r="V362" s="126">
        <f>((V348*2204.6)*V344)/1000</f>
        <v>2.8183007812500005</v>
      </c>
      <c r="W362" s="126">
        <f>((W348*2204.6)*W344)/1000</f>
        <v>4.2778967741935467</v>
      </c>
      <c r="X362" s="126">
        <f>((X348*2204.6)*X344)/1000</f>
        <v>2.6047363636363636</v>
      </c>
      <c r="Y362" s="126">
        <f t="shared" ref="Y362:AE362" si="368">((Y348*2204.6)*Y344)/1000</f>
        <v>1.4332906250000004</v>
      </c>
      <c r="Z362" s="95">
        <f t="shared" si="368"/>
        <v>11.714576618058098</v>
      </c>
      <c r="AA362" s="126">
        <f>((AA348*2204.6)*AA344)/1000</f>
        <v>4.2518214285714304</v>
      </c>
      <c r="AB362" s="126">
        <f t="shared" si="368"/>
        <v>2.9057927419354845</v>
      </c>
      <c r="AC362" s="126">
        <f t="shared" si="368"/>
        <v>4.3056000000000001</v>
      </c>
      <c r="AD362" s="126">
        <f t="shared" si="368"/>
        <v>4.5608999999999993</v>
      </c>
      <c r="AE362" s="95">
        <f t="shared" si="368"/>
        <v>16.133734979478689</v>
      </c>
      <c r="AF362" s="95">
        <f t="shared" ref="AF362:AL362" si="369">((AF348*2204.6)*AF344)/1000</f>
        <v>17.122660072595277</v>
      </c>
      <c r="AG362" s="95">
        <f t="shared" si="369"/>
        <v>17.122660072595277</v>
      </c>
      <c r="AH362" s="95">
        <f t="shared" si="369"/>
        <v>17.122660072595277</v>
      </c>
      <c r="AI362" s="95">
        <f t="shared" si="369"/>
        <v>15.352793999999999</v>
      </c>
      <c r="AJ362" s="95">
        <f t="shared" si="369"/>
        <v>15.352793999999999</v>
      </c>
      <c r="AK362" s="95">
        <f t="shared" si="369"/>
        <v>15.352793999999999</v>
      </c>
      <c r="AL362" s="95">
        <f t="shared" si="369"/>
        <v>15.352793999999999</v>
      </c>
      <c r="AM362" s="651"/>
      <c r="AN362" s="83"/>
      <c r="AO362" s="83"/>
      <c r="CA362" s="477"/>
      <c r="CB362" s="478"/>
    </row>
    <row r="363" spans="1:80">
      <c r="A363" s="83"/>
      <c r="B363" s="95" t="s">
        <v>633</v>
      </c>
      <c r="C363" s="96"/>
      <c r="D363" s="183" t="s">
        <v>689</v>
      </c>
      <c r="E363" s="659"/>
      <c r="F363" s="103"/>
      <c r="G363" s="673">
        <f t="shared" ref="G363:X363" si="370">G362*G350</f>
        <v>30.909285655999994</v>
      </c>
      <c r="H363" s="673">
        <f t="shared" si="370"/>
        <v>33.323292673440001</v>
      </c>
      <c r="I363" s="673">
        <f t="shared" si="370"/>
        <v>32.998754830199999</v>
      </c>
      <c r="J363" s="673">
        <f t="shared" si="370"/>
        <v>23.236723860479998</v>
      </c>
      <c r="K363" s="673">
        <f t="shared" si="370"/>
        <v>28.047714855999995</v>
      </c>
      <c r="L363" s="674">
        <f t="shared" si="370"/>
        <v>7.0490197862400006</v>
      </c>
      <c r="M363" s="674">
        <f t="shared" si="370"/>
        <v>11.542149790079998</v>
      </c>
      <c r="N363" s="674">
        <f t="shared" si="370"/>
        <v>7.1822614010400008</v>
      </c>
      <c r="O363" s="674">
        <f t="shared" si="370"/>
        <v>7.3433815056</v>
      </c>
      <c r="P363" s="673">
        <f t="shared" si="370"/>
        <v>32.985618500640001</v>
      </c>
      <c r="Q363" s="674">
        <f t="shared" si="370"/>
        <v>5.7862601798399984</v>
      </c>
      <c r="R363" s="674">
        <f t="shared" si="370"/>
        <v>4.0844943867000003</v>
      </c>
      <c r="S363" s="674">
        <f t="shared" si="370"/>
        <v>6.1246468793600002</v>
      </c>
      <c r="T363" s="674">
        <f t="shared" si="370"/>
        <v>2.3306144950799998</v>
      </c>
      <c r="U363" s="673">
        <f t="shared" si="370"/>
        <v>18.299195879680003</v>
      </c>
      <c r="V363" s="674">
        <f t="shared" si="370"/>
        <v>3.7869507597656256</v>
      </c>
      <c r="W363" s="674">
        <f>W362*W350</f>
        <v>5.928737139354836</v>
      </c>
      <c r="X363" s="674">
        <f t="shared" si="370"/>
        <v>3.4710716781818181</v>
      </c>
      <c r="Y363" s="674">
        <f t="shared" ref="Y363:AE363" si="371">Y362*Y350</f>
        <v>1.8671476971875005</v>
      </c>
      <c r="Z363" s="673">
        <f t="shared" si="371"/>
        <v>15.711883024554972</v>
      </c>
      <c r="AA363" s="674">
        <f>AA362*AA350</f>
        <v>5.3828059285714307</v>
      </c>
      <c r="AB363" s="674">
        <f t="shared" si="371"/>
        <v>3.5706381212903229</v>
      </c>
      <c r="AC363" s="674">
        <f t="shared" si="371"/>
        <v>5.3389439999999997</v>
      </c>
      <c r="AD363" s="674">
        <f t="shared" si="371"/>
        <v>5.6555159999999987</v>
      </c>
      <c r="AE363" s="673">
        <f t="shared" si="371"/>
        <v>20.065526193977647</v>
      </c>
      <c r="AF363" s="673">
        <f t="shared" ref="AF363:AL363" si="372">AF362*AF350</f>
        <v>20.889645288566239</v>
      </c>
      <c r="AG363" s="673">
        <f t="shared" si="372"/>
        <v>20.889645288566239</v>
      </c>
      <c r="AH363" s="673">
        <f t="shared" si="372"/>
        <v>21.060871889292191</v>
      </c>
      <c r="AI363" s="673">
        <f t="shared" si="372"/>
        <v>18.88393662</v>
      </c>
      <c r="AJ363" s="673">
        <f t="shared" si="372"/>
        <v>18.88393662</v>
      </c>
      <c r="AK363" s="673">
        <f t="shared" si="372"/>
        <v>18.88393662</v>
      </c>
      <c r="AL363" s="673">
        <f t="shared" si="372"/>
        <v>18.88393662</v>
      </c>
      <c r="AM363" s="651"/>
      <c r="AN363" s="83"/>
      <c r="AO363" s="83"/>
      <c r="CA363" s="477"/>
      <c r="CB363" s="478"/>
    </row>
    <row r="364" spans="1:80">
      <c r="A364" s="83"/>
      <c r="B364" s="95"/>
      <c r="C364" s="96"/>
      <c r="D364" s="162"/>
      <c r="E364" s="162"/>
      <c r="F364" s="83"/>
      <c r="G364" s="95"/>
      <c r="H364" s="95"/>
      <c r="I364" s="95"/>
      <c r="J364" s="95"/>
      <c r="K364" s="95"/>
      <c r="L364" s="126"/>
      <c r="M364" s="126"/>
      <c r="N364" s="126"/>
      <c r="O364" s="126"/>
      <c r="P364" s="95"/>
      <c r="Q364" s="126"/>
      <c r="R364" s="126"/>
      <c r="S364" s="126"/>
      <c r="T364" s="126"/>
      <c r="U364" s="95"/>
      <c r="V364" s="126"/>
      <c r="W364" s="126"/>
      <c r="X364" s="126"/>
      <c r="Y364" s="126"/>
      <c r="Z364" s="83"/>
      <c r="AA364" s="140"/>
      <c r="AB364" s="140"/>
      <c r="AC364" s="140"/>
      <c r="AD364" s="140"/>
      <c r="AE364" s="83"/>
      <c r="AF364" s="83"/>
      <c r="AG364" s="83"/>
      <c r="AH364" s="83"/>
      <c r="AI364" s="83"/>
      <c r="AJ364" s="83"/>
      <c r="AK364" s="83"/>
      <c r="AL364" s="83"/>
      <c r="AM364" s="651"/>
      <c r="AN364" s="83"/>
      <c r="AO364" s="83"/>
      <c r="CA364" s="477"/>
      <c r="CB364" s="478"/>
    </row>
    <row r="365" spans="1:80">
      <c r="A365" s="83"/>
      <c r="B365" s="95"/>
      <c r="C365" s="96"/>
      <c r="D365" s="162"/>
      <c r="E365" s="162"/>
      <c r="F365" s="83"/>
      <c r="G365" s="95"/>
      <c r="H365" s="95"/>
      <c r="I365" s="95"/>
      <c r="J365" s="95"/>
      <c r="K365" s="95"/>
      <c r="L365" s="126"/>
      <c r="M365" s="126"/>
      <c r="N365" s="126"/>
      <c r="O365" s="126"/>
      <c r="P365" s="95"/>
      <c r="Q365" s="126"/>
      <c r="R365" s="126"/>
      <c r="S365" s="126"/>
      <c r="T365" s="126"/>
      <c r="U365" s="95"/>
      <c r="V365" s="126"/>
      <c r="W365" s="126"/>
      <c r="X365" s="126"/>
      <c r="Y365" s="126"/>
      <c r="Z365" s="83"/>
      <c r="AA365" s="140"/>
      <c r="AB365" s="140"/>
      <c r="AC365" s="140"/>
      <c r="AD365" s="140"/>
      <c r="AE365" s="83"/>
      <c r="AF365" s="83"/>
      <c r="AG365" s="83"/>
      <c r="AH365" s="83"/>
      <c r="AI365" s="83"/>
      <c r="AJ365" s="83"/>
      <c r="AK365" s="83"/>
      <c r="AL365" s="83"/>
      <c r="AM365" s="651"/>
      <c r="AN365" s="83"/>
      <c r="AO365" s="83"/>
      <c r="CA365" s="477"/>
      <c r="CB365" s="478"/>
    </row>
    <row r="366" spans="1:80">
      <c r="A366" s="83"/>
      <c r="B366" s="95" t="s">
        <v>633</v>
      </c>
      <c r="C366" s="96" t="s">
        <v>225</v>
      </c>
      <c r="D366" s="164" t="s">
        <v>636</v>
      </c>
      <c r="E366" s="162"/>
      <c r="F366" s="83"/>
      <c r="G366" s="95">
        <f t="shared" ref="G366:AD366" si="373">G358+G363</f>
        <v>571.85443239866856</v>
      </c>
      <c r="H366" s="95">
        <f t="shared" si="373"/>
        <v>502.03779336483859</v>
      </c>
      <c r="I366" s="95">
        <f t="shared" si="373"/>
        <v>436.31446122393095</v>
      </c>
      <c r="J366" s="95">
        <f t="shared" si="373"/>
        <v>407.79429781780675</v>
      </c>
      <c r="K366" s="95">
        <f t="shared" si="373"/>
        <v>551.11538141302697</v>
      </c>
      <c r="L366" s="126">
        <f t="shared" si="373"/>
        <v>144.33132894302108</v>
      </c>
      <c r="M366" s="126">
        <f t="shared" si="373"/>
        <v>122.58472466811119</v>
      </c>
      <c r="N366" s="126">
        <f t="shared" si="373"/>
        <v>106.07588704015895</v>
      </c>
      <c r="O366" s="126">
        <f t="shared" si="373"/>
        <v>122.37805803699018</v>
      </c>
      <c r="P366" s="95">
        <f t="shared" si="373"/>
        <v>488.5614084255339</v>
      </c>
      <c r="Q366" s="126">
        <f t="shared" si="373"/>
        <v>141.77473822242504</v>
      </c>
      <c r="R366" s="126">
        <f t="shared" si="373"/>
        <v>109.83892249693817</v>
      </c>
      <c r="S366" s="126">
        <f t="shared" si="373"/>
        <v>104.1283958368786</v>
      </c>
      <c r="T366" s="126">
        <f t="shared" si="373"/>
        <v>36.905789715030799</v>
      </c>
      <c r="U366" s="95">
        <f t="shared" si="373"/>
        <v>389.25501786406744</v>
      </c>
      <c r="V366" s="126">
        <f>V358+V363</f>
        <v>142.46481984386762</v>
      </c>
      <c r="W366" s="126">
        <f>W358+W363</f>
        <v>68.524779256899507</v>
      </c>
      <c r="X366" s="126">
        <f t="shared" si="373"/>
        <v>114.07822866451951</v>
      </c>
      <c r="Y366" s="126">
        <f t="shared" si="373"/>
        <v>120.65879073719327</v>
      </c>
      <c r="Z366" s="95">
        <f>SUM(V366:Y366)</f>
        <v>445.72661850247994</v>
      </c>
      <c r="AA366" s="126">
        <f>AA358+AA363</f>
        <v>113.71821149791641</v>
      </c>
      <c r="AB366" s="126">
        <f t="shared" si="373"/>
        <v>127.31923335470842</v>
      </c>
      <c r="AC366" s="126">
        <f t="shared" si="373"/>
        <v>137.22970474986241</v>
      </c>
      <c r="AD366" s="126">
        <f t="shared" si="373"/>
        <v>145.3667224994536</v>
      </c>
      <c r="AE366" s="95">
        <f>SUM(AA366:AD366)</f>
        <v>523.63387210194082</v>
      </c>
      <c r="AF366" s="95">
        <f t="shared" ref="AF366:AL366" si="374">AF358+AF363</f>
        <v>537.64451846505756</v>
      </c>
      <c r="AG366" s="95">
        <f t="shared" si="374"/>
        <v>537.64451846505756</v>
      </c>
      <c r="AH366" s="95">
        <f t="shared" si="374"/>
        <v>542.05144074755799</v>
      </c>
      <c r="AI366" s="95">
        <f t="shared" si="374"/>
        <v>483.85470454847996</v>
      </c>
      <c r="AJ366" s="95">
        <f t="shared" si="374"/>
        <v>483.85470454847996</v>
      </c>
      <c r="AK366" s="95">
        <f t="shared" si="374"/>
        <v>483.85470454847996</v>
      </c>
      <c r="AL366" s="95">
        <f t="shared" si="374"/>
        <v>483.85470454847996</v>
      </c>
      <c r="AM366" s="651"/>
      <c r="AN366" s="83"/>
      <c r="AO366" s="83"/>
      <c r="CA366" s="477"/>
      <c r="CB366" s="478"/>
    </row>
    <row r="367" spans="1:80">
      <c r="A367" s="83"/>
      <c r="B367" s="95" t="s">
        <v>633</v>
      </c>
      <c r="C367" s="96" t="s">
        <v>225</v>
      </c>
      <c r="D367" s="164" t="s">
        <v>682</v>
      </c>
      <c r="E367" s="162"/>
      <c r="F367" s="83"/>
      <c r="G367" s="95">
        <f>G368-G366</f>
        <v>34.145567601331436</v>
      </c>
      <c r="H367" s="95">
        <f t="shared" ref="H367:AB367" si="375">H368-H366</f>
        <v>1.962206635161408</v>
      </c>
      <c r="I367" s="95">
        <f t="shared" si="375"/>
        <v>5.6855387760690519</v>
      </c>
      <c r="J367" s="95">
        <f t="shared" si="375"/>
        <v>-6.7942978178067506</v>
      </c>
      <c r="K367" s="95">
        <f t="shared" si="375"/>
        <v>-2.1153814130269666</v>
      </c>
      <c r="L367" s="126">
        <f t="shared" si="375"/>
        <v>-7.3313289430210773</v>
      </c>
      <c r="M367" s="126">
        <f t="shared" si="375"/>
        <v>-1.5847246681111926</v>
      </c>
      <c r="N367" s="126">
        <f t="shared" si="375"/>
        <v>2.9241129598410538</v>
      </c>
      <c r="O367" s="126">
        <f t="shared" si="375"/>
        <v>-1.3780580369901827</v>
      </c>
      <c r="P367" s="95">
        <f t="shared" si="375"/>
        <v>-0.56140842553389803</v>
      </c>
      <c r="Q367" s="126">
        <f t="shared" si="375"/>
        <v>1.225261777574957</v>
      </c>
      <c r="R367" s="126">
        <f t="shared" si="375"/>
        <v>-1.8389224969381672</v>
      </c>
      <c r="S367" s="126">
        <f t="shared" si="375"/>
        <v>1.871604163121404</v>
      </c>
      <c r="T367" s="126">
        <f t="shared" si="375"/>
        <v>9.4210284969200586E-2</v>
      </c>
      <c r="U367" s="95">
        <f t="shared" si="375"/>
        <v>4.7449821359325597</v>
      </c>
      <c r="V367" s="126">
        <f t="shared" si="375"/>
        <v>1.5351801561323839</v>
      </c>
      <c r="W367" s="126">
        <f t="shared" si="375"/>
        <v>-2.5247792568995067</v>
      </c>
      <c r="X367" s="126">
        <f t="shared" si="375"/>
        <v>-5.0782286645195143</v>
      </c>
      <c r="Y367" s="126">
        <f t="shared" si="375"/>
        <v>2.3412092628067285</v>
      </c>
      <c r="Z367" s="95">
        <f>SUM(V367:Y367)</f>
        <v>-3.7266185024799086</v>
      </c>
      <c r="AA367" s="126">
        <f t="shared" si="375"/>
        <v>-1.718211497916414</v>
      </c>
      <c r="AB367" s="126">
        <f t="shared" si="375"/>
        <v>-0.31923335470841607</v>
      </c>
      <c r="AC367" s="140"/>
      <c r="AD367" s="140"/>
      <c r="AE367" s="95">
        <f>SUM(AA367:AD367)</f>
        <v>-2.0374448526248301</v>
      </c>
      <c r="AF367" s="83"/>
      <c r="AG367" s="83"/>
      <c r="AH367" s="83"/>
      <c r="AI367" s="83"/>
      <c r="AJ367" s="83"/>
      <c r="AK367" s="83"/>
      <c r="AL367" s="83"/>
      <c r="AM367" s="651"/>
      <c r="AN367" s="83"/>
      <c r="AO367" s="83"/>
      <c r="CA367" s="477"/>
      <c r="CB367" s="478"/>
    </row>
    <row r="368" spans="1:80">
      <c r="A368" s="83"/>
      <c r="B368" s="95" t="s">
        <v>633</v>
      </c>
      <c r="C368" s="96" t="s">
        <v>225</v>
      </c>
      <c r="D368" s="594" t="s">
        <v>638</v>
      </c>
      <c r="E368" s="661"/>
      <c r="F368" s="595"/>
      <c r="G368" s="596">
        <v>606</v>
      </c>
      <c r="H368" s="596">
        <v>504</v>
      </c>
      <c r="I368" s="596">
        <v>442</v>
      </c>
      <c r="J368" s="596">
        <v>401</v>
      </c>
      <c r="K368" s="596">
        <v>549</v>
      </c>
      <c r="L368" s="597">
        <v>137</v>
      </c>
      <c r="M368" s="597">
        <v>121</v>
      </c>
      <c r="N368" s="597">
        <v>109</v>
      </c>
      <c r="O368" s="597">
        <v>121</v>
      </c>
      <c r="P368" s="596">
        <v>488</v>
      </c>
      <c r="Q368" s="597">
        <v>143</v>
      </c>
      <c r="R368" s="597">
        <v>108</v>
      </c>
      <c r="S368" s="597">
        <v>106</v>
      </c>
      <c r="T368" s="597">
        <v>37</v>
      </c>
      <c r="U368" s="596">
        <v>394</v>
      </c>
      <c r="V368" s="597">
        <v>144</v>
      </c>
      <c r="W368" s="597">
        <v>66</v>
      </c>
      <c r="X368" s="597">
        <v>109</v>
      </c>
      <c r="Y368" s="597">
        <v>123</v>
      </c>
      <c r="Z368" s="596">
        <v>442</v>
      </c>
      <c r="AA368" s="597">
        <v>112</v>
      </c>
      <c r="AB368" s="597">
        <v>127</v>
      </c>
      <c r="AC368" s="615">
        <f>AC366+AC367</f>
        <v>137.22970474986241</v>
      </c>
      <c r="AD368" s="615">
        <f>AD366+AD367</f>
        <v>145.3667224994536</v>
      </c>
      <c r="AE368" s="602">
        <f>SUM(AA368:AD368)</f>
        <v>521.59642724931609</v>
      </c>
      <c r="AF368" s="602">
        <f t="shared" ref="AF368:AL368" si="376">AF366+AF367</f>
        <v>537.64451846505756</v>
      </c>
      <c r="AG368" s="602">
        <f t="shared" si="376"/>
        <v>537.64451846505756</v>
      </c>
      <c r="AH368" s="602">
        <f t="shared" si="376"/>
        <v>542.05144074755799</v>
      </c>
      <c r="AI368" s="602">
        <f t="shared" si="376"/>
        <v>483.85470454847996</v>
      </c>
      <c r="AJ368" s="602">
        <f t="shared" si="376"/>
        <v>483.85470454847996</v>
      </c>
      <c r="AK368" s="602">
        <f t="shared" si="376"/>
        <v>483.85470454847996</v>
      </c>
      <c r="AL368" s="602">
        <f t="shared" si="376"/>
        <v>483.85470454847996</v>
      </c>
      <c r="AM368" s="651"/>
      <c r="AN368" s="83"/>
      <c r="AO368" s="83"/>
      <c r="CA368" s="477"/>
      <c r="CB368" s="478"/>
    </row>
    <row r="369" spans="1:80">
      <c r="A369" s="83"/>
      <c r="B369" s="95" t="s">
        <v>633</v>
      </c>
      <c r="C369" s="96" t="s">
        <v>225</v>
      </c>
      <c r="D369" s="599" t="s">
        <v>642</v>
      </c>
      <c r="E369" s="162"/>
      <c r="F369" s="83"/>
      <c r="G369" s="90">
        <v>-331</v>
      </c>
      <c r="H369" s="90">
        <v>-312</v>
      </c>
      <c r="I369" s="90">
        <v>-336</v>
      </c>
      <c r="J369" s="90">
        <v>-292</v>
      </c>
      <c r="K369" s="90">
        <v>-302</v>
      </c>
      <c r="L369" s="91">
        <v>-67</v>
      </c>
      <c r="M369" s="91">
        <v>-77</v>
      </c>
      <c r="N369" s="91">
        <v>-60</v>
      </c>
      <c r="O369" s="91">
        <v>-66</v>
      </c>
      <c r="P369" s="90">
        <v>-270</v>
      </c>
      <c r="Q369" s="91">
        <v>-99</v>
      </c>
      <c r="R369" s="91">
        <v>-66</v>
      </c>
      <c r="S369" s="91">
        <v>-69</v>
      </c>
      <c r="T369" s="91">
        <v>-48</v>
      </c>
      <c r="U369" s="90">
        <v>-282</v>
      </c>
      <c r="V369" s="91">
        <v>-76</v>
      </c>
      <c r="W369" s="91">
        <v>-47</v>
      </c>
      <c r="X369" s="91">
        <v>-72</v>
      </c>
      <c r="Y369" s="91">
        <v>-56</v>
      </c>
      <c r="Z369" s="90">
        <v>-251</v>
      </c>
      <c r="AA369" s="91">
        <v>-59</v>
      </c>
      <c r="AB369" s="91">
        <v>-62</v>
      </c>
      <c r="AC369" s="126">
        <f>(-AC389*AC383)/1000</f>
        <v>-50.304633637966973</v>
      </c>
      <c r="AD369" s="126">
        <f>(-AD389*AD383)/1000</f>
        <v>-53.287440440218219</v>
      </c>
      <c r="AE369" s="95">
        <f>SUM(AA369:AD369)</f>
        <v>-224.59207407818519</v>
      </c>
      <c r="AF369" s="95">
        <f>(-AF389*AF383)/1000</f>
        <v>-193.47936014602683</v>
      </c>
      <c r="AG369" s="95">
        <f t="shared" ref="AG369:AL369" si="377">(-AG389*AG383)/1000</f>
        <v>-193.47936014602683</v>
      </c>
      <c r="AH369" s="95">
        <f>(-AH389*AH383)/1000</f>
        <v>-193.47936014602683</v>
      </c>
      <c r="AI369" s="95">
        <f t="shared" si="377"/>
        <v>-193.47936014602683</v>
      </c>
      <c r="AJ369" s="95">
        <f t="shared" si="377"/>
        <v>-193.47936014602683</v>
      </c>
      <c r="AK369" s="95">
        <f t="shared" si="377"/>
        <v>-193.47936014602683</v>
      </c>
      <c r="AL369" s="95">
        <f t="shared" si="377"/>
        <v>-193.47936014602683</v>
      </c>
      <c r="AM369" s="651"/>
      <c r="AN369" s="83"/>
      <c r="AO369" s="83"/>
      <c r="CA369" s="477"/>
      <c r="CB369" s="478"/>
    </row>
    <row r="370" spans="1:80">
      <c r="A370" s="83"/>
      <c r="B370" s="95" t="s">
        <v>633</v>
      </c>
      <c r="C370" s="96" t="s">
        <v>225</v>
      </c>
      <c r="D370" s="599" t="s">
        <v>643</v>
      </c>
      <c r="E370" s="162"/>
      <c r="F370" s="83"/>
      <c r="G370" s="90">
        <v>-31</v>
      </c>
      <c r="H370" s="90">
        <v>-28</v>
      </c>
      <c r="I370" s="90">
        <v>-20</v>
      </c>
      <c r="J370" s="90">
        <v>-23</v>
      </c>
      <c r="K370" s="90">
        <v>-25</v>
      </c>
      <c r="L370" s="91">
        <v>-7</v>
      </c>
      <c r="M370" s="91">
        <v>-5</v>
      </c>
      <c r="N370" s="91">
        <v>-6</v>
      </c>
      <c r="O370" s="91">
        <v>-7</v>
      </c>
      <c r="P370" s="90">
        <v>-25</v>
      </c>
      <c r="Q370" s="91">
        <v>-7</v>
      </c>
      <c r="R370" s="91">
        <v>-6</v>
      </c>
      <c r="S370" s="91">
        <v>-7</v>
      </c>
      <c r="T370" s="91">
        <v>-3</v>
      </c>
      <c r="U370" s="90">
        <v>-23</v>
      </c>
      <c r="V370" s="91">
        <v>-8</v>
      </c>
      <c r="W370" s="91">
        <v>-3</v>
      </c>
      <c r="X370" s="91">
        <v>-6</v>
      </c>
      <c r="Y370" s="91">
        <v>-4</v>
      </c>
      <c r="Z370" s="90">
        <v>-21</v>
      </c>
      <c r="AA370" s="91">
        <v>-6</v>
      </c>
      <c r="AB370" s="91">
        <v>-6</v>
      </c>
      <c r="AC370" s="126">
        <f>(-AC390*AC385)/1000000</f>
        <v>-5.7051428571428584</v>
      </c>
      <c r="AD370" s="126">
        <f>(-AD390*AD385)/1000000</f>
        <v>-6.0434285714285707</v>
      </c>
      <c r="AE370" s="95">
        <f t="shared" ref="AE370:AE375" si="378">SUM(AA370:AD370)</f>
        <v>-23.748571428571431</v>
      </c>
      <c r="AF370" s="95">
        <f>(-AF390*AF385)/1000000</f>
        <v>-21.942857142857147</v>
      </c>
      <c r="AG370" s="95">
        <f t="shared" ref="AG370:AL370" si="379">(-AG390*AG385)/1000000</f>
        <v>-21.942857142857147</v>
      </c>
      <c r="AH370" s="95">
        <f t="shared" si="379"/>
        <v>-21.942857142857147</v>
      </c>
      <c r="AI370" s="95">
        <f t="shared" si="379"/>
        <v>-21.942857142857147</v>
      </c>
      <c r="AJ370" s="95">
        <f t="shared" si="379"/>
        <v>-21.942857142857147</v>
      </c>
      <c r="AK370" s="95">
        <f t="shared" si="379"/>
        <v>-21.942857142857147</v>
      </c>
      <c r="AL370" s="95">
        <f t="shared" si="379"/>
        <v>-21.942857142857147</v>
      </c>
      <c r="AM370" s="651"/>
      <c r="AN370" s="83"/>
      <c r="AO370" s="83"/>
      <c r="CA370" s="477"/>
      <c r="CB370" s="478"/>
    </row>
    <row r="371" spans="1:80">
      <c r="A371" s="83"/>
      <c r="B371" s="95" t="s">
        <v>633</v>
      </c>
      <c r="C371" s="96" t="s">
        <v>225</v>
      </c>
      <c r="D371" s="599" t="s">
        <v>644</v>
      </c>
      <c r="E371" s="162"/>
      <c r="F371" s="83"/>
      <c r="G371" s="90">
        <v>-94</v>
      </c>
      <c r="H371" s="90">
        <v>-97</v>
      </c>
      <c r="I371" s="90">
        <v>-90</v>
      </c>
      <c r="J371" s="90">
        <v>-77</v>
      </c>
      <c r="K371" s="90">
        <v>-80</v>
      </c>
      <c r="L371" s="91">
        <v>-18</v>
      </c>
      <c r="M371" s="91">
        <v>-17</v>
      </c>
      <c r="N371" s="91">
        <v>-16</v>
      </c>
      <c r="O371" s="91">
        <v>-21</v>
      </c>
      <c r="P371" s="90">
        <v>-72</v>
      </c>
      <c r="Q371" s="91">
        <v>-22</v>
      </c>
      <c r="R371" s="91">
        <v>-16</v>
      </c>
      <c r="S371" s="91">
        <v>-21</v>
      </c>
      <c r="T371" s="91">
        <v>-7</v>
      </c>
      <c r="U371" s="90">
        <v>-66</v>
      </c>
      <c r="V371" s="91">
        <v>-26</v>
      </c>
      <c r="W371" s="91">
        <v>-12</v>
      </c>
      <c r="X371" s="91">
        <v>-19</v>
      </c>
      <c r="Y371" s="91">
        <v>-18</v>
      </c>
      <c r="Z371" s="90">
        <v>-75</v>
      </c>
      <c r="AA371" s="91">
        <v>-13</v>
      </c>
      <c r="AB371" s="91">
        <v>-14</v>
      </c>
      <c r="AC371" s="126">
        <f>(-AC393*AC385)/1000</f>
        <v>-16.250000000000004</v>
      </c>
      <c r="AD371" s="126">
        <f>(-AD393*AD385)/1000</f>
        <v>-17.213541666666664</v>
      </c>
      <c r="AE371" s="95">
        <f t="shared" si="378"/>
        <v>-60.463541666666664</v>
      </c>
      <c r="AF371" s="95">
        <f>(-AF393*AF385)/1000</f>
        <v>-62.500000000000007</v>
      </c>
      <c r="AG371" s="95">
        <f t="shared" ref="AG371:AL371" si="380">(-AG393*AG385)/1000</f>
        <v>-62.500000000000007</v>
      </c>
      <c r="AH371" s="95">
        <f t="shared" si="380"/>
        <v>-62.500000000000007</v>
      </c>
      <c r="AI371" s="95">
        <f t="shared" si="380"/>
        <v>-62.500000000000007</v>
      </c>
      <c r="AJ371" s="95">
        <f t="shared" si="380"/>
        <v>-62.500000000000007</v>
      </c>
      <c r="AK371" s="95">
        <f t="shared" si="380"/>
        <v>-62.500000000000007</v>
      </c>
      <c r="AL371" s="95">
        <f t="shared" si="380"/>
        <v>-62.500000000000007</v>
      </c>
      <c r="AM371" s="651"/>
      <c r="AN371" s="83"/>
      <c r="AO371" s="83"/>
      <c r="CA371" s="477"/>
      <c r="CB371" s="478"/>
    </row>
    <row r="372" spans="1:80">
      <c r="A372" s="83"/>
      <c r="B372" s="95" t="s">
        <v>633</v>
      </c>
      <c r="C372" s="96" t="s">
        <v>225</v>
      </c>
      <c r="D372" s="600" t="s">
        <v>645</v>
      </c>
      <c r="E372" s="600"/>
      <c r="F372" s="600"/>
      <c r="G372" s="601">
        <f>SUM(G369:G371)</f>
        <v>-456</v>
      </c>
      <c r="H372" s="601">
        <f t="shared" ref="H372:V372" si="381">SUM(H369:H371)</f>
        <v>-437</v>
      </c>
      <c r="I372" s="601">
        <f t="shared" si="381"/>
        <v>-446</v>
      </c>
      <c r="J372" s="601">
        <f t="shared" si="381"/>
        <v>-392</v>
      </c>
      <c r="K372" s="601">
        <f t="shared" si="381"/>
        <v>-407</v>
      </c>
      <c r="L372" s="614">
        <f t="shared" si="381"/>
        <v>-92</v>
      </c>
      <c r="M372" s="614">
        <f t="shared" si="381"/>
        <v>-99</v>
      </c>
      <c r="N372" s="614">
        <f t="shared" si="381"/>
        <v>-82</v>
      </c>
      <c r="O372" s="614">
        <f t="shared" si="381"/>
        <v>-94</v>
      </c>
      <c r="P372" s="601">
        <f t="shared" si="381"/>
        <v>-367</v>
      </c>
      <c r="Q372" s="614">
        <f t="shared" si="381"/>
        <v>-128</v>
      </c>
      <c r="R372" s="614">
        <f t="shared" si="381"/>
        <v>-88</v>
      </c>
      <c r="S372" s="614">
        <f t="shared" si="381"/>
        <v>-97</v>
      </c>
      <c r="T372" s="614">
        <f t="shared" si="381"/>
        <v>-58</v>
      </c>
      <c r="U372" s="601">
        <f t="shared" si="381"/>
        <v>-371</v>
      </c>
      <c r="V372" s="614">
        <f t="shared" si="381"/>
        <v>-110</v>
      </c>
      <c r="W372" s="614">
        <f>SUM(W369:W371)</f>
        <v>-62</v>
      </c>
      <c r="X372" s="614">
        <f>SUM(X369:X371)</f>
        <v>-97</v>
      </c>
      <c r="Y372" s="614">
        <f>SUM(Y369:Y371)</f>
        <v>-78</v>
      </c>
      <c r="Z372" s="601">
        <f t="shared" ref="Z372:Z374" si="382">SUM(V372:Y372)</f>
        <v>-347</v>
      </c>
      <c r="AA372" s="614">
        <f>SUM(AA369:AA371)</f>
        <v>-78</v>
      </c>
      <c r="AB372" s="614">
        <f>SUM(AB369:AB371)</f>
        <v>-82</v>
      </c>
      <c r="AC372" s="614">
        <f>SUM(AC369:AC371)</f>
        <v>-72.259776495109833</v>
      </c>
      <c r="AD372" s="614">
        <f>SUM(AD369:AD371)</f>
        <v>-76.544410678313454</v>
      </c>
      <c r="AE372" s="601">
        <f t="shared" si="378"/>
        <v>-308.80418717342332</v>
      </c>
      <c r="AF372" s="601">
        <f t="shared" ref="AF372:AL372" si="383">SUM(AF369:AF371)</f>
        <v>-277.92221728888399</v>
      </c>
      <c r="AG372" s="601">
        <f t="shared" si="383"/>
        <v>-277.92221728888399</v>
      </c>
      <c r="AH372" s="601">
        <f t="shared" si="383"/>
        <v>-277.92221728888399</v>
      </c>
      <c r="AI372" s="601">
        <f t="shared" si="383"/>
        <v>-277.92221728888399</v>
      </c>
      <c r="AJ372" s="601">
        <f t="shared" si="383"/>
        <v>-277.92221728888399</v>
      </c>
      <c r="AK372" s="601">
        <f t="shared" si="383"/>
        <v>-277.92221728888399</v>
      </c>
      <c r="AL372" s="601">
        <f t="shared" si="383"/>
        <v>-277.92221728888399</v>
      </c>
      <c r="AM372" s="651"/>
      <c r="AN372" s="83"/>
      <c r="AO372" s="83"/>
      <c r="CA372" s="477"/>
      <c r="CB372" s="478"/>
    </row>
    <row r="373" spans="1:80">
      <c r="A373" s="83"/>
      <c r="B373" s="95" t="s">
        <v>633</v>
      </c>
      <c r="C373" s="96" t="s">
        <v>225</v>
      </c>
      <c r="D373" s="163" t="s">
        <v>226</v>
      </c>
      <c r="E373" s="163"/>
      <c r="F373" s="163"/>
      <c r="G373" s="95">
        <f>G368+G369+G370</f>
        <v>244</v>
      </c>
      <c r="H373" s="95">
        <f t="shared" ref="H373:V373" si="384">H368+H369+H370</f>
        <v>164</v>
      </c>
      <c r="I373" s="95">
        <f t="shared" si="384"/>
        <v>86</v>
      </c>
      <c r="J373" s="95">
        <f t="shared" si="384"/>
        <v>86</v>
      </c>
      <c r="K373" s="95">
        <f t="shared" si="384"/>
        <v>222</v>
      </c>
      <c r="L373" s="126">
        <f t="shared" si="384"/>
        <v>63</v>
      </c>
      <c r="M373" s="126">
        <f t="shared" si="384"/>
        <v>39</v>
      </c>
      <c r="N373" s="126">
        <f t="shared" si="384"/>
        <v>43</v>
      </c>
      <c r="O373" s="126">
        <f t="shared" si="384"/>
        <v>48</v>
      </c>
      <c r="P373" s="95">
        <f t="shared" si="384"/>
        <v>193</v>
      </c>
      <c r="Q373" s="126">
        <f t="shared" si="384"/>
        <v>37</v>
      </c>
      <c r="R373" s="126">
        <f t="shared" si="384"/>
        <v>36</v>
      </c>
      <c r="S373" s="126">
        <f t="shared" si="384"/>
        <v>30</v>
      </c>
      <c r="T373" s="126">
        <f t="shared" si="384"/>
        <v>-14</v>
      </c>
      <c r="U373" s="95">
        <f t="shared" si="384"/>
        <v>89</v>
      </c>
      <c r="V373" s="126">
        <f t="shared" si="384"/>
        <v>60</v>
      </c>
      <c r="W373" s="126">
        <f>W368+W369+W370</f>
        <v>16</v>
      </c>
      <c r="X373" s="126">
        <f>X368+X369+X370</f>
        <v>31</v>
      </c>
      <c r="Y373" s="126">
        <f>Y368+Y369+Y370</f>
        <v>63</v>
      </c>
      <c r="Z373" s="95">
        <f t="shared" si="382"/>
        <v>170</v>
      </c>
      <c r="AA373" s="126">
        <f>AA368+AA369+AA370</f>
        <v>47</v>
      </c>
      <c r="AB373" s="126">
        <f>AB368+AB369+AB370</f>
        <v>59</v>
      </c>
      <c r="AC373" s="126">
        <f>AC368+AC369+AC370</f>
        <v>81.219928254752574</v>
      </c>
      <c r="AD373" s="126">
        <f>AD368+AD369+AD370</f>
        <v>86.035853487806804</v>
      </c>
      <c r="AE373" s="95">
        <f t="shared" si="378"/>
        <v>273.25578174255941</v>
      </c>
      <c r="AF373" s="95">
        <f t="shared" ref="AF373:AL373" si="385">AF368+AF369+AF370</f>
        <v>322.22230117617363</v>
      </c>
      <c r="AG373" s="95">
        <f t="shared" si="385"/>
        <v>322.22230117617363</v>
      </c>
      <c r="AH373" s="95">
        <f t="shared" si="385"/>
        <v>326.62922345867406</v>
      </c>
      <c r="AI373" s="95">
        <f t="shared" si="385"/>
        <v>268.43248725959603</v>
      </c>
      <c r="AJ373" s="95">
        <f t="shared" si="385"/>
        <v>268.43248725959603</v>
      </c>
      <c r="AK373" s="95">
        <f t="shared" si="385"/>
        <v>268.43248725959603</v>
      </c>
      <c r="AL373" s="95">
        <f t="shared" si="385"/>
        <v>268.43248725959603</v>
      </c>
      <c r="AM373" s="651"/>
      <c r="AN373" s="83"/>
      <c r="AO373" s="83"/>
      <c r="CA373" s="477"/>
      <c r="CB373" s="478"/>
    </row>
    <row r="374" spans="1:80">
      <c r="A374" s="83"/>
      <c r="B374" s="95" t="s">
        <v>633</v>
      </c>
      <c r="C374" s="96" t="s">
        <v>225</v>
      </c>
      <c r="D374" s="594" t="s">
        <v>178</v>
      </c>
      <c r="E374" s="594"/>
      <c r="F374" s="594"/>
      <c r="G374" s="602">
        <f>G373+G371</f>
        <v>150</v>
      </c>
      <c r="H374" s="602">
        <f t="shared" ref="H374:U374" si="386">H373+H371</f>
        <v>67</v>
      </c>
      <c r="I374" s="602">
        <f t="shared" si="386"/>
        <v>-4</v>
      </c>
      <c r="J374" s="602">
        <f t="shared" si="386"/>
        <v>9</v>
      </c>
      <c r="K374" s="602">
        <f t="shared" si="386"/>
        <v>142</v>
      </c>
      <c r="L374" s="615">
        <f t="shared" si="386"/>
        <v>45</v>
      </c>
      <c r="M374" s="615">
        <f t="shared" si="386"/>
        <v>22</v>
      </c>
      <c r="N374" s="615">
        <f t="shared" si="386"/>
        <v>27</v>
      </c>
      <c r="O374" s="615">
        <f t="shared" si="386"/>
        <v>27</v>
      </c>
      <c r="P374" s="602">
        <f t="shared" si="386"/>
        <v>121</v>
      </c>
      <c r="Q374" s="615">
        <f t="shared" si="386"/>
        <v>15</v>
      </c>
      <c r="R374" s="615">
        <f t="shared" si="386"/>
        <v>20</v>
      </c>
      <c r="S374" s="615">
        <f t="shared" si="386"/>
        <v>9</v>
      </c>
      <c r="T374" s="615">
        <f t="shared" si="386"/>
        <v>-21</v>
      </c>
      <c r="U374" s="602">
        <f t="shared" si="386"/>
        <v>23</v>
      </c>
      <c r="V374" s="615">
        <f>V373+V371</f>
        <v>34</v>
      </c>
      <c r="W374" s="615">
        <f>W373+W371</f>
        <v>4</v>
      </c>
      <c r="X374" s="615">
        <f>X373+X371</f>
        <v>12</v>
      </c>
      <c r="Y374" s="615">
        <f>Y373+Y371</f>
        <v>45</v>
      </c>
      <c r="Z374" s="602">
        <f t="shared" si="382"/>
        <v>95</v>
      </c>
      <c r="AA374" s="615">
        <f>AA373+AA371</f>
        <v>34</v>
      </c>
      <c r="AB374" s="615">
        <f>AB373+AB371</f>
        <v>45</v>
      </c>
      <c r="AC374" s="615">
        <f>AC373+AC371</f>
        <v>64.969928254752574</v>
      </c>
      <c r="AD374" s="615">
        <f>AD373+AD371</f>
        <v>68.822311821140147</v>
      </c>
      <c r="AE374" s="602">
        <f t="shared" si="378"/>
        <v>212.79224007589272</v>
      </c>
      <c r="AF374" s="602">
        <f>AF373+AF371</f>
        <v>259.72230117617363</v>
      </c>
      <c r="AG374" s="602">
        <f t="shared" ref="AG374:AL374" si="387">AG373+AG371</f>
        <v>259.72230117617363</v>
      </c>
      <c r="AH374" s="602">
        <f t="shared" si="387"/>
        <v>264.12922345867406</v>
      </c>
      <c r="AI374" s="602">
        <f t="shared" si="387"/>
        <v>205.93248725959603</v>
      </c>
      <c r="AJ374" s="602">
        <f t="shared" si="387"/>
        <v>205.93248725959603</v>
      </c>
      <c r="AK374" s="602">
        <f t="shared" si="387"/>
        <v>205.93248725959603</v>
      </c>
      <c r="AL374" s="602">
        <f t="shared" si="387"/>
        <v>205.93248725959603</v>
      </c>
      <c r="AM374" s="651"/>
      <c r="AN374" s="83"/>
      <c r="AO374" s="83"/>
      <c r="CA374" s="477"/>
      <c r="CB374" s="478"/>
    </row>
    <row r="375" spans="1:80">
      <c r="A375" s="83"/>
      <c r="B375" s="95" t="s">
        <v>633</v>
      </c>
      <c r="C375" s="96" t="s">
        <v>225</v>
      </c>
      <c r="D375" s="607" t="s">
        <v>261</v>
      </c>
      <c r="E375" s="607"/>
      <c r="F375" s="607"/>
      <c r="G375" s="1105">
        <v>4</v>
      </c>
      <c r="H375" s="1105">
        <v>4</v>
      </c>
      <c r="I375" s="1105">
        <v>2</v>
      </c>
      <c r="J375" s="1105">
        <v>2</v>
      </c>
      <c r="K375" s="1105">
        <v>3</v>
      </c>
      <c r="L375" s="1104">
        <v>2</v>
      </c>
      <c r="M375" s="1104">
        <v>1</v>
      </c>
      <c r="N375" s="1104">
        <v>1</v>
      </c>
      <c r="O375" s="1104">
        <v>1</v>
      </c>
      <c r="P375" s="1105">
        <v>5</v>
      </c>
      <c r="Q375" s="1104">
        <v>3</v>
      </c>
      <c r="R375" s="1104">
        <v>1</v>
      </c>
      <c r="S375" s="1104">
        <v>2</v>
      </c>
      <c r="T375" s="1104">
        <v>1</v>
      </c>
      <c r="U375" s="1105">
        <v>7</v>
      </c>
      <c r="V375" s="1104">
        <v>3</v>
      </c>
      <c r="W375" s="1104">
        <v>1</v>
      </c>
      <c r="X375" s="1104">
        <v>2</v>
      </c>
      <c r="Y375" s="1104">
        <v>2</v>
      </c>
      <c r="Z375" s="1105">
        <v>8</v>
      </c>
      <c r="AA375" s="1104">
        <v>2</v>
      </c>
      <c r="AB375" s="1104">
        <v>2</v>
      </c>
      <c r="AC375" s="611">
        <f>(AC392*AC385)/1000</f>
        <v>1.7333333333333336</v>
      </c>
      <c r="AD375" s="611">
        <f>(AD392*AD385)/1000</f>
        <v>1.8361111111111108</v>
      </c>
      <c r="AE375" s="610">
        <f t="shared" si="378"/>
        <v>7.5694444444444446</v>
      </c>
      <c r="AF375" s="610">
        <f>(AF392*AF385)/1000</f>
        <v>6.6666666666666679</v>
      </c>
      <c r="AG375" s="610">
        <f t="shared" ref="AG375:AL375" si="388">(AG392*AG385)/1000</f>
        <v>6.6666666666666679</v>
      </c>
      <c r="AH375" s="610">
        <f t="shared" si="388"/>
        <v>6.6666666666666679</v>
      </c>
      <c r="AI375" s="610">
        <f t="shared" si="388"/>
        <v>6.6666666666666679</v>
      </c>
      <c r="AJ375" s="610">
        <f t="shared" si="388"/>
        <v>6.6666666666666679</v>
      </c>
      <c r="AK375" s="610">
        <f t="shared" si="388"/>
        <v>6.6666666666666679</v>
      </c>
      <c r="AL375" s="610">
        <f t="shared" si="388"/>
        <v>6.6666666666666679</v>
      </c>
      <c r="AM375" s="651"/>
      <c r="AN375" s="83"/>
      <c r="AO375" s="83"/>
      <c r="CA375" s="477"/>
      <c r="CB375" s="478"/>
    </row>
    <row r="376" spans="1:80">
      <c r="A376" s="83"/>
      <c r="B376" s="95"/>
      <c r="C376" s="96"/>
      <c r="D376" s="162"/>
      <c r="E376" s="162"/>
      <c r="F376" s="83"/>
      <c r="G376" s="95"/>
      <c r="H376" s="95"/>
      <c r="I376" s="95"/>
      <c r="J376" s="95"/>
      <c r="K376" s="95"/>
      <c r="L376" s="126"/>
      <c r="M376" s="126"/>
      <c r="N376" s="126"/>
      <c r="O376" s="126"/>
      <c r="P376" s="95"/>
      <c r="Q376" s="126"/>
      <c r="R376" s="126"/>
      <c r="S376" s="126"/>
      <c r="T376" s="126"/>
      <c r="U376" s="92"/>
      <c r="V376" s="126"/>
      <c r="W376" s="126"/>
      <c r="X376" s="126"/>
      <c r="Y376" s="126"/>
      <c r="Z376" s="83"/>
      <c r="AA376" s="140"/>
      <c r="AB376" s="140"/>
      <c r="AC376" s="140"/>
      <c r="AD376" s="140"/>
      <c r="AE376" s="83"/>
      <c r="AF376" s="83"/>
      <c r="AG376" s="83"/>
      <c r="AH376" s="83"/>
      <c r="AI376" s="83"/>
      <c r="AJ376" s="83"/>
      <c r="AK376" s="83"/>
      <c r="AL376" s="83"/>
      <c r="AM376" s="651"/>
      <c r="AN376" s="83"/>
      <c r="AO376" s="83"/>
      <c r="CA376" s="477"/>
      <c r="CB376" s="478"/>
    </row>
    <row r="377" spans="1:80">
      <c r="A377" s="83"/>
      <c r="B377" s="95"/>
      <c r="C377" s="96"/>
      <c r="D377" s="162"/>
      <c r="E377" s="162"/>
      <c r="F377" s="83"/>
      <c r="G377" s="95"/>
      <c r="H377" s="95"/>
      <c r="I377" s="95"/>
      <c r="J377" s="95"/>
      <c r="K377" s="95"/>
      <c r="L377" s="126"/>
      <c r="M377" s="126"/>
      <c r="N377" s="126"/>
      <c r="O377" s="126"/>
      <c r="P377" s="95"/>
      <c r="Q377" s="126"/>
      <c r="R377" s="126"/>
      <c r="S377" s="126"/>
      <c r="T377" s="126"/>
      <c r="U377" s="92"/>
      <c r="V377" s="126"/>
      <c r="W377" s="126"/>
      <c r="X377" s="126"/>
      <c r="Y377" s="126"/>
      <c r="Z377" s="83"/>
      <c r="AA377" s="140"/>
      <c r="AB377" s="140"/>
      <c r="AC377" s="140"/>
      <c r="AD377" s="140"/>
      <c r="AE377" s="83"/>
      <c r="AF377" s="83"/>
      <c r="AG377" s="83"/>
      <c r="AH377" s="83"/>
      <c r="AI377" s="83"/>
      <c r="AJ377" s="83"/>
      <c r="AK377" s="83"/>
      <c r="AL377" s="83"/>
      <c r="AM377" s="651"/>
      <c r="AN377" s="83"/>
      <c r="AO377" s="83"/>
      <c r="CA377" s="477"/>
      <c r="CB377" s="478"/>
    </row>
    <row r="378" spans="1:80">
      <c r="A378" s="83"/>
      <c r="B378" s="95"/>
      <c r="C378" s="96"/>
      <c r="D378" s="162"/>
      <c r="E378" s="162"/>
      <c r="F378" s="83"/>
      <c r="G378" s="95"/>
      <c r="H378" s="95"/>
      <c r="I378" s="95"/>
      <c r="J378" s="95"/>
      <c r="K378" s="95"/>
      <c r="L378" s="126"/>
      <c r="M378" s="126"/>
      <c r="N378" s="126"/>
      <c r="O378" s="126"/>
      <c r="P378" s="95"/>
      <c r="Q378" s="126"/>
      <c r="R378" s="126"/>
      <c r="S378" s="126"/>
      <c r="T378" s="126"/>
      <c r="U378" s="92"/>
      <c r="V378" s="126"/>
      <c r="W378" s="126"/>
      <c r="X378" s="126"/>
      <c r="Y378" s="126"/>
      <c r="Z378" s="83"/>
      <c r="AA378" s="140"/>
      <c r="AB378" s="140"/>
      <c r="AC378" s="140"/>
      <c r="AD378" s="140"/>
      <c r="AE378" s="83"/>
      <c r="AF378" s="83"/>
      <c r="AG378" s="83"/>
      <c r="AH378" s="83"/>
      <c r="AI378" s="83"/>
      <c r="AJ378" s="83"/>
      <c r="AK378" s="83"/>
      <c r="AL378" s="83"/>
      <c r="AM378" s="651"/>
      <c r="AN378" s="83"/>
      <c r="AO378" s="83"/>
      <c r="CA378" s="477"/>
      <c r="CB378" s="478"/>
    </row>
    <row r="379" spans="1:80">
      <c r="A379" s="83"/>
      <c r="B379" s="95"/>
      <c r="C379" s="96"/>
      <c r="D379" s="162"/>
      <c r="E379" s="162"/>
      <c r="F379" s="83"/>
      <c r="G379" s="95"/>
      <c r="H379" s="95"/>
      <c r="I379" s="95"/>
      <c r="J379" s="95"/>
      <c r="K379" s="95"/>
      <c r="L379" s="126"/>
      <c r="M379" s="126"/>
      <c r="N379" s="126"/>
      <c r="O379" s="126"/>
      <c r="P379" s="95"/>
      <c r="Q379" s="126"/>
      <c r="R379" s="126"/>
      <c r="S379" s="126"/>
      <c r="T379" s="126"/>
      <c r="U379" s="92"/>
      <c r="V379" s="126"/>
      <c r="W379" s="126"/>
      <c r="X379" s="126"/>
      <c r="Y379" s="126"/>
      <c r="Z379" s="83"/>
      <c r="AA379" s="140"/>
      <c r="AB379" s="140"/>
      <c r="AC379" s="140"/>
      <c r="AD379" s="140"/>
      <c r="AE379" s="83"/>
      <c r="AF379" s="83"/>
      <c r="AG379" s="83"/>
      <c r="AH379" s="83"/>
      <c r="AI379" s="83"/>
      <c r="AJ379" s="83"/>
      <c r="AK379" s="83"/>
      <c r="AL379" s="83"/>
      <c r="AM379" s="651"/>
      <c r="AN379" s="83"/>
      <c r="AO379" s="83"/>
      <c r="CA379" s="477"/>
      <c r="CB379" s="478"/>
    </row>
    <row r="380" spans="1:80">
      <c r="A380" s="83"/>
      <c r="B380" s="95"/>
      <c r="C380" s="96"/>
      <c r="D380" s="162"/>
      <c r="E380" s="162"/>
      <c r="F380" s="83"/>
      <c r="G380" s="95"/>
      <c r="H380" s="95"/>
      <c r="I380" s="95"/>
      <c r="J380" s="95"/>
      <c r="K380" s="95"/>
      <c r="L380" s="126"/>
      <c r="M380" s="126"/>
      <c r="N380" s="126"/>
      <c r="O380" s="126"/>
      <c r="P380" s="95"/>
      <c r="Q380" s="126"/>
      <c r="R380" s="126"/>
      <c r="S380" s="126"/>
      <c r="T380" s="126"/>
      <c r="U380" s="92"/>
      <c r="V380" s="126"/>
      <c r="W380" s="126"/>
      <c r="X380" s="126"/>
      <c r="Y380" s="126"/>
      <c r="Z380" s="83"/>
      <c r="AA380" s="140"/>
      <c r="AB380" s="140"/>
      <c r="AC380" s="140"/>
      <c r="AD380" s="140"/>
      <c r="AE380" s="83"/>
      <c r="AF380" s="83"/>
      <c r="AG380" s="83"/>
      <c r="AH380" s="83"/>
      <c r="AI380" s="83"/>
      <c r="AJ380" s="83"/>
      <c r="AK380" s="83"/>
      <c r="AL380" s="83"/>
      <c r="AM380" s="651"/>
      <c r="AN380" s="83"/>
      <c r="AO380" s="83"/>
      <c r="CA380" s="477"/>
      <c r="CB380" s="478"/>
    </row>
    <row r="381" spans="1:80">
      <c r="A381" s="83"/>
      <c r="B381" s="95"/>
      <c r="C381" s="96"/>
      <c r="D381" s="554" t="s">
        <v>646</v>
      </c>
      <c r="E381" s="653"/>
      <c r="F381" s="586"/>
      <c r="G381" s="605"/>
      <c r="H381" s="605"/>
      <c r="I381" s="605"/>
      <c r="J381" s="605"/>
      <c r="K381" s="605"/>
      <c r="L381" s="182"/>
      <c r="M381" s="182"/>
      <c r="N381" s="182"/>
      <c r="O381" s="182"/>
      <c r="P381" s="605"/>
      <c r="Q381" s="182"/>
      <c r="R381" s="182"/>
      <c r="S381" s="182"/>
      <c r="T381" s="182"/>
      <c r="U381" s="588"/>
      <c r="V381" s="182"/>
      <c r="W381" s="182"/>
      <c r="X381" s="182"/>
      <c r="Y381" s="182"/>
      <c r="Z381" s="586"/>
      <c r="AA381" s="725"/>
      <c r="AB381" s="725"/>
      <c r="AC381" s="725"/>
      <c r="AD381" s="725"/>
      <c r="AE381" s="586"/>
      <c r="AF381" s="586"/>
      <c r="AG381" s="586"/>
      <c r="AH381" s="586"/>
      <c r="AI381" s="586"/>
      <c r="AJ381" s="586"/>
      <c r="AK381" s="586"/>
      <c r="AL381" s="586"/>
      <c r="AM381" s="651"/>
      <c r="AN381" s="83"/>
      <c r="AO381" s="83"/>
      <c r="CA381" s="477"/>
      <c r="CB381" s="478"/>
    </row>
    <row r="382" spans="1:80">
      <c r="A382" s="83"/>
      <c r="B382" s="95" t="s">
        <v>649</v>
      </c>
      <c r="C382" s="96"/>
      <c r="D382" s="203" t="s">
        <v>657</v>
      </c>
      <c r="E382" s="186"/>
      <c r="F382" s="136"/>
      <c r="G382" s="90">
        <v>27833</v>
      </c>
      <c r="H382" s="90">
        <v>29962</v>
      </c>
      <c r="I382" s="90">
        <v>28362</v>
      </c>
      <c r="J382" s="90">
        <v>28837</v>
      </c>
      <c r="K382" s="90">
        <v>26516</v>
      </c>
      <c r="L382" s="91">
        <v>5802</v>
      </c>
      <c r="M382" s="91">
        <v>5847</v>
      </c>
      <c r="N382" s="91">
        <v>6121</v>
      </c>
      <c r="O382" s="91">
        <v>6370</v>
      </c>
      <c r="P382" s="90">
        <v>24140</v>
      </c>
      <c r="Q382" s="91">
        <v>6037</v>
      </c>
      <c r="R382" s="91">
        <v>5578</v>
      </c>
      <c r="S382" s="91">
        <v>6284</v>
      </c>
      <c r="T382" s="91">
        <v>2864</v>
      </c>
      <c r="U382" s="90">
        <v>20763</v>
      </c>
      <c r="V382" s="91">
        <v>6487</v>
      </c>
      <c r="W382" s="91">
        <v>6579</v>
      </c>
      <c r="X382" s="91">
        <v>7088</v>
      </c>
      <c r="Y382" s="91">
        <v>7031</v>
      </c>
      <c r="Z382" s="90">
        <v>27185</v>
      </c>
      <c r="AA382" s="91">
        <v>6253</v>
      </c>
      <c r="AB382" s="91">
        <v>6759</v>
      </c>
      <c r="AC382" s="126">
        <f t="shared" ref="AC382:AE382" si="389">X382</f>
        <v>7088</v>
      </c>
      <c r="AD382" s="126">
        <f t="shared" si="389"/>
        <v>7031</v>
      </c>
      <c r="AE382" s="95">
        <f t="shared" si="389"/>
        <v>27185</v>
      </c>
      <c r="AF382" s="94">
        <f>AE382</f>
        <v>27185</v>
      </c>
      <c r="AG382" s="94">
        <f t="shared" ref="AG382:AL382" si="390">AF382</f>
        <v>27185</v>
      </c>
      <c r="AH382" s="94">
        <f t="shared" si="390"/>
        <v>27185</v>
      </c>
      <c r="AI382" s="94">
        <f t="shared" si="390"/>
        <v>27185</v>
      </c>
      <c r="AJ382" s="94">
        <f t="shared" si="390"/>
        <v>27185</v>
      </c>
      <c r="AK382" s="94">
        <f t="shared" si="390"/>
        <v>27185</v>
      </c>
      <c r="AL382" s="94">
        <f t="shared" si="390"/>
        <v>27185</v>
      </c>
      <c r="AM382" s="651"/>
      <c r="AN382" s="83"/>
      <c r="AO382" s="83"/>
      <c r="CA382" s="477"/>
      <c r="CB382" s="478"/>
    </row>
    <row r="383" spans="1:80">
      <c r="A383" s="83"/>
      <c r="B383" s="95" t="s">
        <v>649</v>
      </c>
      <c r="C383" s="96"/>
      <c r="D383" s="163" t="s">
        <v>614</v>
      </c>
      <c r="E383" s="186"/>
      <c r="F383" s="136"/>
      <c r="G383" s="95">
        <f>G333</f>
        <v>18048</v>
      </c>
      <c r="H383" s="95">
        <f t="shared" ref="H383:U383" si="391">H333</f>
        <v>17676</v>
      </c>
      <c r="I383" s="95">
        <f t="shared" si="391"/>
        <v>17309</v>
      </c>
      <c r="J383" s="95">
        <f t="shared" si="391"/>
        <v>17861</v>
      </c>
      <c r="K383" s="95">
        <f t="shared" si="391"/>
        <v>17274</v>
      </c>
      <c r="L383" s="126">
        <f t="shared" si="391"/>
        <v>4330</v>
      </c>
      <c r="M383" s="126">
        <f t="shared" si="391"/>
        <v>4440</v>
      </c>
      <c r="N383" s="126">
        <f t="shared" si="391"/>
        <v>4771</v>
      </c>
      <c r="O383" s="126">
        <f t="shared" si="391"/>
        <v>4925</v>
      </c>
      <c r="P383" s="95">
        <f t="shared" si="391"/>
        <v>18466</v>
      </c>
      <c r="Q383" s="126">
        <f t="shared" si="391"/>
        <v>4190</v>
      </c>
      <c r="R383" s="126">
        <f t="shared" si="391"/>
        <v>4157</v>
      </c>
      <c r="S383" s="126">
        <f t="shared" si="391"/>
        <v>4597</v>
      </c>
      <c r="T383" s="126">
        <f t="shared" si="391"/>
        <v>2043</v>
      </c>
      <c r="U383" s="95">
        <f t="shared" si="391"/>
        <v>14987</v>
      </c>
      <c r="V383" s="126">
        <f t="shared" ref="V383:AE383" si="392">V333</f>
        <v>4792</v>
      </c>
      <c r="W383" s="126">
        <f t="shared" si="392"/>
        <v>4663</v>
      </c>
      <c r="X383" s="126">
        <f t="shared" si="392"/>
        <v>4031</v>
      </c>
      <c r="Y383" s="126">
        <f t="shared" si="392"/>
        <v>4658</v>
      </c>
      <c r="Z383" s="95">
        <f t="shared" si="392"/>
        <v>18144</v>
      </c>
      <c r="AA383" s="126">
        <f t="shared" ref="AA383" si="393">AA333</f>
        <v>4364</v>
      </c>
      <c r="AB383" s="126">
        <f t="shared" si="392"/>
        <v>4218</v>
      </c>
      <c r="AC383" s="126">
        <f t="shared" si="392"/>
        <v>3636.3636363636365</v>
      </c>
      <c r="AD383" s="126">
        <f t="shared" si="392"/>
        <v>3851.981351981352</v>
      </c>
      <c r="AE383" s="95">
        <f t="shared" si="392"/>
        <v>13986.013986013986</v>
      </c>
      <c r="AF383" s="95">
        <f t="shared" ref="AF383:AL383" si="394">AF333</f>
        <v>13986.013986013986</v>
      </c>
      <c r="AG383" s="95">
        <f t="shared" si="394"/>
        <v>13986.013986013986</v>
      </c>
      <c r="AH383" s="95">
        <f t="shared" si="394"/>
        <v>13986.013986013986</v>
      </c>
      <c r="AI383" s="95">
        <f t="shared" si="394"/>
        <v>13986.013986013986</v>
      </c>
      <c r="AJ383" s="95">
        <f t="shared" si="394"/>
        <v>13986.013986013986</v>
      </c>
      <c r="AK383" s="95">
        <f t="shared" si="394"/>
        <v>13986.013986013986</v>
      </c>
      <c r="AL383" s="95">
        <f t="shared" si="394"/>
        <v>13986.013986013986</v>
      </c>
      <c r="AM383" s="651"/>
      <c r="AN383" s="83"/>
      <c r="AO383" s="83"/>
      <c r="CA383" s="477"/>
      <c r="CB383" s="478"/>
    </row>
    <row r="384" spans="1:80">
      <c r="A384" s="83"/>
      <c r="B384" s="95" t="s">
        <v>650</v>
      </c>
      <c r="C384" s="96"/>
      <c r="D384" s="163" t="s">
        <v>647</v>
      </c>
      <c r="E384" s="186"/>
      <c r="F384" s="136"/>
      <c r="G384" s="95">
        <f>G343*1000</f>
        <v>78800</v>
      </c>
      <c r="H384" s="95">
        <f t="shared" ref="H384:U384" si="395">H343*1000</f>
        <v>69400</v>
      </c>
      <c r="I384" s="95">
        <f t="shared" si="395"/>
        <v>66900</v>
      </c>
      <c r="J384" s="95">
        <f t="shared" si="395"/>
        <v>69600</v>
      </c>
      <c r="K384" s="95">
        <f t="shared" si="395"/>
        <v>73900</v>
      </c>
      <c r="L384" s="126">
        <f t="shared" si="395"/>
        <v>17300</v>
      </c>
      <c r="M384" s="126">
        <f t="shared" si="395"/>
        <v>13900</v>
      </c>
      <c r="N384" s="126">
        <f t="shared" si="395"/>
        <v>13900</v>
      </c>
      <c r="O384" s="126">
        <f t="shared" si="395"/>
        <v>15800</v>
      </c>
      <c r="P384" s="95">
        <f t="shared" si="395"/>
        <v>60100</v>
      </c>
      <c r="Q384" s="126">
        <f t="shared" si="395"/>
        <v>18400</v>
      </c>
      <c r="R384" s="126">
        <f t="shared" si="395"/>
        <v>14500</v>
      </c>
      <c r="S384" s="126">
        <f t="shared" si="395"/>
        <v>14400</v>
      </c>
      <c r="T384" s="126">
        <f t="shared" si="395"/>
        <v>5000</v>
      </c>
      <c r="U384" s="95">
        <f t="shared" si="395"/>
        <v>52300</v>
      </c>
      <c r="V384" s="126">
        <f>V343*1000</f>
        <v>20300</v>
      </c>
      <c r="W384" s="126">
        <f t="shared" ref="W384:AE384" si="396">W343*1000</f>
        <v>9400</v>
      </c>
      <c r="X384" s="126">
        <f t="shared" si="396"/>
        <v>14000</v>
      </c>
      <c r="Y384" s="126">
        <f t="shared" si="396"/>
        <v>13900</v>
      </c>
      <c r="Z384" s="95">
        <f t="shared" si="396"/>
        <v>57600</v>
      </c>
      <c r="AA384" s="126">
        <f>AA343*1000</f>
        <v>10900</v>
      </c>
      <c r="AB384" s="126">
        <f t="shared" si="396"/>
        <v>11200</v>
      </c>
      <c r="AC384" s="126">
        <f t="shared" si="396"/>
        <v>12480</v>
      </c>
      <c r="AD384" s="126">
        <f t="shared" si="396"/>
        <v>13219.999999999998</v>
      </c>
      <c r="AE384" s="95">
        <f t="shared" si="396"/>
        <v>47800</v>
      </c>
      <c r="AF384" s="95">
        <f t="shared" ref="AF384:AL384" si="397">AF343*1000</f>
        <v>48000</v>
      </c>
      <c r="AG384" s="95">
        <f t="shared" si="397"/>
        <v>48000</v>
      </c>
      <c r="AH384" s="95">
        <f t="shared" si="397"/>
        <v>48000</v>
      </c>
      <c r="AI384" s="95">
        <f t="shared" si="397"/>
        <v>48000</v>
      </c>
      <c r="AJ384" s="95">
        <f t="shared" si="397"/>
        <v>48000</v>
      </c>
      <c r="AK384" s="95">
        <f t="shared" si="397"/>
        <v>48000</v>
      </c>
      <c r="AL384" s="95">
        <f t="shared" si="397"/>
        <v>48000</v>
      </c>
      <c r="AM384" s="651"/>
      <c r="AN384" s="83"/>
      <c r="AO384" s="83"/>
      <c r="CA384" s="477"/>
      <c r="CB384" s="478"/>
    </row>
    <row r="385" spans="1:80">
      <c r="A385" s="83"/>
      <c r="B385" s="95" t="s">
        <v>650</v>
      </c>
      <c r="C385" s="96"/>
      <c r="D385" s="163" t="s">
        <v>648</v>
      </c>
      <c r="E385" s="186"/>
      <c r="F385" s="136"/>
      <c r="G385" s="95">
        <f>G384/0.35</f>
        <v>225142.85714285716</v>
      </c>
      <c r="H385" s="95">
        <f t="shared" ref="H385:V385" si="398">H384/0.35</f>
        <v>198285.71428571429</v>
      </c>
      <c r="I385" s="95">
        <f t="shared" si="398"/>
        <v>191142.85714285716</v>
      </c>
      <c r="J385" s="95">
        <f t="shared" si="398"/>
        <v>198857.14285714287</v>
      </c>
      <c r="K385" s="95">
        <f t="shared" si="398"/>
        <v>211142.85714285716</v>
      </c>
      <c r="L385" s="126">
        <f t="shared" si="398"/>
        <v>49428.571428571435</v>
      </c>
      <c r="M385" s="126">
        <f t="shared" si="398"/>
        <v>39714.285714285717</v>
      </c>
      <c r="N385" s="126">
        <f t="shared" si="398"/>
        <v>39714.285714285717</v>
      </c>
      <c r="O385" s="126">
        <f t="shared" si="398"/>
        <v>45142.857142857145</v>
      </c>
      <c r="P385" s="95">
        <f t="shared" si="398"/>
        <v>171714.28571428574</v>
      </c>
      <c r="Q385" s="126">
        <f t="shared" si="398"/>
        <v>52571.428571428572</v>
      </c>
      <c r="R385" s="126">
        <f t="shared" si="398"/>
        <v>41428.571428571435</v>
      </c>
      <c r="S385" s="126">
        <f t="shared" si="398"/>
        <v>41142.857142857145</v>
      </c>
      <c r="T385" s="126">
        <f t="shared" si="398"/>
        <v>14285.714285714286</v>
      </c>
      <c r="U385" s="95">
        <f t="shared" si="398"/>
        <v>149428.57142857145</v>
      </c>
      <c r="V385" s="126">
        <f t="shared" si="398"/>
        <v>58000.000000000007</v>
      </c>
      <c r="W385" s="126">
        <f t="shared" ref="W385:AE385" si="399">W384/0.35</f>
        <v>26857.142857142859</v>
      </c>
      <c r="X385" s="126">
        <f t="shared" si="399"/>
        <v>40000</v>
      </c>
      <c r="Y385" s="126">
        <f t="shared" si="399"/>
        <v>39714.285714285717</v>
      </c>
      <c r="Z385" s="95">
        <f t="shared" si="399"/>
        <v>164571.42857142858</v>
      </c>
      <c r="AA385" s="126">
        <f t="shared" si="399"/>
        <v>31142.857142857145</v>
      </c>
      <c r="AB385" s="126">
        <f t="shared" si="399"/>
        <v>32000.000000000004</v>
      </c>
      <c r="AC385" s="126">
        <f t="shared" si="399"/>
        <v>35657.142857142862</v>
      </c>
      <c r="AD385" s="126">
        <f t="shared" si="399"/>
        <v>37771.428571428565</v>
      </c>
      <c r="AE385" s="95">
        <f t="shared" si="399"/>
        <v>136571.42857142858</v>
      </c>
      <c r="AF385" s="95">
        <f t="shared" ref="AF385:AL385" si="400">AF384/0.35</f>
        <v>137142.85714285716</v>
      </c>
      <c r="AG385" s="95">
        <f t="shared" si="400"/>
        <v>137142.85714285716</v>
      </c>
      <c r="AH385" s="95">
        <f t="shared" si="400"/>
        <v>137142.85714285716</v>
      </c>
      <c r="AI385" s="95">
        <f t="shared" si="400"/>
        <v>137142.85714285716</v>
      </c>
      <c r="AJ385" s="95">
        <f t="shared" si="400"/>
        <v>137142.85714285716</v>
      </c>
      <c r="AK385" s="95">
        <f t="shared" si="400"/>
        <v>137142.85714285716</v>
      </c>
      <c r="AL385" s="95">
        <f t="shared" si="400"/>
        <v>137142.85714285716</v>
      </c>
      <c r="AM385" s="651"/>
      <c r="AN385" s="83"/>
      <c r="AO385" s="83"/>
      <c r="CA385" s="477"/>
      <c r="CB385" s="478"/>
    </row>
    <row r="386" spans="1:80">
      <c r="A386" s="83"/>
      <c r="B386" s="95"/>
      <c r="C386" s="96"/>
      <c r="D386" s="163"/>
      <c r="E386" s="186"/>
      <c r="F386" s="136"/>
      <c r="G386" s="95"/>
      <c r="H386" s="95"/>
      <c r="I386" s="95"/>
      <c r="J386" s="95"/>
      <c r="K386" s="95"/>
      <c r="L386" s="126"/>
      <c r="M386" s="126"/>
      <c r="N386" s="126"/>
      <c r="O386" s="126"/>
      <c r="P386" s="95"/>
      <c r="Q386" s="126"/>
      <c r="R386" s="126"/>
      <c r="S386" s="126"/>
      <c r="T386" s="126"/>
      <c r="U386" s="92"/>
      <c r="V386" s="126"/>
      <c r="W386" s="126"/>
      <c r="X386" s="126"/>
      <c r="Y386" s="126"/>
      <c r="Z386" s="83"/>
      <c r="AA386" s="140"/>
      <c r="AB386" s="140"/>
      <c r="AC386" s="140"/>
      <c r="AD386" s="140"/>
      <c r="AE386" s="83"/>
      <c r="AF386" s="83"/>
      <c r="AG386" s="83"/>
      <c r="AH386" s="83"/>
      <c r="AI386" s="83"/>
      <c r="AJ386" s="83"/>
      <c r="AK386" s="83"/>
      <c r="AL386" s="83"/>
      <c r="AM386" s="651"/>
      <c r="AN386" s="83"/>
      <c r="AO386" s="83"/>
      <c r="CA386" s="477"/>
      <c r="CB386" s="478"/>
    </row>
    <row r="387" spans="1:80">
      <c r="A387" s="83"/>
      <c r="B387" s="95"/>
      <c r="C387" s="96"/>
      <c r="D387" s="163"/>
      <c r="E387" s="186"/>
      <c r="F387" s="136"/>
      <c r="G387" s="95"/>
      <c r="H387" s="95"/>
      <c r="I387" s="95"/>
      <c r="J387" s="95"/>
      <c r="K387" s="95"/>
      <c r="L387" s="126"/>
      <c r="M387" s="126"/>
      <c r="N387" s="126"/>
      <c r="O387" s="126"/>
      <c r="P387" s="95"/>
      <c r="Q387" s="126"/>
      <c r="R387" s="126"/>
      <c r="S387" s="126"/>
      <c r="T387" s="126"/>
      <c r="U387" s="92"/>
      <c r="V387" s="126"/>
      <c r="W387" s="126"/>
      <c r="X387" s="126"/>
      <c r="Y387" s="126"/>
      <c r="Z387" s="83"/>
      <c r="AA387" s="140"/>
      <c r="AB387" s="140"/>
      <c r="AC387" s="140"/>
      <c r="AD387" s="140"/>
      <c r="AE387" s="83"/>
      <c r="AF387" s="83"/>
      <c r="AG387" s="83"/>
      <c r="AH387" s="83"/>
      <c r="AI387" s="83"/>
      <c r="AJ387" s="83"/>
      <c r="AK387" s="83"/>
      <c r="AL387" s="83"/>
      <c r="AM387" s="651"/>
      <c r="AN387" s="83"/>
      <c r="AO387" s="83"/>
      <c r="CA387" s="477"/>
      <c r="CB387" s="478"/>
    </row>
    <row r="388" spans="1:80">
      <c r="A388" s="83"/>
      <c r="B388" s="95"/>
      <c r="C388" s="96"/>
      <c r="D388" s="554" t="s">
        <v>651</v>
      </c>
      <c r="E388" s="653"/>
      <c r="F388" s="586"/>
      <c r="G388" s="605"/>
      <c r="H388" s="605"/>
      <c r="I388" s="605"/>
      <c r="J388" s="605"/>
      <c r="K388" s="605"/>
      <c r="L388" s="182"/>
      <c r="M388" s="182"/>
      <c r="N388" s="182"/>
      <c r="O388" s="182"/>
      <c r="P388" s="605"/>
      <c r="Q388" s="182"/>
      <c r="R388" s="182"/>
      <c r="S388" s="182"/>
      <c r="T388" s="182"/>
      <c r="U388" s="588"/>
      <c r="V388" s="182"/>
      <c r="W388" s="182"/>
      <c r="X388" s="182"/>
      <c r="Y388" s="182"/>
      <c r="Z388" s="586"/>
      <c r="AA388" s="725"/>
      <c r="AB388" s="725"/>
      <c r="AC388" s="725"/>
      <c r="AD388" s="725"/>
      <c r="AE388" s="586"/>
      <c r="AF388" s="586"/>
      <c r="AG388" s="586"/>
      <c r="AH388" s="586"/>
      <c r="AI388" s="586"/>
      <c r="AJ388" s="586"/>
      <c r="AK388" s="586"/>
      <c r="AL388" s="586"/>
      <c r="AM388" s="651"/>
      <c r="AN388" s="83"/>
      <c r="AO388" s="83"/>
      <c r="CA388" s="477"/>
      <c r="CB388" s="478"/>
    </row>
    <row r="389" spans="1:80">
      <c r="A389" s="83"/>
      <c r="B389" s="95"/>
      <c r="C389" s="96"/>
      <c r="D389" s="163" t="s">
        <v>652</v>
      </c>
      <c r="E389" s="186"/>
      <c r="F389" s="136"/>
      <c r="G389" s="603">
        <f>(-G369*1000)/(G383)</f>
        <v>18.339982269503547</v>
      </c>
      <c r="H389" s="603">
        <f t="shared" ref="H389:U389" si="401">(-H369*1000)/(H383)</f>
        <v>17.651052274270196</v>
      </c>
      <c r="I389" s="603">
        <f t="shared" si="401"/>
        <v>19.411866658963547</v>
      </c>
      <c r="J389" s="603">
        <f t="shared" si="401"/>
        <v>16.348468730754156</v>
      </c>
      <c r="K389" s="603">
        <f t="shared" si="401"/>
        <v>17.482922310987611</v>
      </c>
      <c r="L389" s="616">
        <f t="shared" si="401"/>
        <v>15.473441108545035</v>
      </c>
      <c r="M389" s="616">
        <f t="shared" si="401"/>
        <v>17.342342342342342</v>
      </c>
      <c r="N389" s="616">
        <f t="shared" si="401"/>
        <v>12.575979878432195</v>
      </c>
      <c r="O389" s="616">
        <f t="shared" si="401"/>
        <v>13.401015228426395</v>
      </c>
      <c r="P389" s="603">
        <f t="shared" si="401"/>
        <v>14.621466478934257</v>
      </c>
      <c r="Q389" s="616">
        <f t="shared" si="401"/>
        <v>23.627684964200476</v>
      </c>
      <c r="R389" s="616">
        <f t="shared" si="401"/>
        <v>15.876834255472696</v>
      </c>
      <c r="S389" s="616">
        <f t="shared" si="401"/>
        <v>15.009788992821406</v>
      </c>
      <c r="T389" s="616">
        <f t="shared" si="401"/>
        <v>23.494860499265787</v>
      </c>
      <c r="U389" s="603">
        <f t="shared" si="401"/>
        <v>18.816307466470942</v>
      </c>
      <c r="V389" s="616">
        <f>(-V369*1000)/(V383)</f>
        <v>15.859766277128548</v>
      </c>
      <c r="W389" s="616">
        <f>(-W369*1000)/(W383)</f>
        <v>10.079348059189362</v>
      </c>
      <c r="X389" s="616">
        <f>(-X369*1000)/(X383)</f>
        <v>17.861572810716943</v>
      </c>
      <c r="Y389" s="616">
        <f>(-Y369*1000)/(Y383)</f>
        <v>12.022327179046801</v>
      </c>
      <c r="Z389" s="603">
        <f t="shared" ref="Z389" si="402">(-Z369*1000)/(Z383)</f>
        <v>13.833774250440918</v>
      </c>
      <c r="AA389" s="616">
        <f>(-AA369*1000)/(AA383)</f>
        <v>13.519706691109075</v>
      </c>
      <c r="AB389" s="616">
        <f>(-AB369*1000)/(AB383)</f>
        <v>14.69890943575154</v>
      </c>
      <c r="AC389" s="616">
        <f>AE389</f>
        <v>13.833774250440918</v>
      </c>
      <c r="AD389" s="616">
        <f>AE389</f>
        <v>13.833774250440918</v>
      </c>
      <c r="AE389" s="1175">
        <f>Z389</f>
        <v>13.833774250440918</v>
      </c>
      <c r="AF389" s="1002">
        <f>AE389</f>
        <v>13.833774250440918</v>
      </c>
      <c r="AG389" s="1002">
        <f t="shared" ref="AG389:AL389" si="403">AF389</f>
        <v>13.833774250440918</v>
      </c>
      <c r="AH389" s="1002">
        <f t="shared" si="403"/>
        <v>13.833774250440918</v>
      </c>
      <c r="AI389" s="1002">
        <f t="shared" si="403"/>
        <v>13.833774250440918</v>
      </c>
      <c r="AJ389" s="1002">
        <f t="shared" si="403"/>
        <v>13.833774250440918</v>
      </c>
      <c r="AK389" s="1002">
        <f t="shared" si="403"/>
        <v>13.833774250440918</v>
      </c>
      <c r="AL389" s="1002">
        <f t="shared" si="403"/>
        <v>13.833774250440918</v>
      </c>
      <c r="AM389" s="651"/>
      <c r="AN389" s="83"/>
      <c r="AO389" s="83"/>
      <c r="CA389" s="477"/>
      <c r="CB389" s="478"/>
    </row>
    <row r="390" spans="1:80">
      <c r="A390" s="83"/>
      <c r="B390" s="95"/>
      <c r="C390" s="96"/>
      <c r="D390" s="163" t="s">
        <v>653</v>
      </c>
      <c r="E390" s="186"/>
      <c r="F390" s="136"/>
      <c r="G390" s="603">
        <f>(-G370*1000000)/(G385)</f>
        <v>137.69035532994923</v>
      </c>
      <c r="H390" s="603">
        <f t="shared" ref="H390:U390" si="404">(-H370*1000000)/(H385)</f>
        <v>141.21037463976944</v>
      </c>
      <c r="I390" s="603">
        <f t="shared" si="404"/>
        <v>104.6337817638266</v>
      </c>
      <c r="J390" s="603">
        <f t="shared" si="404"/>
        <v>115.66091954022988</v>
      </c>
      <c r="K390" s="603">
        <f t="shared" si="404"/>
        <v>118.40324763193505</v>
      </c>
      <c r="L390" s="616">
        <f t="shared" si="404"/>
        <v>141.61849710982656</v>
      </c>
      <c r="M390" s="616">
        <f t="shared" si="404"/>
        <v>125.89928057553956</v>
      </c>
      <c r="N390" s="616">
        <f t="shared" si="404"/>
        <v>151.07913669064746</v>
      </c>
      <c r="O390" s="616">
        <f t="shared" si="404"/>
        <v>155.0632911392405</v>
      </c>
      <c r="P390" s="603">
        <f t="shared" si="404"/>
        <v>145.5906821963394</v>
      </c>
      <c r="Q390" s="616">
        <f t="shared" si="404"/>
        <v>133.15217391304347</v>
      </c>
      <c r="R390" s="616">
        <f t="shared" si="404"/>
        <v>144.82758620689654</v>
      </c>
      <c r="S390" s="616">
        <f t="shared" si="404"/>
        <v>170.13888888888889</v>
      </c>
      <c r="T390" s="616">
        <f t="shared" si="404"/>
        <v>210</v>
      </c>
      <c r="U390" s="603">
        <f t="shared" si="404"/>
        <v>153.91969407265773</v>
      </c>
      <c r="V390" s="616">
        <f>(-V370*1000000)/(V385)</f>
        <v>137.93103448275861</v>
      </c>
      <c r="W390" s="616">
        <f>(-W370*1000000)/(W385)</f>
        <v>111.70212765957446</v>
      </c>
      <c r="X390" s="616">
        <f>(-X370*1000000)/(X385)</f>
        <v>150</v>
      </c>
      <c r="Y390" s="616">
        <f>(-Y370*1000000)/(Y385)</f>
        <v>100.71942446043165</v>
      </c>
      <c r="Z390" s="603">
        <f t="shared" ref="Z390" si="405">(-Z370*1000000)/(Z385)</f>
        <v>127.60416666666666</v>
      </c>
      <c r="AA390" s="616">
        <f>(-AA370*1000000)/(AA385)</f>
        <v>192.66055045871559</v>
      </c>
      <c r="AB390" s="616">
        <f>(-AB370*1000000)/(AB385)</f>
        <v>187.49999999999997</v>
      </c>
      <c r="AC390" s="616">
        <f>AE390</f>
        <v>160</v>
      </c>
      <c r="AD390" s="616">
        <f>AE390</f>
        <v>160</v>
      </c>
      <c r="AE390" s="1175">
        <v>160</v>
      </c>
      <c r="AF390" s="1002">
        <f t="shared" ref="AF390:AL393" si="406">AE390</f>
        <v>160</v>
      </c>
      <c r="AG390" s="1002">
        <f t="shared" si="406"/>
        <v>160</v>
      </c>
      <c r="AH390" s="1002">
        <f>AG390</f>
        <v>160</v>
      </c>
      <c r="AI390" s="1002">
        <f t="shared" si="406"/>
        <v>160</v>
      </c>
      <c r="AJ390" s="1002">
        <f t="shared" si="406"/>
        <v>160</v>
      </c>
      <c r="AK390" s="1002">
        <f t="shared" si="406"/>
        <v>160</v>
      </c>
      <c r="AL390" s="1002">
        <f t="shared" si="406"/>
        <v>160</v>
      </c>
      <c r="AM390" s="651"/>
      <c r="AN390" s="83"/>
      <c r="AO390" s="83"/>
      <c r="CA390" s="477"/>
      <c r="CB390" s="478"/>
    </row>
    <row r="391" spans="1:80">
      <c r="A391" s="83"/>
      <c r="B391" s="95"/>
      <c r="C391" s="96"/>
      <c r="D391" s="163" t="s">
        <v>654</v>
      </c>
      <c r="E391" s="186"/>
      <c r="F391" s="136"/>
      <c r="G391" s="604">
        <f>(G375*1000000)/(G382*1000)</f>
        <v>0.14371429597959257</v>
      </c>
      <c r="H391" s="604">
        <f t="shared" ref="H391:V391" si="407">(H375*1000000)/(H382*1000)</f>
        <v>0.13350243641946466</v>
      </c>
      <c r="I391" s="604">
        <f t="shared" si="407"/>
        <v>7.0516888794866367E-2</v>
      </c>
      <c r="J391" s="604">
        <f t="shared" si="407"/>
        <v>6.9355342095224884E-2</v>
      </c>
      <c r="K391" s="604">
        <f t="shared" si="407"/>
        <v>0.11313923668728315</v>
      </c>
      <c r="L391" s="617">
        <f t="shared" si="407"/>
        <v>0.3447087211306446</v>
      </c>
      <c r="M391" s="617">
        <f t="shared" si="407"/>
        <v>0.17102787754403967</v>
      </c>
      <c r="N391" s="617">
        <f t="shared" si="407"/>
        <v>0.16337199803953603</v>
      </c>
      <c r="O391" s="617">
        <f t="shared" si="407"/>
        <v>0.15698587127158556</v>
      </c>
      <c r="P391" s="604">
        <f t="shared" si="407"/>
        <v>0.20712510356255179</v>
      </c>
      <c r="Q391" s="617">
        <f t="shared" si="407"/>
        <v>0.49693556402186517</v>
      </c>
      <c r="R391" s="617">
        <f t="shared" si="407"/>
        <v>0.17927572606669057</v>
      </c>
      <c r="S391" s="617">
        <f t="shared" si="407"/>
        <v>0.31826861871419476</v>
      </c>
      <c r="T391" s="617">
        <f t="shared" si="407"/>
        <v>0.34916201117318435</v>
      </c>
      <c r="U391" s="604">
        <f t="shared" si="407"/>
        <v>0.33713817849058419</v>
      </c>
      <c r="V391" s="617">
        <f t="shared" si="407"/>
        <v>0.46246338831509171</v>
      </c>
      <c r="W391" s="617">
        <f>(W375*1000000)/(W382*1000)</f>
        <v>0.15199878400972791</v>
      </c>
      <c r="X391" s="617">
        <f>(X375*1000000)/(X382*1000)</f>
        <v>0.28216704288939054</v>
      </c>
      <c r="Y391" s="617">
        <f t="shared" ref="Y391" si="408">(Y375*1000000)/(Y382*1000)</f>
        <v>0.28445455838429812</v>
      </c>
      <c r="Z391" s="604">
        <f t="shared" ref="Z391:AA391" si="409">(Z375*1000000)/(Z382*1000)</f>
        <v>0.29427993378701489</v>
      </c>
      <c r="AA391" s="617">
        <f t="shared" si="409"/>
        <v>0.31984647369262753</v>
      </c>
      <c r="AB391" s="617">
        <f t="shared" ref="AB391" si="410">(AB375*1000000)/(AB382*1000)</f>
        <v>0.29590176061547568</v>
      </c>
      <c r="AC391" s="616">
        <f>AE391</f>
        <v>0.29427993378701489</v>
      </c>
      <c r="AD391" s="616">
        <f>AE391</f>
        <v>0.29427993378701489</v>
      </c>
      <c r="AE391" s="1175">
        <f>Z391</f>
        <v>0.29427993378701489</v>
      </c>
      <c r="AF391" s="1002">
        <f t="shared" si="406"/>
        <v>0.29427993378701489</v>
      </c>
      <c r="AG391" s="1002">
        <f t="shared" si="406"/>
        <v>0.29427993378701489</v>
      </c>
      <c r="AH391" s="1002">
        <f t="shared" si="406"/>
        <v>0.29427993378701489</v>
      </c>
      <c r="AI391" s="1002">
        <f t="shared" si="406"/>
        <v>0.29427993378701489</v>
      </c>
      <c r="AJ391" s="1002">
        <f t="shared" si="406"/>
        <v>0.29427993378701489</v>
      </c>
      <c r="AK391" s="1002">
        <f t="shared" si="406"/>
        <v>0.29427993378701489</v>
      </c>
      <c r="AL391" s="1002">
        <f t="shared" si="406"/>
        <v>0.29427993378701489</v>
      </c>
      <c r="AM391" s="651"/>
      <c r="AN391" s="83"/>
      <c r="AO391" s="83"/>
      <c r="CA391" s="477"/>
      <c r="CB391" s="478"/>
    </row>
    <row r="392" spans="1:80">
      <c r="A392" s="83"/>
      <c r="B392" s="95"/>
      <c r="C392" s="96"/>
      <c r="D392" s="163" t="s">
        <v>655</v>
      </c>
      <c r="E392" s="186"/>
      <c r="F392" s="136"/>
      <c r="G392" s="604">
        <f>(G375*1000000)/(G385*1000)</f>
        <v>1.7766497461928932E-2</v>
      </c>
      <c r="H392" s="604">
        <f t="shared" ref="H392:V392" si="411">(H375*1000000)/(H385*1000)</f>
        <v>2.0172910662824207E-2</v>
      </c>
      <c r="I392" s="604">
        <f t="shared" si="411"/>
        <v>1.0463378176382659E-2</v>
      </c>
      <c r="J392" s="604">
        <f t="shared" si="411"/>
        <v>1.0057471264367816E-2</v>
      </c>
      <c r="K392" s="604">
        <f t="shared" si="411"/>
        <v>1.4208389715832204E-2</v>
      </c>
      <c r="L392" s="617">
        <f t="shared" si="411"/>
        <v>4.0462427745664734E-2</v>
      </c>
      <c r="M392" s="617">
        <f t="shared" si="411"/>
        <v>2.5179856115107913E-2</v>
      </c>
      <c r="N392" s="617">
        <f t="shared" si="411"/>
        <v>2.5179856115107913E-2</v>
      </c>
      <c r="O392" s="617">
        <f t="shared" si="411"/>
        <v>2.2151898734177215E-2</v>
      </c>
      <c r="P392" s="604">
        <f t="shared" si="411"/>
        <v>2.9118136439267885E-2</v>
      </c>
      <c r="Q392" s="617">
        <f t="shared" si="411"/>
        <v>5.7065217391304345E-2</v>
      </c>
      <c r="R392" s="617">
        <f t="shared" si="411"/>
        <v>2.4137931034482755E-2</v>
      </c>
      <c r="S392" s="617">
        <f t="shared" si="411"/>
        <v>4.8611111111111112E-2</v>
      </c>
      <c r="T392" s="617">
        <f t="shared" si="411"/>
        <v>7.0000000000000007E-2</v>
      </c>
      <c r="U392" s="604">
        <f t="shared" si="411"/>
        <v>4.6845124282982778E-2</v>
      </c>
      <c r="V392" s="617">
        <f t="shared" si="411"/>
        <v>5.1724137931034475E-2</v>
      </c>
      <c r="W392" s="617">
        <f>(W375*1000000)/(W385*1000)</f>
        <v>3.7234042553191488E-2</v>
      </c>
      <c r="X392" s="617">
        <f>(X375*1000000)/(X385*1000)</f>
        <v>0.05</v>
      </c>
      <c r="Y392" s="617">
        <f t="shared" ref="Y392" si="412">(Y375*1000000)/(Y385*1000)</f>
        <v>5.0359712230215826E-2</v>
      </c>
      <c r="Z392" s="604">
        <f t="shared" ref="Z392:AA392" si="413">(Z375*1000000)/(Z385*1000)</f>
        <v>4.8611111111111112E-2</v>
      </c>
      <c r="AA392" s="617">
        <f t="shared" si="413"/>
        <v>6.4220183486238522E-2</v>
      </c>
      <c r="AB392" s="617">
        <f t="shared" ref="AB392" si="414">(AB375*1000000)/(AB385*1000)</f>
        <v>6.2499999999999993E-2</v>
      </c>
      <c r="AC392" s="616">
        <f>AE392</f>
        <v>4.8611111111111112E-2</v>
      </c>
      <c r="AD392" s="616">
        <f>AE392</f>
        <v>4.8611111111111112E-2</v>
      </c>
      <c r="AE392" s="1175">
        <f>Z392</f>
        <v>4.8611111111111112E-2</v>
      </c>
      <c r="AF392" s="1002">
        <f t="shared" si="406"/>
        <v>4.8611111111111112E-2</v>
      </c>
      <c r="AG392" s="1002">
        <f t="shared" si="406"/>
        <v>4.8611111111111112E-2</v>
      </c>
      <c r="AH392" s="1002">
        <f t="shared" si="406"/>
        <v>4.8611111111111112E-2</v>
      </c>
      <c r="AI392" s="1002">
        <f t="shared" si="406"/>
        <v>4.8611111111111112E-2</v>
      </c>
      <c r="AJ392" s="1002">
        <f t="shared" si="406"/>
        <v>4.8611111111111112E-2</v>
      </c>
      <c r="AK392" s="1002">
        <f t="shared" si="406"/>
        <v>4.8611111111111112E-2</v>
      </c>
      <c r="AL392" s="1002">
        <f t="shared" si="406"/>
        <v>4.8611111111111112E-2</v>
      </c>
      <c r="AM392" s="651"/>
      <c r="AN392" s="83"/>
      <c r="AO392" s="83"/>
      <c r="CA392" s="477"/>
      <c r="CB392" s="478"/>
    </row>
    <row r="393" spans="1:80">
      <c r="A393" s="83"/>
      <c r="B393" s="95"/>
      <c r="C393" s="96"/>
      <c r="D393" s="163" t="s">
        <v>861</v>
      </c>
      <c r="E393" s="162"/>
      <c r="F393" s="83"/>
      <c r="G393" s="604">
        <f>(-G371*1000000)/(G385*1000)</f>
        <v>0.4175126903553299</v>
      </c>
      <c r="H393" s="604">
        <f t="shared" ref="H393:V393" si="415">(-H371*1000000)/(H385*1000)</f>
        <v>0.48919308357348701</v>
      </c>
      <c r="I393" s="604">
        <f t="shared" si="415"/>
        <v>0.4708520179372197</v>
      </c>
      <c r="J393" s="604">
        <f t="shared" si="415"/>
        <v>0.38721264367816088</v>
      </c>
      <c r="K393" s="604">
        <f t="shared" si="415"/>
        <v>0.37889039242219213</v>
      </c>
      <c r="L393" s="616">
        <f t="shared" si="415"/>
        <v>0.36416184971098264</v>
      </c>
      <c r="M393" s="616">
        <f t="shared" si="415"/>
        <v>0.42805755395683454</v>
      </c>
      <c r="N393" s="616">
        <f t="shared" si="415"/>
        <v>0.40287769784172661</v>
      </c>
      <c r="O393" s="616">
        <f t="shared" si="415"/>
        <v>0.46518987341772156</v>
      </c>
      <c r="P393" s="603">
        <f t="shared" si="415"/>
        <v>0.41930116472545753</v>
      </c>
      <c r="Q393" s="616">
        <f t="shared" si="415"/>
        <v>0.41847826086956519</v>
      </c>
      <c r="R393" s="616">
        <f t="shared" si="415"/>
        <v>0.38620689655172408</v>
      </c>
      <c r="S393" s="616">
        <f t="shared" si="415"/>
        <v>0.51041666666666663</v>
      </c>
      <c r="T393" s="616">
        <f t="shared" si="415"/>
        <v>0.49</v>
      </c>
      <c r="U393" s="704">
        <f t="shared" si="415"/>
        <v>0.44168260038240909</v>
      </c>
      <c r="V393" s="616">
        <f t="shared" si="415"/>
        <v>0.44827586206896547</v>
      </c>
      <c r="W393" s="616">
        <f>(-W371*1000000)/(W385*1000)</f>
        <v>0.44680851063829785</v>
      </c>
      <c r="X393" s="616">
        <f>(-X371*1000000)/(X385*1000)</f>
        <v>0.47499999999999998</v>
      </c>
      <c r="Y393" s="616">
        <f t="shared" ref="Y393" si="416">(-Y371*1000000)/(Y385*1000)</f>
        <v>0.4532374100719424</v>
      </c>
      <c r="Z393" s="704">
        <f t="shared" ref="Z393:AA393" si="417">(-Z371*1000000)/(Z385*1000)</f>
        <v>0.45572916666666669</v>
      </c>
      <c r="AA393" s="616">
        <f t="shared" si="417"/>
        <v>0.4174311926605504</v>
      </c>
      <c r="AB393" s="616">
        <f t="shared" ref="AB393" si="418">(-AB371*1000000)/(AB385*1000)</f>
        <v>0.43749999999999994</v>
      </c>
      <c r="AC393" s="616">
        <f>AE393</f>
        <v>0.45572916666666669</v>
      </c>
      <c r="AD393" s="616">
        <f>AE393</f>
        <v>0.45572916666666669</v>
      </c>
      <c r="AE393" s="1175">
        <f>Z393</f>
        <v>0.45572916666666669</v>
      </c>
      <c r="AF393" s="1002">
        <f t="shared" si="406"/>
        <v>0.45572916666666669</v>
      </c>
      <c r="AG393" s="1002">
        <f t="shared" si="406"/>
        <v>0.45572916666666669</v>
      </c>
      <c r="AH393" s="1002">
        <f t="shared" si="406"/>
        <v>0.45572916666666669</v>
      </c>
      <c r="AI393" s="1002">
        <f t="shared" si="406"/>
        <v>0.45572916666666669</v>
      </c>
      <c r="AJ393" s="1002">
        <f t="shared" si="406"/>
        <v>0.45572916666666669</v>
      </c>
      <c r="AK393" s="1002">
        <f t="shared" si="406"/>
        <v>0.45572916666666669</v>
      </c>
      <c r="AL393" s="1002">
        <f t="shared" si="406"/>
        <v>0.45572916666666669</v>
      </c>
      <c r="AM393" s="651"/>
      <c r="AN393" s="83"/>
      <c r="AO393" s="83"/>
      <c r="CA393" s="477"/>
      <c r="CB393" s="478"/>
    </row>
    <row r="394" spans="1:80">
      <c r="A394" s="83"/>
      <c r="B394" s="95"/>
      <c r="C394" s="96"/>
      <c r="D394" s="162"/>
      <c r="E394" s="162"/>
      <c r="F394" s="83"/>
      <c r="G394" s="95"/>
      <c r="H394" s="95"/>
      <c r="I394" s="95"/>
      <c r="J394" s="95"/>
      <c r="K394" s="95"/>
      <c r="L394" s="126"/>
      <c r="M394" s="126"/>
      <c r="N394" s="126"/>
      <c r="O394" s="126"/>
      <c r="P394" s="95"/>
      <c r="Q394" s="126"/>
      <c r="R394" s="126"/>
      <c r="S394" s="126"/>
      <c r="T394" s="126"/>
      <c r="U394" s="92"/>
      <c r="V394" s="126"/>
      <c r="W394" s="126"/>
      <c r="X394" s="126"/>
      <c r="Y394" s="126"/>
      <c r="Z394" s="1003"/>
      <c r="AA394" s="985"/>
      <c r="AB394" s="985"/>
      <c r="AC394" s="985"/>
      <c r="AD394" s="985"/>
      <c r="AE394" s="1003"/>
      <c r="AF394" s="83"/>
      <c r="AG394" s="83"/>
      <c r="AH394" s="83"/>
      <c r="AI394" s="83"/>
      <c r="AJ394" s="83"/>
      <c r="AK394" s="83"/>
      <c r="AL394" s="83"/>
      <c r="AM394" s="651"/>
      <c r="AN394" s="83"/>
      <c r="AO394" s="83"/>
      <c r="CA394" s="477"/>
      <c r="CB394" s="478"/>
    </row>
    <row r="395" spans="1:80">
      <c r="A395" s="83"/>
      <c r="B395" s="95"/>
      <c r="C395" s="96"/>
      <c r="D395" s="162"/>
      <c r="E395" s="162"/>
      <c r="F395" s="83"/>
      <c r="G395" s="95"/>
      <c r="H395" s="95"/>
      <c r="I395" s="95"/>
      <c r="J395" s="95"/>
      <c r="K395" s="95"/>
      <c r="L395" s="126"/>
      <c r="M395" s="126"/>
      <c r="N395" s="126"/>
      <c r="O395" s="126"/>
      <c r="P395" s="95"/>
      <c r="Q395" s="126"/>
      <c r="R395" s="126"/>
      <c r="S395" s="126"/>
      <c r="T395" s="126"/>
      <c r="U395" s="92"/>
      <c r="V395" s="126"/>
      <c r="W395" s="126"/>
      <c r="X395" s="126"/>
      <c r="Y395" s="126"/>
      <c r="Z395" s="83"/>
      <c r="AA395" s="140"/>
      <c r="AB395" s="140"/>
      <c r="AC395" s="140"/>
      <c r="AD395" s="140"/>
      <c r="AE395" s="83"/>
      <c r="AF395" s="83"/>
      <c r="AG395" s="83"/>
      <c r="AH395" s="83"/>
      <c r="AI395" s="83"/>
      <c r="AJ395" s="83"/>
      <c r="AK395" s="83"/>
      <c r="AL395" s="83"/>
      <c r="AM395" s="651"/>
      <c r="AN395" s="83"/>
      <c r="AO395" s="83"/>
      <c r="CA395" s="477"/>
      <c r="CB395" s="478"/>
    </row>
    <row r="396" spans="1:80">
      <c r="A396" s="83"/>
      <c r="B396" s="95"/>
      <c r="C396" s="96"/>
      <c r="D396" s="162"/>
      <c r="E396" s="162"/>
      <c r="F396" s="83"/>
      <c r="G396" s="95"/>
      <c r="H396" s="95"/>
      <c r="I396" s="95"/>
      <c r="J396" s="95"/>
      <c r="K396" s="95"/>
      <c r="L396" s="126"/>
      <c r="M396" s="126"/>
      <c r="N396" s="126"/>
      <c r="O396" s="126"/>
      <c r="P396" s="95"/>
      <c r="Q396" s="126"/>
      <c r="R396" s="126"/>
      <c r="S396" s="126"/>
      <c r="T396" s="126"/>
      <c r="U396" s="92"/>
      <c r="V396" s="126"/>
      <c r="W396" s="126"/>
      <c r="X396" s="126"/>
      <c r="Y396" s="126"/>
      <c r="Z396" s="83"/>
      <c r="AA396" s="140"/>
      <c r="AB396" s="140"/>
      <c r="AC396" s="140"/>
      <c r="AD396" s="140"/>
      <c r="AE396" s="83"/>
      <c r="AF396" s="83"/>
      <c r="AG396" s="83"/>
      <c r="AH396" s="83"/>
      <c r="AI396" s="83"/>
      <c r="AJ396" s="83"/>
      <c r="AK396" s="83"/>
      <c r="AL396" s="83"/>
      <c r="AM396" s="651"/>
      <c r="AN396" s="83"/>
      <c r="AO396" s="83"/>
      <c r="CA396" s="477"/>
      <c r="CB396" s="478"/>
    </row>
    <row r="397" spans="1:80">
      <c r="A397" s="83"/>
      <c r="B397" s="95"/>
      <c r="C397" s="96"/>
      <c r="D397" s="174" t="s">
        <v>207</v>
      </c>
      <c r="E397" s="174"/>
      <c r="F397" s="174"/>
      <c r="G397" s="175"/>
      <c r="H397" s="654"/>
      <c r="I397" s="654"/>
      <c r="J397" s="654"/>
      <c r="K397" s="654"/>
      <c r="L397" s="655"/>
      <c r="M397" s="655"/>
      <c r="N397" s="655"/>
      <c r="O397" s="655"/>
      <c r="P397" s="654"/>
      <c r="Q397" s="655"/>
      <c r="R397" s="655"/>
      <c r="S397" s="655"/>
      <c r="T397" s="655"/>
      <c r="U397" s="654"/>
      <c r="V397" s="655"/>
      <c r="W397" s="655"/>
      <c r="X397" s="655"/>
      <c r="Y397" s="655"/>
      <c r="Z397" s="654"/>
      <c r="AA397" s="655"/>
      <c r="AB397" s="655"/>
      <c r="AC397" s="655"/>
      <c r="AD397" s="655"/>
      <c r="AE397" s="654"/>
      <c r="AF397" s="654"/>
      <c r="AG397" s="586"/>
      <c r="AH397" s="586"/>
      <c r="AI397" s="586"/>
      <c r="AJ397" s="586"/>
      <c r="AK397" s="586"/>
      <c r="AL397" s="586"/>
      <c r="AM397" s="651"/>
      <c r="AN397" s="83"/>
      <c r="AO397" s="83"/>
      <c r="CA397" s="477"/>
      <c r="CB397" s="478"/>
    </row>
    <row r="398" spans="1:80">
      <c r="A398" s="83"/>
      <c r="B398" s="95"/>
      <c r="C398" s="96"/>
      <c r="D398" s="134" t="s">
        <v>863</v>
      </c>
      <c r="E398" s="134"/>
      <c r="F398" s="134"/>
      <c r="G398" s="259"/>
      <c r="H398" s="477"/>
      <c r="I398" s="477"/>
      <c r="J398" s="477"/>
      <c r="K398" s="477"/>
      <c r="L398" s="976">
        <f>L338/$P$338</f>
        <v>0.24566929133858267</v>
      </c>
      <c r="M398" s="976">
        <f>M338/$P$338</f>
        <v>0.23779527559055116</v>
      </c>
      <c r="N398" s="976">
        <f>N338/$P$338</f>
        <v>0.24724409448818896</v>
      </c>
      <c r="O398" s="976">
        <f>O338/$P$338</f>
        <v>0.26929133858267718</v>
      </c>
      <c r="P398" s="977">
        <v>1</v>
      </c>
      <c r="Q398" s="976">
        <f>Q338/$U$338</f>
        <v>0.27131782945736432</v>
      </c>
      <c r="R398" s="976">
        <f>R338/$U$338</f>
        <v>0.2868217054263566</v>
      </c>
      <c r="S398" s="976">
        <f>S338/$U$338</f>
        <v>0.30813953488372092</v>
      </c>
      <c r="T398" s="976">
        <f>T338/$U$338</f>
        <v>0.13372093023255816</v>
      </c>
      <c r="U398" s="977">
        <v>1</v>
      </c>
      <c r="V398" s="976">
        <f>V338/$Z$338</f>
        <v>0.30144404332129965</v>
      </c>
      <c r="W398" s="976">
        <f>W338/$Z$338</f>
        <v>0.24729241877256317</v>
      </c>
      <c r="X398" s="976">
        <f>X338/$Z$338</f>
        <v>0.20216606498194944</v>
      </c>
      <c r="Y398" s="976">
        <f>Y338/$Z$338</f>
        <v>0.24909747292418774</v>
      </c>
      <c r="Z398" s="977">
        <v>1</v>
      </c>
      <c r="AA398" s="976">
        <f>AA338/$AE$338</f>
        <v>0.24791666666666667</v>
      </c>
      <c r="AB398" s="976">
        <f>AB338/$AE$338</f>
        <v>0.21666666666666667</v>
      </c>
      <c r="AC398" s="122">
        <v>0.26</v>
      </c>
      <c r="AD398" s="998">
        <f>AE398-AA398-AB398-AC398</f>
        <v>0.27541666666666664</v>
      </c>
      <c r="AE398" s="977">
        <v>1</v>
      </c>
      <c r="AF398" s="477"/>
      <c r="AG398" s="134"/>
      <c r="AH398" s="134"/>
      <c r="AI398" s="134"/>
      <c r="AJ398" s="134"/>
      <c r="AK398" s="134"/>
      <c r="AL398" s="134"/>
      <c r="AM398" s="651"/>
      <c r="AN398" s="83"/>
      <c r="AO398" s="83"/>
      <c r="CA398" s="477"/>
      <c r="CB398" s="478"/>
    </row>
    <row r="399" spans="1:80">
      <c r="A399" s="83"/>
      <c r="B399" s="95"/>
      <c r="C399" s="96"/>
      <c r="D399" s="83" t="s">
        <v>265</v>
      </c>
      <c r="E399" s="83"/>
      <c r="F399" s="136"/>
      <c r="G399" s="187"/>
      <c r="H399" s="142">
        <f t="shared" ref="H399:V399" si="419">H373/H368</f>
        <v>0.32539682539682541</v>
      </c>
      <c r="I399" s="142">
        <f t="shared" si="419"/>
        <v>0.19457013574660634</v>
      </c>
      <c r="J399" s="142">
        <f t="shared" si="419"/>
        <v>0.21446384039900249</v>
      </c>
      <c r="K399" s="142">
        <f t="shared" si="419"/>
        <v>0.40437158469945356</v>
      </c>
      <c r="L399" s="191">
        <f t="shared" si="419"/>
        <v>0.45985401459854014</v>
      </c>
      <c r="M399" s="191">
        <f t="shared" si="419"/>
        <v>0.32231404958677684</v>
      </c>
      <c r="N399" s="191">
        <f t="shared" si="419"/>
        <v>0.39449541284403672</v>
      </c>
      <c r="O399" s="191">
        <f t="shared" si="419"/>
        <v>0.39669421487603307</v>
      </c>
      <c r="P399" s="142">
        <f t="shared" si="419"/>
        <v>0.39549180327868855</v>
      </c>
      <c r="Q399" s="191">
        <f t="shared" si="419"/>
        <v>0.25874125874125875</v>
      </c>
      <c r="R399" s="191">
        <f t="shared" si="419"/>
        <v>0.33333333333333331</v>
      </c>
      <c r="S399" s="191">
        <f t="shared" si="419"/>
        <v>0.28301886792452829</v>
      </c>
      <c r="T399" s="191">
        <f t="shared" si="419"/>
        <v>-0.3783783783783784</v>
      </c>
      <c r="U399" s="142">
        <f t="shared" si="419"/>
        <v>0.22588832487309646</v>
      </c>
      <c r="V399" s="191">
        <f t="shared" si="419"/>
        <v>0.41666666666666669</v>
      </c>
      <c r="W399" s="191">
        <f>W373/W368</f>
        <v>0.24242424242424243</v>
      </c>
      <c r="X399" s="191">
        <f>X373/X368</f>
        <v>0.28440366972477066</v>
      </c>
      <c r="Y399" s="191">
        <f>Y373/Y368</f>
        <v>0.51219512195121952</v>
      </c>
      <c r="Z399" s="142">
        <f>Z373/Z368</f>
        <v>0.38461538461538464</v>
      </c>
      <c r="AA399" s="191">
        <f t="shared" ref="AA399" si="420">AA373/AA368</f>
        <v>0.41964285714285715</v>
      </c>
      <c r="AB399" s="143">
        <f t="shared" ref="AB399:AL399" si="421">AB373/AB368</f>
        <v>0.46456692913385828</v>
      </c>
      <c r="AC399" s="143">
        <f t="shared" si="421"/>
        <v>0.59185384390935969</v>
      </c>
      <c r="AD399" s="143">
        <f t="shared" si="421"/>
        <v>0.59185384390935958</v>
      </c>
      <c r="AE399" s="142">
        <f t="shared" si="421"/>
        <v>0.52388353805181798</v>
      </c>
      <c r="AF399" s="142">
        <f t="shared" si="421"/>
        <v>0.59932221032606958</v>
      </c>
      <c r="AG399" s="142">
        <f t="shared" si="421"/>
        <v>0.59932221032606958</v>
      </c>
      <c r="AH399" s="142">
        <f t="shared" si="421"/>
        <v>0.60257975333154867</v>
      </c>
      <c r="AI399" s="142">
        <f t="shared" si="421"/>
        <v>0.55477912012882036</v>
      </c>
      <c r="AJ399" s="142">
        <f t="shared" si="421"/>
        <v>0.55477912012882036</v>
      </c>
      <c r="AK399" s="142">
        <f t="shared" si="421"/>
        <v>0.55477912012882036</v>
      </c>
      <c r="AL399" s="142">
        <f t="shared" si="421"/>
        <v>0.55477912012882036</v>
      </c>
      <c r="AM399" s="651"/>
      <c r="AN399" s="83"/>
      <c r="AO399" s="83"/>
      <c r="CA399" s="477"/>
      <c r="CB399" s="478"/>
    </row>
    <row r="400" spans="1:80">
      <c r="A400" s="83"/>
      <c r="B400" s="95"/>
      <c r="C400" s="96"/>
      <c r="D400" s="83" t="s">
        <v>256</v>
      </c>
      <c r="E400" s="83"/>
      <c r="F400" s="136"/>
      <c r="G400" s="187"/>
      <c r="H400" s="190">
        <f t="shared" ref="H400:V400" si="422">H371/H372</f>
        <v>0.2219679633867277</v>
      </c>
      <c r="I400" s="190">
        <f t="shared" si="422"/>
        <v>0.20179372197309417</v>
      </c>
      <c r="J400" s="190">
        <f t="shared" si="422"/>
        <v>0.19642857142857142</v>
      </c>
      <c r="K400" s="190">
        <f t="shared" si="422"/>
        <v>0.19656019656019655</v>
      </c>
      <c r="L400" s="191">
        <f t="shared" si="422"/>
        <v>0.19565217391304349</v>
      </c>
      <c r="M400" s="191">
        <f t="shared" si="422"/>
        <v>0.17171717171717171</v>
      </c>
      <c r="N400" s="191">
        <f t="shared" si="422"/>
        <v>0.1951219512195122</v>
      </c>
      <c r="O400" s="191">
        <f t="shared" si="422"/>
        <v>0.22340425531914893</v>
      </c>
      <c r="P400" s="190">
        <f t="shared" si="422"/>
        <v>0.19618528610354224</v>
      </c>
      <c r="Q400" s="191">
        <f t="shared" si="422"/>
        <v>0.171875</v>
      </c>
      <c r="R400" s="191">
        <f t="shared" si="422"/>
        <v>0.18181818181818182</v>
      </c>
      <c r="S400" s="191">
        <f t="shared" si="422"/>
        <v>0.21649484536082475</v>
      </c>
      <c r="T400" s="191">
        <f t="shared" si="422"/>
        <v>0.1206896551724138</v>
      </c>
      <c r="U400" s="190">
        <f t="shared" si="422"/>
        <v>0.17789757412398921</v>
      </c>
      <c r="V400" s="191">
        <f t="shared" si="422"/>
        <v>0.23636363636363636</v>
      </c>
      <c r="W400" s="191">
        <f>W371/W372</f>
        <v>0.19354838709677419</v>
      </c>
      <c r="X400" s="191">
        <f>X371/X372</f>
        <v>0.19587628865979381</v>
      </c>
      <c r="Y400" s="191">
        <f>Y371/Y372</f>
        <v>0.23076923076923078</v>
      </c>
      <c r="Z400" s="190">
        <f>Z371/Z372</f>
        <v>0.21613832853025935</v>
      </c>
      <c r="AA400" s="191">
        <f t="shared" ref="AA400" si="423">AA371/AA372</f>
        <v>0.16666666666666666</v>
      </c>
      <c r="AB400" s="191">
        <f t="shared" ref="AB400:AL400" si="424">AB371/AB372</f>
        <v>0.17073170731707318</v>
      </c>
      <c r="AC400" s="191">
        <f t="shared" si="424"/>
        <v>0.22488306480023115</v>
      </c>
      <c r="AD400" s="191">
        <f t="shared" si="424"/>
        <v>0.22488306480023107</v>
      </c>
      <c r="AE400" s="190">
        <f t="shared" si="424"/>
        <v>0.19579896963220436</v>
      </c>
      <c r="AF400" s="190">
        <f t="shared" si="424"/>
        <v>0.2248830648002311</v>
      </c>
      <c r="AG400" s="190">
        <f t="shared" si="424"/>
        <v>0.2248830648002311</v>
      </c>
      <c r="AH400" s="190">
        <f t="shared" si="424"/>
        <v>0.2248830648002311</v>
      </c>
      <c r="AI400" s="190">
        <f t="shared" si="424"/>
        <v>0.2248830648002311</v>
      </c>
      <c r="AJ400" s="190">
        <f t="shared" si="424"/>
        <v>0.2248830648002311</v>
      </c>
      <c r="AK400" s="190">
        <f t="shared" si="424"/>
        <v>0.2248830648002311</v>
      </c>
      <c r="AL400" s="190">
        <f t="shared" si="424"/>
        <v>0.2248830648002311</v>
      </c>
      <c r="AM400" s="651"/>
      <c r="AN400" s="83"/>
      <c r="AO400" s="83"/>
      <c r="CA400" s="477"/>
      <c r="CB400" s="478"/>
    </row>
    <row r="401" spans="1:80">
      <c r="A401" s="83"/>
      <c r="B401" s="95"/>
      <c r="C401" s="96"/>
      <c r="D401" s="162"/>
      <c r="E401" s="162"/>
      <c r="F401" s="83"/>
      <c r="G401" s="95"/>
      <c r="H401" s="95"/>
      <c r="I401" s="95"/>
      <c r="J401" s="95"/>
      <c r="K401" s="95"/>
      <c r="L401" s="126"/>
      <c r="M401" s="126"/>
      <c r="N401" s="126"/>
      <c r="O401" s="126"/>
      <c r="P401" s="95"/>
      <c r="Q401" s="126"/>
      <c r="R401" s="126"/>
      <c r="S401" s="126"/>
      <c r="T401" s="126"/>
      <c r="U401" s="92"/>
      <c r="V401" s="126"/>
      <c r="W401" s="126"/>
      <c r="X401" s="126"/>
      <c r="Y401" s="126"/>
      <c r="Z401" s="83"/>
      <c r="AA401" s="126"/>
      <c r="AB401" s="126"/>
      <c r="AC401" s="126"/>
      <c r="AD401" s="126"/>
      <c r="AE401" s="83"/>
      <c r="AF401" s="83"/>
      <c r="AG401" s="83"/>
      <c r="AH401" s="83"/>
      <c r="AI401" s="83"/>
      <c r="AJ401" s="83"/>
      <c r="AK401" s="83"/>
      <c r="AL401" s="83"/>
      <c r="AM401" s="651"/>
      <c r="AN401" s="83"/>
      <c r="AO401" s="83"/>
      <c r="CA401" s="477"/>
      <c r="CB401" s="478"/>
    </row>
    <row r="402" spans="1:80">
      <c r="A402" s="83"/>
      <c r="B402" s="95"/>
      <c r="C402" s="96"/>
      <c r="D402" s="162"/>
      <c r="E402" s="162"/>
      <c r="F402" s="83"/>
      <c r="G402" s="95"/>
      <c r="H402" s="95"/>
      <c r="I402" s="95"/>
      <c r="J402" s="95"/>
      <c r="K402" s="95"/>
      <c r="L402" s="126"/>
      <c r="M402" s="126"/>
      <c r="N402" s="126"/>
      <c r="O402" s="126"/>
      <c r="P402" s="95"/>
      <c r="Q402" s="126"/>
      <c r="R402" s="126"/>
      <c r="S402" s="126"/>
      <c r="T402" s="126"/>
      <c r="U402" s="92"/>
      <c r="V402" s="126"/>
      <c r="W402" s="126"/>
      <c r="X402" s="126"/>
      <c r="Y402" s="126"/>
      <c r="Z402" s="83"/>
      <c r="AA402" s="126"/>
      <c r="AB402" s="126"/>
      <c r="AC402" s="126"/>
      <c r="AD402" s="126"/>
      <c r="AE402" s="83"/>
      <c r="AF402" s="83"/>
      <c r="AG402" s="83"/>
      <c r="AH402" s="83"/>
      <c r="AI402" s="83"/>
      <c r="AJ402" s="83"/>
      <c r="AK402" s="83"/>
      <c r="AL402" s="83"/>
      <c r="AM402" s="651"/>
      <c r="AN402" s="83"/>
      <c r="AO402" s="83"/>
      <c r="CA402" s="477"/>
      <c r="CB402" s="478"/>
    </row>
    <row r="403" spans="1:80">
      <c r="A403" s="83"/>
      <c r="B403" s="95"/>
      <c r="C403" s="96"/>
      <c r="D403" s="203"/>
      <c r="E403" s="203"/>
      <c r="F403" s="83"/>
      <c r="G403" s="95"/>
      <c r="H403" s="95"/>
      <c r="I403" s="90"/>
      <c r="J403" s="90"/>
      <c r="K403" s="90"/>
      <c r="L403" s="91"/>
      <c r="M403" s="91"/>
      <c r="N403" s="91"/>
      <c r="O403" s="91"/>
      <c r="P403" s="95"/>
      <c r="Q403" s="91"/>
      <c r="R403" s="91"/>
      <c r="S403" s="91"/>
      <c r="T403" s="91"/>
      <c r="U403" s="92"/>
      <c r="V403" s="91"/>
      <c r="W403" s="91"/>
      <c r="X403" s="91"/>
      <c r="Y403" s="91"/>
      <c r="Z403" s="83"/>
      <c r="AA403" s="91"/>
      <c r="AB403" s="91"/>
      <c r="AC403" s="91"/>
      <c r="AD403" s="91"/>
      <c r="AE403" s="83"/>
      <c r="AF403" s="83"/>
      <c r="AG403" s="83"/>
      <c r="AH403" s="83"/>
      <c r="AI403" s="83"/>
      <c r="AJ403" s="83"/>
      <c r="AK403" s="83"/>
      <c r="AL403" s="83"/>
      <c r="AM403" s="651"/>
      <c r="AN403" s="83"/>
      <c r="AO403" s="83"/>
    </row>
    <row r="404" spans="1:80">
      <c r="A404" s="83"/>
      <c r="B404" s="95"/>
      <c r="C404" s="96"/>
      <c r="D404" s="163"/>
      <c r="E404" s="163"/>
      <c r="F404" s="83"/>
      <c r="G404" s="95"/>
      <c r="H404" s="95"/>
      <c r="I404" s="90"/>
      <c r="J404" s="90"/>
      <c r="K404" s="90"/>
      <c r="L404" s="91"/>
      <c r="M404" s="91"/>
      <c r="N404" s="91"/>
      <c r="O404" s="91"/>
      <c r="P404" s="95"/>
      <c r="Q404" s="91"/>
      <c r="R404" s="91"/>
      <c r="S404" s="91"/>
      <c r="T404" s="91"/>
      <c r="U404" s="92"/>
      <c r="V404" s="91"/>
      <c r="W404" s="91"/>
      <c r="X404" s="91"/>
      <c r="Y404" s="91"/>
      <c r="Z404" s="83"/>
      <c r="AA404" s="91"/>
      <c r="AB404" s="91"/>
      <c r="AC404" s="91"/>
      <c r="AD404" s="91"/>
      <c r="AE404" s="83"/>
      <c r="AF404" s="83"/>
      <c r="AG404" s="83"/>
      <c r="AH404" s="83"/>
      <c r="AI404" s="83"/>
      <c r="AJ404" s="83"/>
      <c r="AK404" s="83"/>
      <c r="AL404" s="83"/>
      <c r="AM404" s="651"/>
      <c r="AN404" s="83"/>
      <c r="AO404" s="83"/>
    </row>
    <row r="405" spans="1:80">
      <c r="A405" s="155" t="s">
        <v>40</v>
      </c>
      <c r="B405" s="199" t="s">
        <v>0</v>
      </c>
      <c r="C405" s="204">
        <v>0.9</v>
      </c>
      <c r="D405" s="193" t="s">
        <v>195</v>
      </c>
      <c r="E405" s="193"/>
      <c r="F405" s="161"/>
      <c r="G405" s="194" t="s">
        <v>0</v>
      </c>
      <c r="H405" s="194" t="s">
        <v>0</v>
      </c>
      <c r="I405" s="194" t="s">
        <v>0</v>
      </c>
      <c r="J405" s="194" t="s">
        <v>0</v>
      </c>
      <c r="K405" s="194" t="s">
        <v>0</v>
      </c>
      <c r="L405" s="194"/>
      <c r="M405" s="194"/>
      <c r="N405" s="194"/>
      <c r="O405" s="194"/>
      <c r="P405" s="195" t="s">
        <v>0</v>
      </c>
      <c r="Q405" s="194"/>
      <c r="R405" s="194"/>
      <c r="S405" s="194"/>
      <c r="T405" s="194"/>
      <c r="U405" s="161"/>
      <c r="V405" s="161"/>
      <c r="W405" s="161"/>
      <c r="X405" s="161"/>
      <c r="Y405" s="161"/>
      <c r="Z405" s="161"/>
      <c r="AA405" s="161"/>
      <c r="AB405" s="161"/>
      <c r="AC405" s="161"/>
      <c r="AD405" s="161"/>
      <c r="AE405" s="161"/>
      <c r="AF405" s="161"/>
      <c r="AG405" s="161"/>
      <c r="AH405" s="161"/>
      <c r="AI405" s="161"/>
      <c r="AJ405" s="161"/>
      <c r="AK405" s="161"/>
      <c r="AL405" s="161"/>
      <c r="AM405" s="651"/>
      <c r="AN405" s="161"/>
      <c r="AO405" s="161"/>
      <c r="AP405" s="158"/>
      <c r="AQ405" s="158"/>
      <c r="AR405" s="158"/>
    </row>
    <row r="406" spans="1:80">
      <c r="A406" s="83"/>
      <c r="B406" s="95"/>
      <c r="C406" s="96"/>
      <c r="D406" s="162"/>
      <c r="E406" s="162"/>
      <c r="F406" s="83"/>
      <c r="G406" s="95"/>
      <c r="H406" s="95"/>
      <c r="I406" s="95"/>
      <c r="J406" s="95"/>
      <c r="K406" s="95"/>
      <c r="L406" s="126"/>
      <c r="M406" s="126"/>
      <c r="N406" s="126"/>
      <c r="O406" s="126"/>
      <c r="P406" s="95"/>
      <c r="Q406" s="126"/>
      <c r="R406" s="126"/>
      <c r="S406" s="126"/>
      <c r="T406" s="126"/>
      <c r="U406" s="92"/>
      <c r="V406" s="126"/>
      <c r="W406" s="126"/>
      <c r="X406" s="126"/>
      <c r="Y406" s="126"/>
      <c r="Z406" s="92"/>
      <c r="AA406" s="99"/>
      <c r="AB406" s="99"/>
      <c r="AC406" s="99"/>
      <c r="AD406" s="99"/>
      <c r="AE406" s="92"/>
      <c r="AF406" s="92"/>
      <c r="AG406" s="92"/>
      <c r="AH406" s="92"/>
      <c r="AI406" s="92"/>
      <c r="AJ406" s="92"/>
      <c r="AK406" s="92"/>
      <c r="AL406" s="83"/>
      <c r="AM406" s="651"/>
      <c r="AN406" s="83"/>
      <c r="AO406" s="83"/>
    </row>
    <row r="407" spans="1:80">
      <c r="A407" s="83"/>
      <c r="B407" s="95"/>
      <c r="C407" s="96"/>
      <c r="D407" s="162"/>
      <c r="E407" s="162"/>
      <c r="F407" s="83"/>
      <c r="G407" s="95"/>
      <c r="H407" s="95"/>
      <c r="I407" s="95"/>
      <c r="J407" s="95"/>
      <c r="K407" s="95"/>
      <c r="L407" s="126"/>
      <c r="M407" s="126"/>
      <c r="N407" s="126"/>
      <c r="O407" s="126"/>
      <c r="P407" s="95"/>
      <c r="Q407" s="126"/>
      <c r="R407" s="126"/>
      <c r="S407" s="126"/>
      <c r="T407" s="126"/>
      <c r="U407" s="92"/>
      <c r="V407" s="126"/>
      <c r="W407" s="126"/>
      <c r="X407" s="126"/>
      <c r="Y407" s="126"/>
      <c r="Z407" s="92"/>
      <c r="AA407" s="99"/>
      <c r="AB407" s="99"/>
      <c r="AC407" s="99"/>
      <c r="AD407" s="99"/>
      <c r="AE407" s="92"/>
      <c r="AF407" s="92"/>
      <c r="AG407" s="92"/>
      <c r="AH407" s="92"/>
      <c r="AI407" s="92"/>
      <c r="AJ407" s="92"/>
      <c r="AK407" s="92"/>
      <c r="AL407" s="83"/>
      <c r="AM407" s="651"/>
      <c r="AN407" s="83"/>
      <c r="AO407" s="83"/>
    </row>
    <row r="408" spans="1:80">
      <c r="A408" s="83"/>
      <c r="B408" s="95"/>
      <c r="C408" s="96"/>
      <c r="D408" s="162"/>
      <c r="E408" s="162"/>
      <c r="F408" s="83"/>
      <c r="G408" s="95"/>
      <c r="H408" s="95"/>
      <c r="I408" s="95"/>
      <c r="J408" s="95"/>
      <c r="K408" s="95"/>
      <c r="L408" s="126"/>
      <c r="M408" s="126"/>
      <c r="N408" s="126"/>
      <c r="O408" s="126"/>
      <c r="P408" s="95"/>
      <c r="Q408" s="126"/>
      <c r="R408" s="126"/>
      <c r="S408" s="126"/>
      <c r="T408" s="126"/>
      <c r="U408" s="92"/>
      <c r="V408" s="126"/>
      <c r="W408" s="126"/>
      <c r="X408" s="126"/>
      <c r="Y408" s="126"/>
      <c r="Z408" s="92"/>
      <c r="AA408" s="99"/>
      <c r="AB408" s="99"/>
      <c r="AC408" s="99"/>
      <c r="AD408" s="99"/>
      <c r="AE408" s="92"/>
      <c r="AF408" s="92"/>
      <c r="AG408" s="92"/>
      <c r="AH408" s="92"/>
      <c r="AI408" s="92"/>
      <c r="AJ408" s="92"/>
      <c r="AK408" s="92"/>
      <c r="AL408" s="83"/>
      <c r="AM408" s="651"/>
      <c r="AN408" s="83"/>
      <c r="AO408" s="83"/>
    </row>
    <row r="409" spans="1:80">
      <c r="A409" s="83"/>
      <c r="B409" s="95"/>
      <c r="C409" s="96"/>
      <c r="D409" s="554" t="s">
        <v>641</v>
      </c>
      <c r="E409" s="653"/>
      <c r="F409" s="586"/>
      <c r="G409" s="605"/>
      <c r="H409" s="605"/>
      <c r="I409" s="605"/>
      <c r="J409" s="605"/>
      <c r="K409" s="605"/>
      <c r="L409" s="182"/>
      <c r="M409" s="182"/>
      <c r="N409" s="182"/>
      <c r="O409" s="182"/>
      <c r="P409" s="605"/>
      <c r="Q409" s="182"/>
      <c r="R409" s="182"/>
      <c r="S409" s="182"/>
      <c r="T409" s="182"/>
      <c r="U409" s="588"/>
      <c r="V409" s="182"/>
      <c r="W409" s="182"/>
      <c r="X409" s="182"/>
      <c r="Y409" s="182"/>
      <c r="Z409" s="588"/>
      <c r="AA409" s="307"/>
      <c r="AB409" s="307"/>
      <c r="AC409" s="307"/>
      <c r="AD409" s="307"/>
      <c r="AE409" s="588"/>
      <c r="AF409" s="588"/>
      <c r="AG409" s="588"/>
      <c r="AH409" s="588"/>
      <c r="AI409" s="588"/>
      <c r="AJ409" s="588"/>
      <c r="AK409" s="588"/>
      <c r="AL409" s="586"/>
      <c r="AM409" s="651"/>
      <c r="AN409" s="83"/>
      <c r="AO409" s="83"/>
    </row>
    <row r="410" spans="1:80">
      <c r="A410" s="83"/>
      <c r="B410" s="95" t="s">
        <v>640</v>
      </c>
      <c r="C410" s="96"/>
      <c r="D410" s="163" t="s">
        <v>690</v>
      </c>
      <c r="E410" s="162"/>
      <c r="F410" s="83"/>
      <c r="G410" s="90">
        <v>56</v>
      </c>
      <c r="H410" s="90">
        <v>48</v>
      </c>
      <c r="I410" s="90">
        <v>39</v>
      </c>
      <c r="J410" s="90">
        <v>35</v>
      </c>
      <c r="K410" s="90">
        <v>23</v>
      </c>
      <c r="L410" s="86">
        <v>6.1</v>
      </c>
      <c r="M410" s="86">
        <v>6.9</v>
      </c>
      <c r="N410" s="86">
        <v>6.5</v>
      </c>
      <c r="O410" s="86">
        <v>6</v>
      </c>
      <c r="P410" s="90">
        <v>25.5</v>
      </c>
      <c r="Q410" s="86">
        <v>5.6</v>
      </c>
      <c r="R410" s="86">
        <v>5.5</v>
      </c>
      <c r="S410" s="86">
        <v>4.8</v>
      </c>
      <c r="T410" s="86">
        <v>5.2</v>
      </c>
      <c r="U410" s="90">
        <v>21.1</v>
      </c>
      <c r="V410" s="86">
        <v>3.3</v>
      </c>
      <c r="W410" s="86">
        <v>3.5</v>
      </c>
      <c r="X410" s="86">
        <v>3.3</v>
      </c>
      <c r="Y410" s="86">
        <v>3.3</v>
      </c>
      <c r="Z410" s="90">
        <v>13.4</v>
      </c>
      <c r="AA410" s="1022">
        <v>2.9</v>
      </c>
      <c r="AB410" s="1022">
        <v>3</v>
      </c>
      <c r="AC410" s="1178">
        <f>AE410*AC447</f>
        <v>2.2000000000000002</v>
      </c>
      <c r="AD410" s="1196">
        <f>AE410*AD447</f>
        <v>1.8999999999999997</v>
      </c>
      <c r="AE410" s="127">
        <v>10</v>
      </c>
      <c r="AF410" s="581">
        <v>34</v>
      </c>
      <c r="AG410" s="581">
        <v>84</v>
      </c>
      <c r="AH410" s="581">
        <v>142</v>
      </c>
      <c r="AI410" s="581">
        <v>200</v>
      </c>
      <c r="AJ410" s="581">
        <v>220</v>
      </c>
      <c r="AK410" s="581">
        <v>220</v>
      </c>
      <c r="AL410" s="581">
        <v>220</v>
      </c>
      <c r="AM410" s="651"/>
      <c r="AN410" s="83"/>
      <c r="AO410" s="83"/>
    </row>
    <row r="411" spans="1:80">
      <c r="A411" s="83"/>
      <c r="B411" s="95"/>
      <c r="C411" s="96"/>
      <c r="D411" s="163"/>
      <c r="E411" s="162"/>
      <c r="F411" s="83"/>
      <c r="G411" s="95"/>
      <c r="H411" s="95"/>
      <c r="I411" s="95"/>
      <c r="J411" s="95"/>
      <c r="K411" s="95"/>
      <c r="L411" s="126"/>
      <c r="M411" s="126"/>
      <c r="N411" s="126"/>
      <c r="O411" s="126"/>
      <c r="P411" s="95"/>
      <c r="Q411" s="126"/>
      <c r="R411" s="126"/>
      <c r="S411" s="126"/>
      <c r="T411" s="126"/>
      <c r="U411" s="92"/>
      <c r="V411" s="126"/>
      <c r="W411" s="91"/>
      <c r="X411" s="91"/>
      <c r="Y411" s="126"/>
      <c r="Z411" s="92"/>
      <c r="AA411" s="91"/>
      <c r="AB411" s="91"/>
      <c r="AC411" s="97"/>
      <c r="AD411" s="97"/>
      <c r="AE411" s="92"/>
      <c r="AF411" s="92"/>
      <c r="AG411" s="92"/>
      <c r="AH411" s="92"/>
      <c r="AI411" s="92"/>
      <c r="AJ411" s="92"/>
      <c r="AK411" s="92"/>
      <c r="AL411" s="83"/>
      <c r="AM411" s="651"/>
      <c r="AN411" s="83"/>
      <c r="AO411" s="83"/>
    </row>
    <row r="412" spans="1:80">
      <c r="A412" s="83"/>
      <c r="B412" s="95"/>
      <c r="C412" s="96"/>
      <c r="D412" s="554" t="s">
        <v>617</v>
      </c>
      <c r="E412" s="653"/>
      <c r="F412" s="586"/>
      <c r="G412" s="605"/>
      <c r="H412" s="605"/>
      <c r="I412" s="605"/>
      <c r="J412" s="605"/>
      <c r="K412" s="605"/>
      <c r="L412" s="182"/>
      <c r="M412" s="182"/>
      <c r="N412" s="182"/>
      <c r="O412" s="182"/>
      <c r="P412" s="605"/>
      <c r="Q412" s="182"/>
      <c r="R412" s="182"/>
      <c r="S412" s="182"/>
      <c r="T412" s="182"/>
      <c r="U412" s="588"/>
      <c r="V412" s="182"/>
      <c r="W412" s="177"/>
      <c r="X412" s="177"/>
      <c r="Y412" s="182"/>
      <c r="Z412" s="588"/>
      <c r="AA412" s="177"/>
      <c r="AB412" s="177"/>
      <c r="AC412" s="207"/>
      <c r="AD412" s="207"/>
      <c r="AE412" s="588"/>
      <c r="AF412" s="588"/>
      <c r="AG412" s="588"/>
      <c r="AH412" s="588"/>
      <c r="AI412" s="588"/>
      <c r="AJ412" s="588"/>
      <c r="AK412" s="588"/>
      <c r="AL412" s="586"/>
      <c r="AM412" s="651"/>
      <c r="AN412" s="83"/>
      <c r="AO412" s="83"/>
    </row>
    <row r="413" spans="1:80">
      <c r="A413" s="83"/>
      <c r="B413" s="95" t="s">
        <v>640</v>
      </c>
      <c r="C413" s="96"/>
      <c r="D413" s="163" t="s">
        <v>690</v>
      </c>
      <c r="E413" s="162"/>
      <c r="F413" s="83"/>
      <c r="G413" s="90">
        <v>55</v>
      </c>
      <c r="H413" s="90">
        <v>49</v>
      </c>
      <c r="I413" s="90">
        <v>40</v>
      </c>
      <c r="J413" s="90">
        <v>35</v>
      </c>
      <c r="K413" s="90">
        <v>23</v>
      </c>
      <c r="L413" s="86">
        <v>6.3</v>
      </c>
      <c r="M413" s="86">
        <v>7.1</v>
      </c>
      <c r="N413" s="86">
        <v>7</v>
      </c>
      <c r="O413" s="86">
        <v>5.7</v>
      </c>
      <c r="P413" s="90">
        <v>26.1</v>
      </c>
      <c r="Q413" s="86">
        <v>5.8</v>
      </c>
      <c r="R413" s="86">
        <v>5.0999999999999996</v>
      </c>
      <c r="S413" s="86">
        <v>4.9000000000000004</v>
      </c>
      <c r="T413" s="86">
        <v>5.3</v>
      </c>
      <c r="U413" s="90">
        <v>21.1</v>
      </c>
      <c r="V413" s="86">
        <v>3.7</v>
      </c>
      <c r="W413" s="86">
        <v>3.3</v>
      </c>
      <c r="X413" s="86">
        <v>3.5</v>
      </c>
      <c r="Y413" s="86">
        <v>3.4</v>
      </c>
      <c r="Z413" s="90">
        <v>13.9</v>
      </c>
      <c r="AA413" s="86">
        <v>2.7</v>
      </c>
      <c r="AB413" s="86">
        <v>2.8</v>
      </c>
      <c r="AC413" s="87">
        <f>AC410</f>
        <v>2.2000000000000002</v>
      </c>
      <c r="AD413" s="87">
        <f>AD410</f>
        <v>1.8999999999999997</v>
      </c>
      <c r="AE413" s="94">
        <f t="shared" ref="AE413:AL413" si="425">AE410</f>
        <v>10</v>
      </c>
      <c r="AF413" s="94">
        <f t="shared" si="425"/>
        <v>34</v>
      </c>
      <c r="AG413" s="94">
        <f t="shared" si="425"/>
        <v>84</v>
      </c>
      <c r="AH413" s="94">
        <f t="shared" si="425"/>
        <v>142</v>
      </c>
      <c r="AI413" s="94">
        <f t="shared" si="425"/>
        <v>200</v>
      </c>
      <c r="AJ413" s="94">
        <f t="shared" si="425"/>
        <v>220</v>
      </c>
      <c r="AK413" s="94">
        <f t="shared" si="425"/>
        <v>220</v>
      </c>
      <c r="AL413" s="94">
        <f t="shared" si="425"/>
        <v>220</v>
      </c>
      <c r="AM413" s="651"/>
      <c r="AN413" s="83"/>
      <c r="AO413" s="83"/>
    </row>
    <row r="414" spans="1:80">
      <c r="A414" s="83"/>
      <c r="B414" s="95"/>
      <c r="C414" s="96"/>
      <c r="D414" s="163"/>
      <c r="E414" s="162"/>
      <c r="F414" s="83"/>
      <c r="L414" s="133"/>
      <c r="M414" s="133"/>
      <c r="N414" s="133"/>
      <c r="O414" s="133"/>
      <c r="Q414" s="133"/>
      <c r="R414" s="133"/>
      <c r="S414" s="133"/>
      <c r="T414" s="133"/>
      <c r="V414" s="133"/>
      <c r="W414" s="133"/>
      <c r="X414" s="133"/>
      <c r="Y414" s="133"/>
      <c r="AA414" s="133"/>
      <c r="AB414" s="133"/>
      <c r="AC414" s="133"/>
      <c r="AD414" s="133"/>
      <c r="AJ414" s="92"/>
      <c r="AK414" s="92"/>
      <c r="AL414" s="83"/>
      <c r="AM414" s="651"/>
      <c r="AN414" s="83"/>
      <c r="AO414" s="83"/>
    </row>
    <row r="415" spans="1:80">
      <c r="A415" s="83"/>
      <c r="B415" s="95"/>
      <c r="C415" s="96"/>
      <c r="D415" s="163"/>
      <c r="E415" s="162"/>
      <c r="F415" s="83"/>
      <c r="G415" s="95"/>
      <c r="H415" s="95"/>
      <c r="I415" s="95"/>
      <c r="J415" s="95"/>
      <c r="K415" s="95"/>
      <c r="L415" s="126"/>
      <c r="M415" s="126"/>
      <c r="N415" s="126"/>
      <c r="O415" s="126"/>
      <c r="P415" s="95"/>
      <c r="Q415" s="126"/>
      <c r="R415" s="126"/>
      <c r="S415" s="126"/>
      <c r="T415" s="126"/>
      <c r="U415" s="92"/>
      <c r="V415" s="126"/>
      <c r="W415" s="126"/>
      <c r="X415" s="126"/>
      <c r="Y415" s="126"/>
      <c r="Z415" s="92"/>
      <c r="AA415" s="99"/>
      <c r="AB415" s="99"/>
      <c r="AC415" s="99"/>
      <c r="AD415" s="99"/>
      <c r="AE415" s="92"/>
      <c r="AF415" s="92"/>
      <c r="AG415" s="92"/>
      <c r="AH415" s="92"/>
      <c r="AI415" s="92"/>
      <c r="AJ415" s="92"/>
      <c r="AK415" s="92"/>
      <c r="AL415" s="83"/>
      <c r="AM415" s="651"/>
      <c r="AN415" s="83"/>
      <c r="AO415" s="83"/>
    </row>
    <row r="416" spans="1:80">
      <c r="A416" s="83"/>
      <c r="B416" s="95"/>
      <c r="C416" s="96"/>
      <c r="D416" s="554" t="s">
        <v>621</v>
      </c>
      <c r="E416" s="653"/>
      <c r="F416" s="586"/>
      <c r="G416" s="605"/>
      <c r="H416" s="605"/>
      <c r="I416" s="605"/>
      <c r="J416" s="605"/>
      <c r="K416" s="605"/>
      <c r="L416" s="182"/>
      <c r="M416" s="182"/>
      <c r="N416" s="182"/>
      <c r="O416" s="182"/>
      <c r="P416" s="605"/>
      <c r="Q416" s="182"/>
      <c r="R416" s="182"/>
      <c r="S416" s="182"/>
      <c r="T416" s="182"/>
      <c r="U416" s="588"/>
      <c r="V416" s="182"/>
      <c r="W416" s="182"/>
      <c r="X416" s="182"/>
      <c r="Y416" s="182"/>
      <c r="Z416" s="588"/>
      <c r="AA416" s="705"/>
      <c r="AB416" s="705"/>
      <c r="AC416" s="705"/>
      <c r="AD416" s="705"/>
      <c r="AE416" s="588"/>
      <c r="AF416" s="588"/>
      <c r="AG416" s="588"/>
      <c r="AH416" s="588"/>
      <c r="AI416" s="588"/>
      <c r="AJ416" s="588"/>
      <c r="AK416" s="588"/>
      <c r="AL416" s="586"/>
      <c r="AM416" s="651"/>
      <c r="AN416" s="83"/>
      <c r="AO416" s="83"/>
    </row>
    <row r="417" spans="1:41">
      <c r="A417" s="83"/>
      <c r="B417" s="95" t="s">
        <v>618</v>
      </c>
      <c r="C417" s="96"/>
      <c r="D417" s="163" t="s">
        <v>146</v>
      </c>
      <c r="E417" s="162"/>
      <c r="F417" s="83"/>
      <c r="G417" s="170">
        <f t="shared" ref="G417:V417" si="426">G16</f>
        <v>3.32</v>
      </c>
      <c r="H417" s="170">
        <f t="shared" si="426"/>
        <v>3.11</v>
      </c>
      <c r="I417" s="170">
        <f t="shared" si="426"/>
        <v>2.4900000000000002</v>
      </c>
      <c r="J417" s="170">
        <f t="shared" si="426"/>
        <v>2.21</v>
      </c>
      <c r="K417" s="170">
        <f t="shared" si="426"/>
        <v>2.8</v>
      </c>
      <c r="L417" s="171">
        <f t="shared" si="426"/>
        <v>3.16</v>
      </c>
      <c r="M417" s="171">
        <f t="shared" si="426"/>
        <v>3.12</v>
      </c>
      <c r="N417" s="171">
        <f t="shared" si="426"/>
        <v>2.77</v>
      </c>
      <c r="O417" s="171">
        <f t="shared" si="426"/>
        <v>2.8</v>
      </c>
      <c r="P417" s="170">
        <f t="shared" si="426"/>
        <v>2.96</v>
      </c>
      <c r="Q417" s="171">
        <f t="shared" si="426"/>
        <v>2.82</v>
      </c>
      <c r="R417" s="171">
        <f t="shared" si="426"/>
        <v>2.77</v>
      </c>
      <c r="S417" s="171">
        <f t="shared" si="426"/>
        <v>2.63</v>
      </c>
      <c r="T417" s="171">
        <f t="shared" si="426"/>
        <v>2.67</v>
      </c>
      <c r="U417" s="170">
        <f t="shared" si="426"/>
        <v>2.72</v>
      </c>
      <c r="V417" s="171">
        <f t="shared" si="426"/>
        <v>2.5567456964982314</v>
      </c>
      <c r="W417" s="171">
        <f>W16</f>
        <v>2.4255515593495116</v>
      </c>
      <c r="X417" s="171">
        <f>X16</f>
        <v>2.953751659752748</v>
      </c>
      <c r="Y417" s="171">
        <f>Y16</f>
        <v>3.250681813027307</v>
      </c>
      <c r="Z417" s="769">
        <f>AVERAGE(V417:Y417)</f>
        <v>2.7966826821569493</v>
      </c>
      <c r="AA417" s="171">
        <f>AA16</f>
        <v>3.8572270965902482</v>
      </c>
      <c r="AB417" s="171">
        <f t="shared" ref="AB417:AL417" si="427">AB16</f>
        <v>4.393529804250937</v>
      </c>
      <c r="AC417" s="171">
        <f t="shared" si="427"/>
        <v>4.1730926245123836</v>
      </c>
      <c r="AD417" s="171">
        <f t="shared" si="427"/>
        <v>4.1730926245123836</v>
      </c>
      <c r="AE417" s="769">
        <f>AVERAGE(AA417:AD417)</f>
        <v>4.1492355374664882</v>
      </c>
      <c r="AF417" s="170">
        <f t="shared" si="427"/>
        <v>4.3148820326678763</v>
      </c>
      <c r="AG417" s="170">
        <f t="shared" si="427"/>
        <v>4.3148820326678763</v>
      </c>
      <c r="AH417" s="170">
        <f t="shared" si="427"/>
        <v>4.3148820326678763</v>
      </c>
      <c r="AI417" s="170">
        <f t="shared" si="427"/>
        <v>3.8688787081556746</v>
      </c>
      <c r="AJ417" s="170">
        <f t="shared" si="427"/>
        <v>3.8688787081556746</v>
      </c>
      <c r="AK417" s="170">
        <f t="shared" si="427"/>
        <v>3.8688787081556746</v>
      </c>
      <c r="AL417" s="170">
        <f t="shared" si="427"/>
        <v>3.8688787081556746</v>
      </c>
      <c r="AM417" s="651"/>
      <c r="AN417" s="83"/>
      <c r="AO417" s="83"/>
    </row>
    <row r="418" spans="1:41">
      <c r="A418" s="83"/>
      <c r="B418" s="95" t="s">
        <v>619</v>
      </c>
      <c r="C418" s="96"/>
      <c r="D418" s="163" t="s">
        <v>692</v>
      </c>
      <c r="E418" s="162"/>
      <c r="F418" s="83"/>
      <c r="G418" s="170">
        <f t="shared" ref="G418:U418" si="428">G23</f>
        <v>1.03</v>
      </c>
      <c r="H418" s="170">
        <f t="shared" si="428"/>
        <v>1.1046</v>
      </c>
      <c r="I418" s="170">
        <f t="shared" si="428"/>
        <v>1.2789999999999999</v>
      </c>
      <c r="J418" s="170">
        <f t="shared" si="428"/>
        <v>1.3248</v>
      </c>
      <c r="K418" s="170">
        <f t="shared" si="428"/>
        <v>1.2982</v>
      </c>
      <c r="L418" s="171">
        <f t="shared" si="428"/>
        <v>1.2647999999999999</v>
      </c>
      <c r="M418" s="171">
        <f t="shared" si="428"/>
        <v>1.2907999999999999</v>
      </c>
      <c r="N418" s="171">
        <f t="shared" si="428"/>
        <v>1.3068</v>
      </c>
      <c r="O418" s="171">
        <f t="shared" si="428"/>
        <v>1.3218000000000001</v>
      </c>
      <c r="P418" s="170">
        <f t="shared" si="428"/>
        <v>1.2961</v>
      </c>
      <c r="Q418" s="171">
        <f t="shared" si="428"/>
        <v>1.3295999999999999</v>
      </c>
      <c r="R418" s="171">
        <f t="shared" si="428"/>
        <v>1.3376999999999999</v>
      </c>
      <c r="S418" s="171">
        <f t="shared" si="428"/>
        <v>1.3204</v>
      </c>
      <c r="T418" s="171">
        <f t="shared" si="428"/>
        <v>1.3198000000000001</v>
      </c>
      <c r="U418" s="170">
        <f t="shared" si="428"/>
        <v>1.3268</v>
      </c>
      <c r="V418" s="171">
        <f>V23</f>
        <v>1.3436999999999999</v>
      </c>
      <c r="W418" s="171">
        <f>W23</f>
        <v>1.3858999999999999</v>
      </c>
      <c r="X418" s="171">
        <f>X23</f>
        <v>1.3326</v>
      </c>
      <c r="Y418" s="171">
        <f>Y23</f>
        <v>1.3027</v>
      </c>
      <c r="Z418" s="769">
        <f>AVERAGE(V418:Y418)</f>
        <v>1.3412249999999999</v>
      </c>
      <c r="AA418" s="171">
        <f>AA23</f>
        <v>1.266</v>
      </c>
      <c r="AB418" s="171">
        <f t="shared" ref="AB418:AL418" si="429">AB23</f>
        <v>1.2287999999999999</v>
      </c>
      <c r="AC418" s="171">
        <f t="shared" si="429"/>
        <v>1.24</v>
      </c>
      <c r="AD418" s="171">
        <f t="shared" si="429"/>
        <v>1.24</v>
      </c>
      <c r="AE418" s="769">
        <f>AVERAGE(AA418:AD418)</f>
        <v>1.2437</v>
      </c>
      <c r="AF418" s="170">
        <f t="shared" si="429"/>
        <v>1.22</v>
      </c>
      <c r="AG418" s="170">
        <f t="shared" si="429"/>
        <v>1.22</v>
      </c>
      <c r="AH418" s="170">
        <f t="shared" si="429"/>
        <v>1.23</v>
      </c>
      <c r="AI418" s="170">
        <f t="shared" si="429"/>
        <v>1.23</v>
      </c>
      <c r="AJ418" s="170">
        <f t="shared" si="429"/>
        <v>1.23</v>
      </c>
      <c r="AK418" s="170">
        <f t="shared" si="429"/>
        <v>1.23</v>
      </c>
      <c r="AL418" s="170">
        <f t="shared" si="429"/>
        <v>1.23</v>
      </c>
      <c r="AM418" s="651"/>
      <c r="AN418" s="83"/>
      <c r="AO418" s="83"/>
    </row>
    <row r="419" spans="1:41">
      <c r="A419" s="83"/>
      <c r="B419" s="95"/>
      <c r="C419" s="96"/>
      <c r="D419" s="163"/>
      <c r="E419" s="162"/>
      <c r="F419" s="83"/>
      <c r="G419" s="95"/>
      <c r="H419" s="95"/>
      <c r="I419" s="95"/>
      <c r="J419" s="95"/>
      <c r="K419" s="95"/>
      <c r="L419" s="126"/>
      <c r="M419" s="126"/>
      <c r="N419" s="126"/>
      <c r="O419" s="126"/>
      <c r="P419" s="95"/>
      <c r="Q419" s="126"/>
      <c r="R419" s="126"/>
      <c r="S419" s="126"/>
      <c r="T419" s="126"/>
      <c r="U419" s="92"/>
      <c r="V419" s="126"/>
      <c r="W419" s="126"/>
      <c r="X419" s="126"/>
      <c r="Y419" s="126"/>
      <c r="Z419" s="92"/>
      <c r="AA419" s="99"/>
      <c r="AB419" s="99"/>
      <c r="AC419" s="99"/>
      <c r="AD419" s="99"/>
      <c r="AE419" s="92"/>
      <c r="AF419" s="92"/>
      <c r="AG419" s="92"/>
      <c r="AH419" s="92"/>
      <c r="AI419" s="92"/>
      <c r="AJ419" s="92"/>
      <c r="AK419" s="92"/>
      <c r="AL419" s="83"/>
      <c r="AM419" s="651"/>
      <c r="AN419" s="83"/>
      <c r="AO419" s="83"/>
    </row>
    <row r="420" spans="1:41">
      <c r="A420" s="83"/>
      <c r="B420" s="95"/>
      <c r="C420" s="96"/>
      <c r="D420" s="163"/>
      <c r="E420" s="162"/>
      <c r="F420" s="83"/>
      <c r="G420" s="95"/>
      <c r="H420" s="95"/>
      <c r="I420" s="95"/>
      <c r="J420" s="95"/>
      <c r="K420" s="95"/>
      <c r="L420" s="126"/>
      <c r="M420" s="126"/>
      <c r="N420" s="126"/>
      <c r="O420" s="126"/>
      <c r="P420" s="95"/>
      <c r="Q420" s="126"/>
      <c r="R420" s="126"/>
      <c r="S420" s="126"/>
      <c r="T420" s="126"/>
      <c r="U420" s="92"/>
      <c r="V420" s="126"/>
      <c r="W420" s="126"/>
      <c r="X420" s="126"/>
      <c r="Y420" s="126"/>
      <c r="Z420" s="92"/>
      <c r="AA420" s="99"/>
      <c r="AB420" s="99"/>
      <c r="AC420" s="99"/>
      <c r="AD420" s="99"/>
      <c r="AE420" s="92"/>
      <c r="AF420" s="92"/>
      <c r="AG420" s="92"/>
      <c r="AH420" s="92"/>
      <c r="AI420" s="92"/>
      <c r="AJ420" s="92"/>
      <c r="AK420" s="92"/>
      <c r="AL420" s="83"/>
      <c r="AM420" s="651"/>
      <c r="AN420" s="83"/>
      <c r="AO420" s="83"/>
    </row>
    <row r="421" spans="1:41">
      <c r="A421" s="83"/>
      <c r="B421" s="95"/>
      <c r="C421" s="96"/>
      <c r="D421" s="162"/>
      <c r="E421" s="162"/>
      <c r="F421" s="83"/>
      <c r="G421" s="95"/>
      <c r="H421" s="95"/>
      <c r="I421" s="95"/>
      <c r="J421" s="95"/>
      <c r="K421" s="95"/>
      <c r="L421" s="126"/>
      <c r="M421" s="126"/>
      <c r="N421" s="126"/>
      <c r="O421" s="126"/>
      <c r="P421" s="95"/>
      <c r="Q421" s="126"/>
      <c r="R421" s="126"/>
      <c r="S421" s="126"/>
      <c r="T421" s="126"/>
      <c r="U421" s="92"/>
      <c r="V421" s="126"/>
      <c r="W421" s="126"/>
      <c r="X421" s="126"/>
      <c r="Y421" s="126"/>
      <c r="Z421" s="92"/>
      <c r="AA421" s="99"/>
      <c r="AB421" s="99"/>
      <c r="AC421" s="99"/>
      <c r="AD421" s="99"/>
      <c r="AE421" s="92"/>
      <c r="AF421" s="92"/>
      <c r="AG421" s="92"/>
      <c r="AH421" s="92"/>
      <c r="AI421" s="92"/>
      <c r="AJ421" s="92"/>
      <c r="AK421" s="92"/>
      <c r="AL421" s="83"/>
      <c r="AM421" s="651"/>
      <c r="AN421" s="83"/>
      <c r="AO421" s="83"/>
    </row>
    <row r="422" spans="1:41">
      <c r="A422" s="83"/>
      <c r="B422" s="95"/>
      <c r="C422" s="96"/>
      <c r="D422" s="554" t="s">
        <v>691</v>
      </c>
      <c r="E422" s="653"/>
      <c r="F422" s="586"/>
      <c r="G422" s="605"/>
      <c r="H422" s="605"/>
      <c r="I422" s="605"/>
      <c r="J422" s="605"/>
      <c r="K422" s="605"/>
      <c r="L422" s="182"/>
      <c r="M422" s="182"/>
      <c r="N422" s="182"/>
      <c r="O422" s="182"/>
      <c r="P422" s="605"/>
      <c r="Q422" s="182"/>
      <c r="R422" s="182"/>
      <c r="S422" s="182"/>
      <c r="T422" s="182"/>
      <c r="U422" s="588"/>
      <c r="V422" s="182"/>
      <c r="W422" s="182"/>
      <c r="X422" s="182"/>
      <c r="Y422" s="182"/>
      <c r="Z422" s="588"/>
      <c r="AA422" s="705"/>
      <c r="AB422" s="705"/>
      <c r="AC422" s="705"/>
      <c r="AD422" s="705"/>
      <c r="AE422" s="588"/>
      <c r="AF422" s="588"/>
      <c r="AG422" s="588"/>
      <c r="AH422" s="588"/>
      <c r="AI422" s="588"/>
      <c r="AJ422" s="588"/>
      <c r="AK422" s="588"/>
      <c r="AL422" s="586"/>
      <c r="AM422" s="651"/>
      <c r="AN422" s="83"/>
      <c r="AO422" s="83"/>
    </row>
    <row r="423" spans="1:41">
      <c r="A423" s="83"/>
      <c r="B423" s="95" t="s">
        <v>631</v>
      </c>
      <c r="C423" s="96"/>
      <c r="D423" s="653" t="s">
        <v>689</v>
      </c>
      <c r="E423" s="653"/>
      <c r="F423" s="586"/>
      <c r="G423" s="605">
        <f t="shared" ref="G423:L423" si="430">((G417*2204.6)*G413)/1000</f>
        <v>402.55995999999999</v>
      </c>
      <c r="H423" s="605">
        <f t="shared" si="430"/>
        <v>335.95899400000002</v>
      </c>
      <c r="I423" s="605">
        <f t="shared" si="430"/>
        <v>219.57816000000003</v>
      </c>
      <c r="J423" s="605">
        <f t="shared" si="430"/>
        <v>170.52581000000001</v>
      </c>
      <c r="K423" s="605">
        <f t="shared" si="430"/>
        <v>141.97623999999999</v>
      </c>
      <c r="L423" s="182">
        <f t="shared" si="430"/>
        <v>43.889176800000001</v>
      </c>
      <c r="M423" s="182">
        <f t="shared" ref="M423:U423" si="431">((M417*2204.6)*M413)/1000</f>
        <v>48.836299199999992</v>
      </c>
      <c r="N423" s="182">
        <f t="shared" si="431"/>
        <v>42.747194</v>
      </c>
      <c r="O423" s="182">
        <f t="shared" si="431"/>
        <v>35.185415999999996</v>
      </c>
      <c r="P423" s="605">
        <f t="shared" si="431"/>
        <v>170.31857760000003</v>
      </c>
      <c r="Q423" s="182">
        <f t="shared" si="431"/>
        <v>36.058437599999998</v>
      </c>
      <c r="R423" s="182">
        <f t="shared" si="431"/>
        <v>31.144384200000001</v>
      </c>
      <c r="S423" s="182">
        <f t="shared" si="431"/>
        <v>28.410680200000002</v>
      </c>
      <c r="T423" s="182">
        <f t="shared" si="431"/>
        <v>31.197294599999992</v>
      </c>
      <c r="U423" s="700">
        <f t="shared" si="431"/>
        <v>126.52640320000002</v>
      </c>
      <c r="V423" s="182">
        <f>((V417*2204.6)*V413)/1000</f>
        <v>20.855425781250002</v>
      </c>
      <c r="W423" s="182">
        <f>((W417*2204.6)*W413)/1000</f>
        <v>17.646324193548377</v>
      </c>
      <c r="X423" s="182">
        <f>((X417*2204.6)*X413)/1000</f>
        <v>22.791443181818178</v>
      </c>
      <c r="Y423" s="182">
        <f>((Y417*2204.6)*Y413)/1000</f>
        <v>24.365940625000004</v>
      </c>
      <c r="Z423" s="691">
        <f>SUM(V423:Y423)</f>
        <v>85.659133781616561</v>
      </c>
      <c r="AA423" s="182">
        <f>((AA417*2204.6)*AA413)/1000</f>
        <v>22.959835714285724</v>
      </c>
      <c r="AB423" s="182">
        <f>((AB417*2204.6)*AB413)/1000</f>
        <v>27.120732258064525</v>
      </c>
      <c r="AC423" s="182">
        <f>((AC417*2204.6)*AC413)/1000</f>
        <v>20.239999999999998</v>
      </c>
      <c r="AD423" s="182">
        <f>((AD417*2204.6)*AD413)/1000</f>
        <v>17.479999999999997</v>
      </c>
      <c r="AE423" s="691">
        <f>SUM(AA423:AD423)</f>
        <v>87.800567972350251</v>
      </c>
      <c r="AF423" s="700">
        <f>((AF417*2204.6)*AF413)/1000</f>
        <v>323.42802359346638</v>
      </c>
      <c r="AG423" s="700">
        <f t="shared" ref="AG423:AL423" si="432">((AG417*2204.6)*AG413)/1000</f>
        <v>799.0574700544463</v>
      </c>
      <c r="AH423" s="700">
        <f t="shared" si="432"/>
        <v>1350.7876279491832</v>
      </c>
      <c r="AI423" s="700">
        <f t="shared" si="432"/>
        <v>1705.866</v>
      </c>
      <c r="AJ423" s="700">
        <f t="shared" si="432"/>
        <v>1876.4526000000001</v>
      </c>
      <c r="AK423" s="700">
        <f t="shared" si="432"/>
        <v>1876.4526000000001</v>
      </c>
      <c r="AL423" s="700">
        <f t="shared" si="432"/>
        <v>1876.4526000000001</v>
      </c>
      <c r="AM423" s="651"/>
      <c r="AN423" s="83"/>
      <c r="AO423" s="83"/>
    </row>
    <row r="424" spans="1:41">
      <c r="A424" s="83"/>
      <c r="B424" s="95" t="s">
        <v>633</v>
      </c>
      <c r="C424" s="96"/>
      <c r="D424" s="183" t="s">
        <v>689</v>
      </c>
      <c r="E424" s="162"/>
      <c r="F424" s="83"/>
      <c r="G424" s="95">
        <f t="shared" ref="G424:Y424" si="433">G423*G418</f>
        <v>414.6367588</v>
      </c>
      <c r="H424" s="95">
        <f t="shared" si="433"/>
        <v>371.10030477240002</v>
      </c>
      <c r="I424" s="95">
        <f t="shared" si="433"/>
        <v>280.84046663999999</v>
      </c>
      <c r="J424" s="95">
        <f t="shared" si="433"/>
        <v>225.91259308799999</v>
      </c>
      <c r="K424" s="95">
        <f t="shared" si="433"/>
        <v>184.31355476799999</v>
      </c>
      <c r="L424" s="126">
        <f t="shared" si="433"/>
        <v>55.511030816640002</v>
      </c>
      <c r="M424" s="126">
        <f t="shared" si="433"/>
        <v>63.037895007359985</v>
      </c>
      <c r="N424" s="126">
        <f t="shared" si="433"/>
        <v>55.862033119199999</v>
      </c>
      <c r="O424" s="126">
        <f t="shared" si="433"/>
        <v>46.508082868799995</v>
      </c>
      <c r="P424" s="95">
        <f t="shared" si="433"/>
        <v>220.74990842736003</v>
      </c>
      <c r="Q424" s="126">
        <f t="shared" si="433"/>
        <v>47.943298632959994</v>
      </c>
      <c r="R424" s="126">
        <f t="shared" si="433"/>
        <v>41.661842744339999</v>
      </c>
      <c r="S424" s="126">
        <f t="shared" si="433"/>
        <v>37.513462136080001</v>
      </c>
      <c r="T424" s="126">
        <f t="shared" si="433"/>
        <v>41.174189413079993</v>
      </c>
      <c r="U424" s="95">
        <f t="shared" si="433"/>
        <v>167.87523176576002</v>
      </c>
      <c r="V424" s="126">
        <f>V423*V418</f>
        <v>28.023435622265627</v>
      </c>
      <c r="W424" s="126">
        <f t="shared" si="433"/>
        <v>24.456040699838695</v>
      </c>
      <c r="X424" s="126">
        <f>X423*X418</f>
        <v>30.371877184090902</v>
      </c>
      <c r="Y424" s="126">
        <f t="shared" si="433"/>
        <v>31.741510852187503</v>
      </c>
      <c r="Z424" s="94">
        <f>SUM(V424:Y424)</f>
        <v>114.59286435838273</v>
      </c>
      <c r="AA424" s="126">
        <f>AA423*AA418</f>
        <v>29.067152014285728</v>
      </c>
      <c r="AB424" s="126">
        <f>AB423*AB418</f>
        <v>33.325955798709685</v>
      </c>
      <c r="AC424" s="126">
        <f>AC423*AC418</f>
        <v>25.097599999999996</v>
      </c>
      <c r="AD424" s="126">
        <f>AD423*AD418</f>
        <v>21.675199999999997</v>
      </c>
      <c r="AE424" s="94">
        <f>SUM(AA424:AD424)</f>
        <v>109.16590781299541</v>
      </c>
      <c r="AF424" s="95">
        <f t="shared" ref="AF424:AL424" si="434">AF423*AF418</f>
        <v>394.58218878402897</v>
      </c>
      <c r="AG424" s="95">
        <f t="shared" si="434"/>
        <v>974.85011346642443</v>
      </c>
      <c r="AH424" s="95">
        <f t="shared" si="434"/>
        <v>1661.4687823774952</v>
      </c>
      <c r="AI424" s="95">
        <f t="shared" si="434"/>
        <v>2098.2151800000001</v>
      </c>
      <c r="AJ424" s="95">
        <f t="shared" si="434"/>
        <v>2308.0366979999999</v>
      </c>
      <c r="AK424" s="95">
        <f t="shared" si="434"/>
        <v>2308.0366979999999</v>
      </c>
      <c r="AL424" s="95">
        <f t="shared" si="434"/>
        <v>2308.0366979999999</v>
      </c>
      <c r="AM424" s="651"/>
      <c r="AN424" s="83"/>
      <c r="AO424" s="83"/>
    </row>
    <row r="425" spans="1:41">
      <c r="A425" s="83"/>
      <c r="B425" s="95"/>
      <c r="C425" s="96"/>
      <c r="D425" s="162"/>
      <c r="E425" s="162"/>
      <c r="F425" s="83"/>
      <c r="G425" s="95"/>
      <c r="H425" s="95"/>
      <c r="I425" s="95"/>
      <c r="J425" s="95"/>
      <c r="K425" s="95"/>
      <c r="L425" s="126"/>
      <c r="M425" s="126"/>
      <c r="N425" s="126"/>
      <c r="O425" s="126"/>
      <c r="P425" s="95"/>
      <c r="Q425" s="126"/>
      <c r="R425" s="126"/>
      <c r="S425" s="126"/>
      <c r="T425" s="126"/>
      <c r="U425" s="92"/>
      <c r="V425" s="126"/>
      <c r="W425" s="126"/>
      <c r="X425" s="126"/>
      <c r="Y425" s="126"/>
      <c r="Z425" s="92"/>
      <c r="AA425" s="99"/>
      <c r="AB425" s="99"/>
      <c r="AC425" s="99"/>
      <c r="AD425" s="99"/>
      <c r="AE425" s="92"/>
      <c r="AF425" s="92"/>
      <c r="AG425" s="92"/>
      <c r="AH425" s="92"/>
      <c r="AI425" s="92"/>
      <c r="AJ425" s="92"/>
      <c r="AK425" s="92"/>
      <c r="AL425" s="83"/>
      <c r="AM425" s="651"/>
      <c r="AN425" s="83"/>
      <c r="AO425" s="83"/>
    </row>
    <row r="426" spans="1:41">
      <c r="A426" s="83"/>
      <c r="B426" s="95"/>
      <c r="C426" s="96"/>
      <c r="D426" s="162"/>
      <c r="E426" s="162"/>
      <c r="F426" s="83"/>
      <c r="G426" s="95"/>
      <c r="H426" s="95"/>
      <c r="I426" s="95"/>
      <c r="J426" s="95"/>
      <c r="K426" s="95"/>
      <c r="L426" s="126"/>
      <c r="M426" s="126"/>
      <c r="N426" s="126"/>
      <c r="O426" s="126"/>
      <c r="P426" s="95"/>
      <c r="Q426" s="126"/>
      <c r="R426" s="126"/>
      <c r="S426" s="126"/>
      <c r="T426" s="126"/>
      <c r="U426" s="92"/>
      <c r="V426" s="126"/>
      <c r="W426" s="126"/>
      <c r="X426" s="126"/>
      <c r="Y426" s="126"/>
      <c r="Z426" s="92"/>
      <c r="AA426" s="99"/>
      <c r="AB426" s="99"/>
      <c r="AC426" s="99"/>
      <c r="AD426" s="99"/>
      <c r="AE426" s="92"/>
      <c r="AF426" s="92"/>
      <c r="AG426" s="92"/>
      <c r="AH426" s="92"/>
      <c r="AI426" s="92"/>
      <c r="AJ426" s="92"/>
      <c r="AK426" s="92"/>
      <c r="AL426" s="83"/>
      <c r="AM426" s="651"/>
      <c r="AN426" s="83"/>
      <c r="AO426" s="83"/>
    </row>
    <row r="427" spans="1:41">
      <c r="A427" s="83"/>
      <c r="B427" s="95"/>
      <c r="C427" s="96"/>
      <c r="D427" s="162"/>
      <c r="E427" s="162"/>
      <c r="F427" s="83"/>
      <c r="G427" s="95"/>
      <c r="H427" s="95"/>
      <c r="I427" s="95"/>
      <c r="J427" s="95"/>
      <c r="K427" s="95"/>
      <c r="L427" s="126"/>
      <c r="M427" s="126"/>
      <c r="N427" s="126"/>
      <c r="O427" s="126"/>
      <c r="P427" s="95"/>
      <c r="Q427" s="126"/>
      <c r="R427" s="126"/>
      <c r="S427" s="126"/>
      <c r="T427" s="126"/>
      <c r="U427" s="92"/>
      <c r="V427" s="126"/>
      <c r="W427" s="126"/>
      <c r="X427" s="126"/>
      <c r="Y427" s="126"/>
      <c r="Z427" s="92"/>
      <c r="AA427" s="99"/>
      <c r="AB427" s="99"/>
      <c r="AC427" s="99"/>
      <c r="AD427" s="99"/>
      <c r="AE427" s="92"/>
      <c r="AF427" s="92"/>
      <c r="AG427" s="92"/>
      <c r="AH427" s="92"/>
      <c r="AI427" s="92"/>
      <c r="AJ427" s="92"/>
      <c r="AK427" s="92"/>
      <c r="AL427" s="83"/>
      <c r="AM427" s="651"/>
      <c r="AN427" s="83"/>
      <c r="AO427" s="83"/>
    </row>
    <row r="428" spans="1:41">
      <c r="A428" s="83"/>
      <c r="B428" s="95" t="s">
        <v>633</v>
      </c>
      <c r="C428" s="96" t="s">
        <v>225</v>
      </c>
      <c r="D428" s="164" t="s">
        <v>636</v>
      </c>
      <c r="E428" s="162"/>
      <c r="F428" s="83"/>
      <c r="G428" s="95">
        <f>G424</f>
        <v>414.6367588</v>
      </c>
      <c r="H428" s="95">
        <f t="shared" ref="H428:Y428" si="435">H424</f>
        <v>371.10030477240002</v>
      </c>
      <c r="I428" s="95">
        <f t="shared" si="435"/>
        <v>280.84046663999999</v>
      </c>
      <c r="J428" s="95">
        <f t="shared" si="435"/>
        <v>225.91259308799999</v>
      </c>
      <c r="K428" s="95">
        <f t="shared" si="435"/>
        <v>184.31355476799999</v>
      </c>
      <c r="L428" s="126">
        <f t="shared" si="435"/>
        <v>55.511030816640002</v>
      </c>
      <c r="M428" s="126">
        <f t="shared" si="435"/>
        <v>63.037895007359985</v>
      </c>
      <c r="N428" s="126">
        <f t="shared" si="435"/>
        <v>55.862033119199999</v>
      </c>
      <c r="O428" s="126">
        <f t="shared" si="435"/>
        <v>46.508082868799995</v>
      </c>
      <c r="P428" s="95">
        <f t="shared" si="435"/>
        <v>220.74990842736003</v>
      </c>
      <c r="Q428" s="126">
        <f t="shared" si="435"/>
        <v>47.943298632959994</v>
      </c>
      <c r="R428" s="126">
        <f t="shared" si="435"/>
        <v>41.661842744339999</v>
      </c>
      <c r="S428" s="126">
        <f t="shared" si="435"/>
        <v>37.513462136080001</v>
      </c>
      <c r="T428" s="126">
        <f t="shared" si="435"/>
        <v>41.174189413079993</v>
      </c>
      <c r="U428" s="95">
        <f>U424</f>
        <v>167.87523176576002</v>
      </c>
      <c r="V428" s="126">
        <f t="shared" si="435"/>
        <v>28.023435622265627</v>
      </c>
      <c r="W428" s="126">
        <f t="shared" si="435"/>
        <v>24.456040699838695</v>
      </c>
      <c r="X428" s="126">
        <f>X424</f>
        <v>30.371877184090902</v>
      </c>
      <c r="Y428" s="126">
        <f t="shared" si="435"/>
        <v>31.741510852187503</v>
      </c>
      <c r="Z428" s="95">
        <f t="shared" ref="Z428:Z436" si="436">SUM(V428:Y428)</f>
        <v>114.59286435838273</v>
      </c>
      <c r="AA428" s="126">
        <f>AA424</f>
        <v>29.067152014285728</v>
      </c>
      <c r="AB428" s="126">
        <f>AB424</f>
        <v>33.325955798709685</v>
      </c>
      <c r="AC428" s="126">
        <f>AC424</f>
        <v>25.097599999999996</v>
      </c>
      <c r="AD428" s="126">
        <f>AD424</f>
        <v>21.675199999999997</v>
      </c>
      <c r="AE428" s="95">
        <f t="shared" ref="AE428:AE436" si="437">SUM(AA428:AD428)</f>
        <v>109.16590781299541</v>
      </c>
      <c r="AF428" s="95">
        <f t="shared" ref="AF428:AL428" si="438">AF424</f>
        <v>394.58218878402897</v>
      </c>
      <c r="AG428" s="95">
        <f t="shared" si="438"/>
        <v>974.85011346642443</v>
      </c>
      <c r="AH428" s="95">
        <f t="shared" si="438"/>
        <v>1661.4687823774952</v>
      </c>
      <c r="AI428" s="95">
        <f t="shared" si="438"/>
        <v>2098.2151800000001</v>
      </c>
      <c r="AJ428" s="95">
        <f t="shared" si="438"/>
        <v>2308.0366979999999</v>
      </c>
      <c r="AK428" s="95">
        <f t="shared" si="438"/>
        <v>2308.0366979999999</v>
      </c>
      <c r="AL428" s="95">
        <f t="shared" si="438"/>
        <v>2308.0366979999999</v>
      </c>
      <c r="AM428" s="651"/>
      <c r="AN428" s="83"/>
      <c r="AO428" s="83"/>
    </row>
    <row r="429" spans="1:41">
      <c r="A429" s="83"/>
      <c r="B429" s="95" t="s">
        <v>633</v>
      </c>
      <c r="C429" s="96" t="s">
        <v>225</v>
      </c>
      <c r="D429" s="164" t="s">
        <v>693</v>
      </c>
      <c r="E429" s="162"/>
      <c r="F429" s="83"/>
      <c r="G429" s="95">
        <f>G430-G428</f>
        <v>7.3632412000000045</v>
      </c>
      <c r="H429" s="95">
        <f t="shared" ref="H429:AB429" si="439">H430-H428</f>
        <v>3.8996952275999774</v>
      </c>
      <c r="I429" s="95">
        <f t="shared" si="439"/>
        <v>7.1595333600000117</v>
      </c>
      <c r="J429" s="95">
        <f t="shared" si="439"/>
        <v>3.0874069120000058</v>
      </c>
      <c r="K429" s="95">
        <f t="shared" si="439"/>
        <v>-2.3135547679999888</v>
      </c>
      <c r="L429" s="126">
        <f t="shared" si="439"/>
        <v>0.48896918335999828</v>
      </c>
      <c r="M429" s="126">
        <f t="shared" si="439"/>
        <v>0.9621049926400147</v>
      </c>
      <c r="N429" s="126">
        <f t="shared" si="439"/>
        <v>0.13796688080000052</v>
      </c>
      <c r="O429" s="126">
        <f t="shared" si="439"/>
        <v>1.4919171312000046</v>
      </c>
      <c r="P429" s="95">
        <f t="shared" si="439"/>
        <v>3.2500915726399739</v>
      </c>
      <c r="Q429" s="126">
        <f t="shared" si="439"/>
        <v>1.0567013670400058</v>
      </c>
      <c r="R429" s="126">
        <f t="shared" si="439"/>
        <v>-0.66184274433999946</v>
      </c>
      <c r="S429" s="126">
        <f t="shared" si="439"/>
        <v>1.4865378639199989</v>
      </c>
      <c r="T429" s="126">
        <f t="shared" si="439"/>
        <v>-0.17418941307999347</v>
      </c>
      <c r="U429" s="95">
        <f t="shared" si="439"/>
        <v>2.1247682342399798</v>
      </c>
      <c r="V429" s="126">
        <f t="shared" si="439"/>
        <v>-1.0234356222656267</v>
      </c>
      <c r="W429" s="126">
        <f t="shared" si="439"/>
        <v>0.54395930016130478</v>
      </c>
      <c r="X429" s="126">
        <f t="shared" si="439"/>
        <v>0.62812281590909791</v>
      </c>
      <c r="Y429" s="126">
        <f t="shared" si="439"/>
        <v>1.2584891478124973</v>
      </c>
      <c r="Z429" s="94">
        <f t="shared" si="436"/>
        <v>1.4071356416172733</v>
      </c>
      <c r="AA429" s="126">
        <f t="shared" si="439"/>
        <v>0.93284798571427174</v>
      </c>
      <c r="AB429" s="126">
        <f t="shared" si="439"/>
        <v>-0.3259557987096855</v>
      </c>
      <c r="AC429" s="99"/>
      <c r="AD429" s="99"/>
      <c r="AE429" s="94">
        <f t="shared" si="437"/>
        <v>0.60689218700458625</v>
      </c>
      <c r="AF429" s="92"/>
      <c r="AG429" s="92"/>
      <c r="AH429" s="92"/>
      <c r="AI429" s="92"/>
      <c r="AJ429" s="92"/>
      <c r="AK429" s="92"/>
      <c r="AL429" s="92"/>
      <c r="AM429" s="651"/>
      <c r="AN429" s="83"/>
      <c r="AO429" s="83"/>
    </row>
    <row r="430" spans="1:41">
      <c r="A430" s="83"/>
      <c r="B430" s="95" t="s">
        <v>633</v>
      </c>
      <c r="C430" s="96" t="s">
        <v>225</v>
      </c>
      <c r="D430" s="594" t="s">
        <v>638</v>
      </c>
      <c r="E430" s="677"/>
      <c r="F430" s="600"/>
      <c r="G430" s="596">
        <v>422</v>
      </c>
      <c r="H430" s="596">
        <v>375</v>
      </c>
      <c r="I430" s="596">
        <v>288</v>
      </c>
      <c r="J430" s="596">
        <v>229</v>
      </c>
      <c r="K430" s="596">
        <v>182</v>
      </c>
      <c r="L430" s="597">
        <v>56</v>
      </c>
      <c r="M430" s="597">
        <v>64</v>
      </c>
      <c r="N430" s="597">
        <v>56</v>
      </c>
      <c r="O430" s="597">
        <v>48</v>
      </c>
      <c r="P430" s="596">
        <v>224</v>
      </c>
      <c r="Q430" s="597">
        <v>49</v>
      </c>
      <c r="R430" s="597">
        <v>41</v>
      </c>
      <c r="S430" s="597">
        <v>39</v>
      </c>
      <c r="T430" s="597">
        <v>41</v>
      </c>
      <c r="U430" s="596">
        <v>170</v>
      </c>
      <c r="V430" s="597">
        <v>27</v>
      </c>
      <c r="W430" s="597">
        <v>25</v>
      </c>
      <c r="X430" s="597">
        <v>31</v>
      </c>
      <c r="Y430" s="597">
        <v>33</v>
      </c>
      <c r="Z430" s="596">
        <v>116</v>
      </c>
      <c r="AA430" s="597">
        <v>30</v>
      </c>
      <c r="AB430" s="597">
        <v>33</v>
      </c>
      <c r="AC430" s="615">
        <f t="shared" ref="AC430:AD430" si="440">AC428+AC429</f>
        <v>25.097599999999996</v>
      </c>
      <c r="AD430" s="615">
        <f t="shared" si="440"/>
        <v>21.675199999999997</v>
      </c>
      <c r="AE430" s="602">
        <f t="shared" si="437"/>
        <v>109.77279999999999</v>
      </c>
      <c r="AF430" s="602">
        <f t="shared" ref="AF430:AL430" si="441">AF428+AF429</f>
        <v>394.58218878402897</v>
      </c>
      <c r="AG430" s="602">
        <f t="shared" si="441"/>
        <v>974.85011346642443</v>
      </c>
      <c r="AH430" s="602">
        <f t="shared" si="441"/>
        <v>1661.4687823774952</v>
      </c>
      <c r="AI430" s="602">
        <f t="shared" si="441"/>
        <v>2098.2151800000001</v>
      </c>
      <c r="AJ430" s="602">
        <f t="shared" si="441"/>
        <v>2308.0366979999999</v>
      </c>
      <c r="AK430" s="602">
        <f t="shared" si="441"/>
        <v>2308.0366979999999</v>
      </c>
      <c r="AL430" s="602">
        <f t="shared" si="441"/>
        <v>2308.0366979999999</v>
      </c>
      <c r="AM430" s="651"/>
      <c r="AN430" s="83"/>
      <c r="AO430" s="83"/>
    </row>
    <row r="431" spans="1:41">
      <c r="A431" s="83"/>
      <c r="B431" s="95" t="s">
        <v>633</v>
      </c>
      <c r="C431" s="96" t="s">
        <v>225</v>
      </c>
      <c r="D431" s="599" t="s">
        <v>642</v>
      </c>
      <c r="E431" s="162"/>
      <c r="F431" s="83"/>
      <c r="G431" s="90">
        <v>-295</v>
      </c>
      <c r="H431" s="90">
        <v>-251</v>
      </c>
      <c r="I431" s="90">
        <v>-302</v>
      </c>
      <c r="J431" s="90">
        <v>-202</v>
      </c>
      <c r="K431" s="90">
        <v>-129</v>
      </c>
      <c r="L431" s="91">
        <v>-36</v>
      </c>
      <c r="M431" s="91">
        <v>-45</v>
      </c>
      <c r="N431" s="91">
        <v>-43</v>
      </c>
      <c r="O431" s="91">
        <v>-71</v>
      </c>
      <c r="P431" s="90">
        <v>-195</v>
      </c>
      <c r="Q431" s="91">
        <v>-26</v>
      </c>
      <c r="R431" s="91">
        <v>-47</v>
      </c>
      <c r="S431" s="91">
        <v>-44</v>
      </c>
      <c r="T431" s="91">
        <v>-69</v>
      </c>
      <c r="U431" s="90">
        <v>-186</v>
      </c>
      <c r="V431" s="91">
        <v>-23</v>
      </c>
      <c r="W431" s="91">
        <v>-21</v>
      </c>
      <c r="X431" s="91">
        <v>-20</v>
      </c>
      <c r="Y431" s="91">
        <v>-21</v>
      </c>
      <c r="Z431" s="90">
        <v>-85</v>
      </c>
      <c r="AA431" s="91">
        <v>-19</v>
      </c>
      <c r="AB431" s="91">
        <v>-22</v>
      </c>
      <c r="AC431" s="126">
        <f>(-AC440*AC410)/1000</f>
        <v>-11</v>
      </c>
      <c r="AD431" s="126">
        <f>(-AD440*AD410)/1000</f>
        <v>-9.4999999999999982</v>
      </c>
      <c r="AE431" s="95">
        <f t="shared" si="437"/>
        <v>-61.5</v>
      </c>
      <c r="AF431" s="95">
        <f t="shared" ref="AF431:AL431" si="442">(-AF440*AF410)/1000</f>
        <v>-170</v>
      </c>
      <c r="AG431" s="95">
        <f t="shared" si="442"/>
        <v>-420</v>
      </c>
      <c r="AH431" s="95">
        <f t="shared" si="442"/>
        <v>-710</v>
      </c>
      <c r="AI431" s="95">
        <f t="shared" si="442"/>
        <v>-1000</v>
      </c>
      <c r="AJ431" s="95">
        <f t="shared" si="442"/>
        <v>-1100</v>
      </c>
      <c r="AK431" s="95">
        <f t="shared" si="442"/>
        <v>-1100</v>
      </c>
      <c r="AL431" s="95">
        <f t="shared" si="442"/>
        <v>-1100</v>
      </c>
      <c r="AM431" s="651"/>
      <c r="AN431" s="83"/>
      <c r="AO431" s="83"/>
    </row>
    <row r="432" spans="1:41">
      <c r="A432" s="83"/>
      <c r="B432" s="95" t="s">
        <v>633</v>
      </c>
      <c r="C432" s="96" t="s">
        <v>225</v>
      </c>
      <c r="D432" s="599" t="s">
        <v>643</v>
      </c>
      <c r="E432" s="162"/>
      <c r="F432" s="83"/>
      <c r="G432" s="90">
        <v>-6</v>
      </c>
      <c r="H432" s="90">
        <v>-6</v>
      </c>
      <c r="I432" s="90">
        <v>-5</v>
      </c>
      <c r="J432" s="90">
        <v>-3</v>
      </c>
      <c r="K432" s="90">
        <v>-3</v>
      </c>
      <c r="L432" s="91">
        <v>-1</v>
      </c>
      <c r="M432" s="91">
        <v>0</v>
      </c>
      <c r="N432" s="91">
        <v>-1</v>
      </c>
      <c r="O432" s="91">
        <v>-1</v>
      </c>
      <c r="P432" s="90">
        <v>-3</v>
      </c>
      <c r="Q432" s="91">
        <v>-1</v>
      </c>
      <c r="R432" s="91">
        <v>0</v>
      </c>
      <c r="S432" s="91">
        <v>-1</v>
      </c>
      <c r="T432" s="91">
        <v>0</v>
      </c>
      <c r="U432" s="90">
        <v>-2</v>
      </c>
      <c r="V432" s="91">
        <v>-1</v>
      </c>
      <c r="W432" s="91">
        <v>0</v>
      </c>
      <c r="X432" s="91">
        <v>0</v>
      </c>
      <c r="Y432" s="91">
        <v>0</v>
      </c>
      <c r="Z432" s="90">
        <v>-1</v>
      </c>
      <c r="AA432" s="91">
        <v>0</v>
      </c>
      <c r="AB432" s="91">
        <v>0</v>
      </c>
      <c r="AC432" s="206">
        <f>(-AC441*AC413)/1000</f>
        <v>-0.15827338129496402</v>
      </c>
      <c r="AD432" s="206">
        <f>(-AD441*AD413)/1000</f>
        <v>-0.13669064748201434</v>
      </c>
      <c r="AE432" s="95">
        <f t="shared" si="437"/>
        <v>-0.29496402877697836</v>
      </c>
      <c r="AF432" s="212">
        <f>(-AF441*AF413)/1000</f>
        <v>-2.4460431654676258</v>
      </c>
      <c r="AG432" s="212">
        <f t="shared" ref="AG432:AL432" si="443">(-AG441*AG413)/1000</f>
        <v>-6.043165467625899</v>
      </c>
      <c r="AH432" s="212">
        <f t="shared" si="443"/>
        <v>-10.215827338129495</v>
      </c>
      <c r="AI432" s="212">
        <f t="shared" si="443"/>
        <v>-14.388489208633093</v>
      </c>
      <c r="AJ432" s="212">
        <f t="shared" si="443"/>
        <v>-15.827338129496402</v>
      </c>
      <c r="AK432" s="212">
        <f t="shared" si="443"/>
        <v>-15.827338129496402</v>
      </c>
      <c r="AL432" s="212">
        <f t="shared" si="443"/>
        <v>-15.827338129496402</v>
      </c>
      <c r="AM432" s="651"/>
      <c r="AN432" s="83"/>
      <c r="AO432" s="83"/>
    </row>
    <row r="433" spans="1:41">
      <c r="A433" s="83"/>
      <c r="B433" s="95" t="s">
        <v>633</v>
      </c>
      <c r="C433" s="96" t="s">
        <v>225</v>
      </c>
      <c r="D433" s="599" t="s">
        <v>644</v>
      </c>
      <c r="G433" s="90">
        <v>-118</v>
      </c>
      <c r="H433" s="90">
        <v>-134</v>
      </c>
      <c r="I433" s="90">
        <v>-122</v>
      </c>
      <c r="J433" s="90">
        <v>-235</v>
      </c>
      <c r="K433" s="90">
        <v>-157</v>
      </c>
      <c r="L433" s="91">
        <v>-23</v>
      </c>
      <c r="M433" s="91">
        <v>-22</v>
      </c>
      <c r="N433" s="91">
        <v>-21</v>
      </c>
      <c r="O433" s="91">
        <v>-19</v>
      </c>
      <c r="P433" s="90">
        <v>-85</v>
      </c>
      <c r="Q433" s="91">
        <v>-9</v>
      </c>
      <c r="R433" s="91">
        <v>-9</v>
      </c>
      <c r="S433" s="91">
        <v>-11</v>
      </c>
      <c r="T433" s="91">
        <v>-12</v>
      </c>
      <c r="U433" s="90">
        <v>-41</v>
      </c>
      <c r="V433" s="91">
        <v>-5</v>
      </c>
      <c r="W433" s="91">
        <v>-2</v>
      </c>
      <c r="X433" s="91">
        <v>-2</v>
      </c>
      <c r="Y433" s="91">
        <v>-2</v>
      </c>
      <c r="Z433" s="90">
        <v>-11</v>
      </c>
      <c r="AA433" s="91">
        <v>-1</v>
      </c>
      <c r="AB433" s="91">
        <v>-1</v>
      </c>
      <c r="AC433" s="206">
        <f>(-AC442*AC413)/1000</f>
        <v>-1.7410071942446044</v>
      </c>
      <c r="AD433" s="206">
        <f>(-AD442*AD413)/1000</f>
        <v>-1.5035971223021578</v>
      </c>
      <c r="AE433" s="95">
        <f t="shared" si="437"/>
        <v>-5.244604316546762</v>
      </c>
      <c r="AF433" s="212">
        <f>(-AF442*AF413)/1000</f>
        <v>-26.906474820143885</v>
      </c>
      <c r="AG433" s="212">
        <f t="shared" ref="AG433:AL433" si="444">(-AG442*AG413)/1000</f>
        <v>-66.474820143884898</v>
      </c>
      <c r="AH433" s="212">
        <f t="shared" si="444"/>
        <v>-112.37410071942446</v>
      </c>
      <c r="AI433" s="212">
        <f t="shared" si="444"/>
        <v>-158.27338129496403</v>
      </c>
      <c r="AJ433" s="212">
        <f t="shared" si="444"/>
        <v>-174.10071942446044</v>
      </c>
      <c r="AK433" s="212">
        <f t="shared" si="444"/>
        <v>-174.10071942446044</v>
      </c>
      <c r="AL433" s="212">
        <f t="shared" si="444"/>
        <v>-174.10071942446044</v>
      </c>
      <c r="AM433" s="651"/>
      <c r="AN433" s="83"/>
      <c r="AO433" s="83"/>
    </row>
    <row r="434" spans="1:41">
      <c r="A434" s="83"/>
      <c r="B434" s="95" t="s">
        <v>633</v>
      </c>
      <c r="C434" s="96" t="s">
        <v>225</v>
      </c>
      <c r="D434" s="600" t="s">
        <v>645</v>
      </c>
      <c r="E434" s="677"/>
      <c r="F434" s="600"/>
      <c r="G434" s="601">
        <f t="shared" ref="G434:Y434" si="445">G431+G432+G433</f>
        <v>-419</v>
      </c>
      <c r="H434" s="601">
        <f t="shared" si="445"/>
        <v>-391</v>
      </c>
      <c r="I434" s="601">
        <f t="shared" si="445"/>
        <v>-429</v>
      </c>
      <c r="J434" s="601">
        <f t="shared" si="445"/>
        <v>-440</v>
      </c>
      <c r="K434" s="601">
        <f t="shared" si="445"/>
        <v>-289</v>
      </c>
      <c r="L434" s="614">
        <f t="shared" si="445"/>
        <v>-60</v>
      </c>
      <c r="M434" s="614">
        <f t="shared" si="445"/>
        <v>-67</v>
      </c>
      <c r="N434" s="614">
        <f t="shared" si="445"/>
        <v>-65</v>
      </c>
      <c r="O434" s="614">
        <f t="shared" si="445"/>
        <v>-91</v>
      </c>
      <c r="P434" s="601">
        <f t="shared" si="445"/>
        <v>-283</v>
      </c>
      <c r="Q434" s="614">
        <f t="shared" si="445"/>
        <v>-36</v>
      </c>
      <c r="R434" s="614">
        <f t="shared" si="445"/>
        <v>-56</v>
      </c>
      <c r="S434" s="614">
        <f t="shared" si="445"/>
        <v>-56</v>
      </c>
      <c r="T434" s="614">
        <f t="shared" si="445"/>
        <v>-81</v>
      </c>
      <c r="U434" s="601">
        <f>U431+U432+U433</f>
        <v>-229</v>
      </c>
      <c r="V434" s="614">
        <f>V431+V432+V433</f>
        <v>-29</v>
      </c>
      <c r="W434" s="614">
        <f t="shared" si="445"/>
        <v>-23</v>
      </c>
      <c r="X434" s="614">
        <f t="shared" si="445"/>
        <v>-22</v>
      </c>
      <c r="Y434" s="614">
        <f t="shared" si="445"/>
        <v>-23</v>
      </c>
      <c r="Z434" s="601">
        <f t="shared" si="436"/>
        <v>-97</v>
      </c>
      <c r="AA434" s="614">
        <f>AA431+AA432+AA433</f>
        <v>-20</v>
      </c>
      <c r="AB434" s="614">
        <f>AB431+AB432+AB433</f>
        <v>-23</v>
      </c>
      <c r="AC434" s="614">
        <f>AC431+AC432+AC433</f>
        <v>-12.899280575539569</v>
      </c>
      <c r="AD434" s="614">
        <f>AD431+AD432+AD433</f>
        <v>-11.14028776978417</v>
      </c>
      <c r="AE434" s="601">
        <f t="shared" si="437"/>
        <v>-67.039568345323744</v>
      </c>
      <c r="AF434" s="601">
        <f t="shared" ref="AF434:AL434" si="446">AF431+AF432+AF433</f>
        <v>-199.35251798561148</v>
      </c>
      <c r="AG434" s="601">
        <f t="shared" si="446"/>
        <v>-492.51798561151077</v>
      </c>
      <c r="AH434" s="601">
        <f t="shared" si="446"/>
        <v>-832.58992805755406</v>
      </c>
      <c r="AI434" s="601">
        <f t="shared" si="446"/>
        <v>-1172.6618705035971</v>
      </c>
      <c r="AJ434" s="601">
        <f t="shared" si="446"/>
        <v>-1289.9280575539569</v>
      </c>
      <c r="AK434" s="601">
        <f t="shared" si="446"/>
        <v>-1289.9280575539569</v>
      </c>
      <c r="AL434" s="601">
        <f t="shared" si="446"/>
        <v>-1289.9280575539569</v>
      </c>
      <c r="AM434" s="651"/>
      <c r="AN434" s="83"/>
      <c r="AO434" s="83"/>
    </row>
    <row r="435" spans="1:41">
      <c r="A435" s="83"/>
      <c r="B435" s="95" t="s">
        <v>633</v>
      </c>
      <c r="C435" s="96" t="s">
        <v>225</v>
      </c>
      <c r="D435" s="163" t="s">
        <v>226</v>
      </c>
      <c r="E435" s="162"/>
      <c r="F435" s="83"/>
      <c r="G435" s="95">
        <f t="shared" ref="G435:L435" si="447">G430+G431+G432</f>
        <v>121</v>
      </c>
      <c r="H435" s="95">
        <f t="shared" si="447"/>
        <v>118</v>
      </c>
      <c r="I435" s="95">
        <f t="shared" si="447"/>
        <v>-19</v>
      </c>
      <c r="J435" s="95">
        <f t="shared" si="447"/>
        <v>24</v>
      </c>
      <c r="K435" s="95">
        <f t="shared" si="447"/>
        <v>50</v>
      </c>
      <c r="L435" s="126">
        <f t="shared" si="447"/>
        <v>19</v>
      </c>
      <c r="M435" s="126">
        <f t="shared" ref="M435:V435" si="448">M430+M431+M432</f>
        <v>19</v>
      </c>
      <c r="N435" s="126">
        <f t="shared" si="448"/>
        <v>12</v>
      </c>
      <c r="O435" s="126">
        <f t="shared" si="448"/>
        <v>-24</v>
      </c>
      <c r="P435" s="95">
        <f t="shared" si="448"/>
        <v>26</v>
      </c>
      <c r="Q435" s="126">
        <f t="shared" si="448"/>
        <v>22</v>
      </c>
      <c r="R435" s="126">
        <f t="shared" si="448"/>
        <v>-6</v>
      </c>
      <c r="S435" s="126">
        <f t="shared" si="448"/>
        <v>-6</v>
      </c>
      <c r="T435" s="126">
        <f t="shared" si="448"/>
        <v>-28</v>
      </c>
      <c r="U435" s="95">
        <f t="shared" si="448"/>
        <v>-18</v>
      </c>
      <c r="V435" s="126">
        <f t="shared" si="448"/>
        <v>3</v>
      </c>
      <c r="W435" s="126">
        <f>W430+W431+W432</f>
        <v>4</v>
      </c>
      <c r="X435" s="126">
        <f>X430+X431+X432</f>
        <v>11</v>
      </c>
      <c r="Y435" s="126">
        <f>Y430+Y431+Y432</f>
        <v>12</v>
      </c>
      <c r="Z435" s="95">
        <f t="shared" si="436"/>
        <v>30</v>
      </c>
      <c r="AA435" s="126">
        <f t="shared" ref="AA435" si="449">AA430+AA431+AA432</f>
        <v>11</v>
      </c>
      <c r="AB435" s="126">
        <f>AB430+AB431+AB432</f>
        <v>11</v>
      </c>
      <c r="AC435" s="126">
        <f>AC430+AC431+AC432</f>
        <v>13.939326618705032</v>
      </c>
      <c r="AD435" s="126">
        <f>AD430+AD431+AD432</f>
        <v>12.038509352517984</v>
      </c>
      <c r="AE435" s="95">
        <f t="shared" si="437"/>
        <v>47.977835971223016</v>
      </c>
      <c r="AF435" s="95">
        <f t="shared" ref="AF435:AL435" si="450">AF430+AF431+AF432</f>
        <v>222.13614561856136</v>
      </c>
      <c r="AG435" s="95">
        <f t="shared" si="450"/>
        <v>548.80694799879848</v>
      </c>
      <c r="AH435" s="95">
        <f t="shared" si="450"/>
        <v>941.2529550393657</v>
      </c>
      <c r="AI435" s="95">
        <f t="shared" si="450"/>
        <v>1083.8266907913671</v>
      </c>
      <c r="AJ435" s="95">
        <f t="shared" si="450"/>
        <v>1192.2093598705035</v>
      </c>
      <c r="AK435" s="95">
        <f t="shared" si="450"/>
        <v>1192.2093598705035</v>
      </c>
      <c r="AL435" s="95">
        <f t="shared" si="450"/>
        <v>1192.2093598705035</v>
      </c>
      <c r="AM435" s="651"/>
      <c r="AN435" s="83"/>
      <c r="AO435" s="83"/>
    </row>
    <row r="436" spans="1:41">
      <c r="A436" s="83"/>
      <c r="B436" s="95" t="s">
        <v>633</v>
      </c>
      <c r="C436" s="96" t="s">
        <v>225</v>
      </c>
      <c r="D436" s="594" t="s">
        <v>178</v>
      </c>
      <c r="E436" s="661"/>
      <c r="F436" s="595"/>
      <c r="G436" s="678">
        <f t="shared" ref="G436:Y436" si="451">G435+G433</f>
        <v>3</v>
      </c>
      <c r="H436" s="678">
        <f t="shared" si="451"/>
        <v>-16</v>
      </c>
      <c r="I436" s="678">
        <f t="shared" si="451"/>
        <v>-141</v>
      </c>
      <c r="J436" s="678">
        <f t="shared" si="451"/>
        <v>-211</v>
      </c>
      <c r="K436" s="678">
        <f t="shared" si="451"/>
        <v>-107</v>
      </c>
      <c r="L436" s="679">
        <f t="shared" si="451"/>
        <v>-4</v>
      </c>
      <c r="M436" s="679">
        <f t="shared" si="451"/>
        <v>-3</v>
      </c>
      <c r="N436" s="679">
        <f t="shared" si="451"/>
        <v>-9</v>
      </c>
      <c r="O436" s="679">
        <f t="shared" si="451"/>
        <v>-43</v>
      </c>
      <c r="P436" s="678">
        <f t="shared" si="451"/>
        <v>-59</v>
      </c>
      <c r="Q436" s="679">
        <f t="shared" si="451"/>
        <v>13</v>
      </c>
      <c r="R436" s="679">
        <f t="shared" si="451"/>
        <v>-15</v>
      </c>
      <c r="S436" s="679">
        <f t="shared" si="451"/>
        <v>-17</v>
      </c>
      <c r="T436" s="679">
        <f t="shared" si="451"/>
        <v>-40</v>
      </c>
      <c r="U436" s="678">
        <f t="shared" si="451"/>
        <v>-59</v>
      </c>
      <c r="V436" s="679">
        <f t="shared" si="451"/>
        <v>-2</v>
      </c>
      <c r="W436" s="679">
        <f t="shared" si="451"/>
        <v>2</v>
      </c>
      <c r="X436" s="679">
        <f t="shared" si="451"/>
        <v>9</v>
      </c>
      <c r="Y436" s="679">
        <f t="shared" si="451"/>
        <v>10</v>
      </c>
      <c r="Z436" s="678">
        <f t="shared" si="436"/>
        <v>19</v>
      </c>
      <c r="AA436" s="679">
        <f t="shared" ref="AA436" si="452">AA435+AA433</f>
        <v>10</v>
      </c>
      <c r="AB436" s="679">
        <f>AB435+AB433</f>
        <v>10</v>
      </c>
      <c r="AC436" s="679">
        <f>AC435+AC433</f>
        <v>12.198319424460427</v>
      </c>
      <c r="AD436" s="679">
        <f>AD435+AD433</f>
        <v>10.534912230215827</v>
      </c>
      <c r="AE436" s="678">
        <f t="shared" si="437"/>
        <v>42.73323165467626</v>
      </c>
      <c r="AF436" s="678">
        <f>AF435+AF433</f>
        <v>195.22967079841749</v>
      </c>
      <c r="AG436" s="678">
        <f t="shared" ref="AG436:AL436" si="453">AG435+AG433</f>
        <v>482.33212785491355</v>
      </c>
      <c r="AH436" s="678">
        <f t="shared" si="453"/>
        <v>828.87885431994118</v>
      </c>
      <c r="AI436" s="678">
        <f t="shared" si="453"/>
        <v>925.55330949640313</v>
      </c>
      <c r="AJ436" s="678">
        <f t="shared" si="453"/>
        <v>1018.1086404460431</v>
      </c>
      <c r="AK436" s="678">
        <f t="shared" si="453"/>
        <v>1018.1086404460431</v>
      </c>
      <c r="AL436" s="678">
        <f t="shared" si="453"/>
        <v>1018.1086404460431</v>
      </c>
      <c r="AM436" s="651"/>
      <c r="AN436" s="83"/>
      <c r="AO436" s="83"/>
    </row>
    <row r="437" spans="1:41">
      <c r="A437" s="83"/>
      <c r="B437" s="95" t="s">
        <v>633</v>
      </c>
      <c r="C437" s="96" t="s">
        <v>225</v>
      </c>
      <c r="D437" s="607" t="s">
        <v>261</v>
      </c>
      <c r="E437" s="162"/>
      <c r="F437" s="83"/>
      <c r="G437" s="95">
        <v>47</v>
      </c>
      <c r="H437" s="95">
        <v>35</v>
      </c>
      <c r="I437" s="95">
        <v>8</v>
      </c>
      <c r="J437" s="95">
        <v>2</v>
      </c>
      <c r="K437" s="95">
        <v>0</v>
      </c>
      <c r="L437" s="126">
        <v>0</v>
      </c>
      <c r="M437" s="126" t="s">
        <v>0</v>
      </c>
      <c r="N437" s="126" t="s">
        <v>0</v>
      </c>
      <c r="O437" s="126" t="s">
        <v>0</v>
      </c>
      <c r="P437" s="95"/>
      <c r="Q437" s="126">
        <v>0</v>
      </c>
      <c r="R437" s="126" t="s">
        <v>0</v>
      </c>
      <c r="S437" s="126" t="s">
        <v>0</v>
      </c>
      <c r="T437" s="126" t="s">
        <v>0</v>
      </c>
      <c r="U437" s="92"/>
      <c r="V437" s="126"/>
      <c r="W437" s="126"/>
      <c r="X437" s="126"/>
      <c r="Y437" s="126"/>
      <c r="Z437" s="92"/>
      <c r="AA437" s="99"/>
      <c r="AB437" s="99"/>
      <c r="AC437" s="99"/>
      <c r="AD437" s="99"/>
      <c r="AE437" s="92"/>
      <c r="AF437" s="92"/>
      <c r="AG437" s="92"/>
      <c r="AH437" s="92"/>
      <c r="AI437" s="92"/>
      <c r="AJ437" s="92"/>
      <c r="AK437" s="92"/>
      <c r="AL437" s="83"/>
      <c r="AM437" s="651"/>
      <c r="AN437" s="83"/>
      <c r="AO437" s="83"/>
    </row>
    <row r="438" spans="1:41">
      <c r="A438" s="83"/>
      <c r="B438" s="95"/>
      <c r="C438" s="96"/>
      <c r="D438" s="162"/>
      <c r="E438" s="162"/>
      <c r="F438" s="83"/>
      <c r="G438" s="95"/>
      <c r="H438" s="95"/>
      <c r="I438" s="95"/>
      <c r="J438" s="95"/>
      <c r="K438" s="95"/>
      <c r="L438" s="126"/>
      <c r="M438" s="126"/>
      <c r="N438" s="126"/>
      <c r="O438" s="126"/>
      <c r="P438" s="95"/>
      <c r="Q438" s="126"/>
      <c r="R438" s="126"/>
      <c r="S438" s="126"/>
      <c r="T438" s="126"/>
      <c r="U438" s="92"/>
      <c r="V438" s="126"/>
      <c r="W438" s="126"/>
      <c r="X438" s="126"/>
      <c r="Y438" s="126"/>
      <c r="Z438" s="92"/>
      <c r="AA438" s="99"/>
      <c r="AB438" s="99"/>
      <c r="AC438" s="99"/>
      <c r="AD438" s="99"/>
      <c r="AE438" s="92"/>
      <c r="AF438" s="92"/>
      <c r="AG438" s="92"/>
      <c r="AH438" s="92"/>
      <c r="AI438" s="92"/>
      <c r="AJ438" s="92"/>
      <c r="AK438" s="92"/>
      <c r="AL438" s="83"/>
      <c r="AM438" s="651"/>
      <c r="AN438" s="83"/>
      <c r="AO438" s="83"/>
    </row>
    <row r="439" spans="1:41">
      <c r="A439" s="83"/>
      <c r="B439" s="95"/>
      <c r="C439" s="96"/>
      <c r="D439" s="554" t="s">
        <v>651</v>
      </c>
      <c r="E439" s="653"/>
      <c r="F439" s="586"/>
      <c r="G439" s="605"/>
      <c r="H439" s="605"/>
      <c r="I439" s="605"/>
      <c r="J439" s="605"/>
      <c r="K439" s="605"/>
      <c r="L439" s="182"/>
      <c r="M439" s="182"/>
      <c r="N439" s="182"/>
      <c r="O439" s="182"/>
      <c r="P439" s="605"/>
      <c r="Q439" s="182"/>
      <c r="R439" s="182"/>
      <c r="S439" s="182"/>
      <c r="T439" s="182"/>
      <c r="U439" s="588"/>
      <c r="V439" s="182"/>
      <c r="W439" s="182"/>
      <c r="X439" s="182"/>
      <c r="Y439" s="182"/>
      <c r="Z439" s="588"/>
      <c r="AA439" s="705"/>
      <c r="AB439" s="705"/>
      <c r="AC439" s="705"/>
      <c r="AD439" s="705"/>
      <c r="AE439" s="588"/>
      <c r="AF439" s="588"/>
      <c r="AG439" s="588"/>
      <c r="AH439" s="588"/>
      <c r="AI439" s="588"/>
      <c r="AJ439" s="588"/>
      <c r="AK439" s="588"/>
      <c r="AL439" s="586"/>
      <c r="AM439" s="651"/>
      <c r="AN439" s="83"/>
      <c r="AO439" s="83"/>
    </row>
    <row r="440" spans="1:41">
      <c r="A440" s="83"/>
      <c r="B440" s="95"/>
      <c r="C440" s="96"/>
      <c r="D440" s="163" t="s">
        <v>864</v>
      </c>
      <c r="E440" s="162"/>
      <c r="F440" s="83"/>
      <c r="G440" s="1004">
        <f>(-G431*1000)/G410</f>
        <v>5267.8571428571431</v>
      </c>
      <c r="H440" s="1004">
        <f t="shared" ref="H440:V440" si="454">(-H431*1000)/H410</f>
        <v>5229.166666666667</v>
      </c>
      <c r="I440" s="1004">
        <f t="shared" si="454"/>
        <v>7743.5897435897432</v>
      </c>
      <c r="J440" s="1004">
        <f t="shared" si="454"/>
        <v>5771.4285714285716</v>
      </c>
      <c r="K440" s="1004">
        <f t="shared" si="454"/>
        <v>5608.695652173913</v>
      </c>
      <c r="L440" s="1005">
        <f t="shared" si="454"/>
        <v>5901.6393442622957</v>
      </c>
      <c r="M440" s="1005">
        <f t="shared" si="454"/>
        <v>6521.7391304347821</v>
      </c>
      <c r="N440" s="1005">
        <f t="shared" si="454"/>
        <v>6615.3846153846152</v>
      </c>
      <c r="O440" s="1005">
        <f t="shared" si="454"/>
        <v>11833.333333333334</v>
      </c>
      <c r="P440" s="1004">
        <f t="shared" si="454"/>
        <v>7647.0588235294117</v>
      </c>
      <c r="Q440" s="1005">
        <f t="shared" si="454"/>
        <v>4642.8571428571431</v>
      </c>
      <c r="R440" s="1005">
        <f t="shared" si="454"/>
        <v>8545.454545454546</v>
      </c>
      <c r="S440" s="1005">
        <f t="shared" si="454"/>
        <v>9166.6666666666679</v>
      </c>
      <c r="T440" s="1005">
        <f t="shared" si="454"/>
        <v>13269.23076923077</v>
      </c>
      <c r="U440" s="1004">
        <f t="shared" si="454"/>
        <v>8815.1658767772515</v>
      </c>
      <c r="V440" s="1005">
        <f t="shared" si="454"/>
        <v>6969.69696969697</v>
      </c>
      <c r="W440" s="1005">
        <f>(-W431*1000)/W410</f>
        <v>6000</v>
      </c>
      <c r="X440" s="1005">
        <f>(-X431*1000)/X410</f>
        <v>6060.606060606061</v>
      </c>
      <c r="Y440" s="1005">
        <f>(-Y431*1000)/Y410</f>
        <v>6363.636363636364</v>
      </c>
      <c r="Z440" s="1004">
        <f>(-Z431*1000)/Z410</f>
        <v>6343.2835820895525</v>
      </c>
      <c r="AA440" s="1005">
        <f t="shared" ref="AA440:AB440" si="455">(-AA431*1000)/AA410</f>
        <v>6551.7241379310344</v>
      </c>
      <c r="AB440" s="1005">
        <f t="shared" si="455"/>
        <v>7333.333333333333</v>
      </c>
      <c r="AC440" s="1005">
        <f>AE440</f>
        <v>5000</v>
      </c>
      <c r="AD440" s="1005">
        <f>AE440</f>
        <v>5000</v>
      </c>
      <c r="AE440" s="1197">
        <v>5000</v>
      </c>
      <c r="AF440" s="1007">
        <f>AE440</f>
        <v>5000</v>
      </c>
      <c r="AG440" s="1007">
        <f t="shared" ref="AG440:AL440" si="456">AF440</f>
        <v>5000</v>
      </c>
      <c r="AH440" s="1007">
        <f t="shared" si="456"/>
        <v>5000</v>
      </c>
      <c r="AI440" s="1007">
        <f t="shared" si="456"/>
        <v>5000</v>
      </c>
      <c r="AJ440" s="1007">
        <f t="shared" si="456"/>
        <v>5000</v>
      </c>
      <c r="AK440" s="1007">
        <f t="shared" si="456"/>
        <v>5000</v>
      </c>
      <c r="AL440" s="1007">
        <f t="shared" si="456"/>
        <v>5000</v>
      </c>
      <c r="AM440" s="651"/>
      <c r="AN440" s="83"/>
      <c r="AO440" s="83"/>
    </row>
    <row r="441" spans="1:41">
      <c r="A441" s="83"/>
      <c r="B441" s="95"/>
      <c r="C441" s="96"/>
      <c r="D441" s="163" t="s">
        <v>865</v>
      </c>
      <c r="E441" s="162"/>
      <c r="F441" s="83"/>
      <c r="G441" s="1004">
        <f>(-G432*1000)/G413</f>
        <v>109.09090909090909</v>
      </c>
      <c r="H441" s="1004">
        <f t="shared" ref="H441:U441" si="457">(-H432*1000)/H413</f>
        <v>122.44897959183673</v>
      </c>
      <c r="I441" s="1004">
        <f t="shared" si="457"/>
        <v>125</v>
      </c>
      <c r="J441" s="1004">
        <f t="shared" si="457"/>
        <v>85.714285714285708</v>
      </c>
      <c r="K441" s="1004">
        <f t="shared" si="457"/>
        <v>130.43478260869566</v>
      </c>
      <c r="L441" s="1005">
        <f t="shared" si="457"/>
        <v>158.73015873015873</v>
      </c>
      <c r="M441" s="1005">
        <f t="shared" si="457"/>
        <v>0</v>
      </c>
      <c r="N441" s="1005">
        <f t="shared" si="457"/>
        <v>142.85714285714286</v>
      </c>
      <c r="O441" s="1005">
        <f t="shared" si="457"/>
        <v>175.43859649122805</v>
      </c>
      <c r="P441" s="1004">
        <f t="shared" si="457"/>
        <v>114.94252873563218</v>
      </c>
      <c r="Q441" s="1005">
        <f t="shared" si="457"/>
        <v>172.41379310344828</v>
      </c>
      <c r="R441" s="1005">
        <f t="shared" si="457"/>
        <v>0</v>
      </c>
      <c r="S441" s="1005">
        <f t="shared" si="457"/>
        <v>204.08163265306121</v>
      </c>
      <c r="T441" s="1005">
        <f t="shared" si="457"/>
        <v>0</v>
      </c>
      <c r="U441" s="1004">
        <f t="shared" si="457"/>
        <v>94.786729857819893</v>
      </c>
      <c r="V441" s="1005">
        <f t="shared" ref="V441:AA441" si="458">(-V432*1000)/V413</f>
        <v>270.27027027027026</v>
      </c>
      <c r="W441" s="1005">
        <f t="shared" si="458"/>
        <v>0</v>
      </c>
      <c r="X441" s="1005">
        <f t="shared" si="458"/>
        <v>0</v>
      </c>
      <c r="Y441" s="1005">
        <f t="shared" si="458"/>
        <v>0</v>
      </c>
      <c r="Z441" s="1004">
        <f t="shared" si="458"/>
        <v>71.942446043165461</v>
      </c>
      <c r="AA441" s="1005">
        <f t="shared" si="458"/>
        <v>0</v>
      </c>
      <c r="AB441" s="1005">
        <f t="shared" ref="AB441" si="459">(-AB432*1000)/AB413</f>
        <v>0</v>
      </c>
      <c r="AC441" s="1005">
        <f>AE441</f>
        <v>71.942446043165461</v>
      </c>
      <c r="AD441" s="1005">
        <f>AE441</f>
        <v>71.942446043165461</v>
      </c>
      <c r="AE441" s="1006">
        <f>Z441</f>
        <v>71.942446043165461</v>
      </c>
      <c r="AF441" s="1007">
        <f>AE441</f>
        <v>71.942446043165461</v>
      </c>
      <c r="AG441" s="1007">
        <f t="shared" ref="AG441:AL441" si="460">AF441</f>
        <v>71.942446043165461</v>
      </c>
      <c r="AH441" s="1007">
        <f t="shared" si="460"/>
        <v>71.942446043165461</v>
      </c>
      <c r="AI441" s="1007">
        <f t="shared" si="460"/>
        <v>71.942446043165461</v>
      </c>
      <c r="AJ441" s="1007">
        <f t="shared" si="460"/>
        <v>71.942446043165461</v>
      </c>
      <c r="AK441" s="1007">
        <f t="shared" si="460"/>
        <v>71.942446043165461</v>
      </c>
      <c r="AL441" s="1007">
        <f t="shared" si="460"/>
        <v>71.942446043165461</v>
      </c>
      <c r="AM441" s="651"/>
      <c r="AN441" s="83"/>
      <c r="AO441" s="83"/>
    </row>
    <row r="442" spans="1:41">
      <c r="A442" s="83"/>
      <c r="B442" s="95"/>
      <c r="C442" s="96"/>
      <c r="D442" s="163" t="s">
        <v>861</v>
      </c>
      <c r="E442" s="162"/>
      <c r="F442" s="83"/>
      <c r="G442" s="1004">
        <f t="shared" ref="G442:V442" si="461">(-G433*1000)/G413</f>
        <v>2145.4545454545455</v>
      </c>
      <c r="H442" s="1004">
        <f t="shared" si="461"/>
        <v>2734.6938775510203</v>
      </c>
      <c r="I442" s="1004">
        <f t="shared" si="461"/>
        <v>3050</v>
      </c>
      <c r="J442" s="1004">
        <f t="shared" si="461"/>
        <v>6714.2857142857147</v>
      </c>
      <c r="K442" s="1004">
        <f t="shared" si="461"/>
        <v>6826.086956521739</v>
      </c>
      <c r="L442" s="1005">
        <f t="shared" si="461"/>
        <v>3650.7936507936511</v>
      </c>
      <c r="M442" s="1005">
        <f t="shared" si="461"/>
        <v>3098.5915492957747</v>
      </c>
      <c r="N442" s="1005">
        <f t="shared" si="461"/>
        <v>3000</v>
      </c>
      <c r="O442" s="1005">
        <f t="shared" si="461"/>
        <v>3333.333333333333</v>
      </c>
      <c r="P442" s="1004">
        <f t="shared" si="461"/>
        <v>3256.7049808429115</v>
      </c>
      <c r="Q442" s="1005">
        <f t="shared" si="461"/>
        <v>1551.7241379310344</v>
      </c>
      <c r="R442" s="1005">
        <f t="shared" si="461"/>
        <v>1764.7058823529412</v>
      </c>
      <c r="S442" s="1005">
        <f t="shared" si="461"/>
        <v>2244.8979591836733</v>
      </c>
      <c r="T442" s="1005">
        <f t="shared" si="461"/>
        <v>2264.1509433962265</v>
      </c>
      <c r="U442" s="1004">
        <f t="shared" si="461"/>
        <v>1943.1279620853079</v>
      </c>
      <c r="V442" s="1005">
        <f t="shared" si="461"/>
        <v>1351.3513513513512</v>
      </c>
      <c r="W442" s="1005">
        <f>(-W433*1000)/W413</f>
        <v>606.06060606060612</v>
      </c>
      <c r="X442" s="1005">
        <f>(-X433*1000)/X413</f>
        <v>571.42857142857144</v>
      </c>
      <c r="Y442" s="1005">
        <f>(-Y433*1000)/Y413</f>
        <v>588.23529411764707</v>
      </c>
      <c r="Z442" s="1004">
        <f>(-Z433*1000)/Z413</f>
        <v>791.3669064748201</v>
      </c>
      <c r="AA442" s="1005">
        <f t="shared" ref="AA442:AB442" si="462">(-AA433*1000)/AA413</f>
        <v>370.37037037037032</v>
      </c>
      <c r="AB442" s="1005">
        <f t="shared" si="462"/>
        <v>357.14285714285717</v>
      </c>
      <c r="AC442" s="1005">
        <f>AE442</f>
        <v>791.3669064748201</v>
      </c>
      <c r="AD442" s="1005">
        <f>AE442</f>
        <v>791.3669064748201</v>
      </c>
      <c r="AE442" s="1006">
        <f>Z442</f>
        <v>791.3669064748201</v>
      </c>
      <c r="AF442" s="1007">
        <f>AE442</f>
        <v>791.3669064748201</v>
      </c>
      <c r="AG442" s="1007">
        <f t="shared" ref="AG442:AL442" si="463">AF442</f>
        <v>791.3669064748201</v>
      </c>
      <c r="AH442" s="1007">
        <f t="shared" si="463"/>
        <v>791.3669064748201</v>
      </c>
      <c r="AI442" s="1007">
        <f t="shared" si="463"/>
        <v>791.3669064748201</v>
      </c>
      <c r="AJ442" s="1007">
        <f t="shared" si="463"/>
        <v>791.3669064748201</v>
      </c>
      <c r="AK442" s="1007">
        <f t="shared" si="463"/>
        <v>791.3669064748201</v>
      </c>
      <c r="AL442" s="1007">
        <f t="shared" si="463"/>
        <v>791.3669064748201</v>
      </c>
      <c r="AM442" s="651"/>
      <c r="AN442" s="83"/>
      <c r="AO442" s="83"/>
    </row>
    <row r="443" spans="1:41">
      <c r="A443" s="83"/>
      <c r="B443" s="95"/>
      <c r="C443" s="96"/>
      <c r="D443" s="163"/>
      <c r="E443" s="162"/>
      <c r="F443" s="83"/>
      <c r="G443" s="95"/>
      <c r="H443" s="95"/>
      <c r="I443" s="95"/>
      <c r="J443" s="95"/>
      <c r="K443" s="95"/>
      <c r="L443" s="126"/>
      <c r="M443" s="126"/>
      <c r="N443" s="126"/>
      <c r="O443" s="126"/>
      <c r="P443" s="95"/>
      <c r="Q443" s="126"/>
      <c r="R443" s="126"/>
      <c r="S443" s="126"/>
      <c r="T443" s="126"/>
      <c r="U443" s="92"/>
      <c r="V443" s="126"/>
      <c r="W443" s="126"/>
      <c r="X443" s="126"/>
      <c r="Y443" s="126"/>
      <c r="Z443" s="1007"/>
      <c r="AA443" s="99"/>
      <c r="AB443" s="99"/>
      <c r="AC443" s="99"/>
      <c r="AD443" s="99"/>
      <c r="AE443" s="92"/>
      <c r="AF443" s="92"/>
      <c r="AG443" s="92"/>
      <c r="AH443" s="92"/>
      <c r="AI443" s="92"/>
      <c r="AJ443" s="92"/>
      <c r="AK443" s="92"/>
      <c r="AL443" s="83"/>
      <c r="AM443" s="651"/>
      <c r="AN443" s="83"/>
      <c r="AO443" s="83"/>
    </row>
    <row r="444" spans="1:41">
      <c r="A444" s="83"/>
      <c r="B444" s="95"/>
      <c r="C444" s="96"/>
      <c r="D444" s="163"/>
      <c r="E444" s="162"/>
      <c r="F444" s="83"/>
      <c r="G444" s="95"/>
      <c r="H444" s="95"/>
      <c r="I444" s="95"/>
      <c r="J444" s="95"/>
      <c r="K444" s="95"/>
      <c r="L444" s="126"/>
      <c r="M444" s="126"/>
      <c r="N444" s="126"/>
      <c r="O444" s="126"/>
      <c r="P444" s="95"/>
      <c r="Q444" s="126"/>
      <c r="R444" s="126"/>
      <c r="S444" s="126"/>
      <c r="T444" s="126"/>
      <c r="U444" s="92"/>
      <c r="V444" s="126"/>
      <c r="W444" s="126"/>
      <c r="X444" s="126"/>
      <c r="Y444" s="126"/>
      <c r="Z444" s="92"/>
      <c r="AA444" s="99"/>
      <c r="AB444" s="99"/>
      <c r="AC444" s="99"/>
      <c r="AD444" s="99"/>
      <c r="AE444" s="92"/>
      <c r="AF444" s="92"/>
      <c r="AG444" s="92"/>
      <c r="AH444" s="92"/>
      <c r="AI444" s="92"/>
      <c r="AJ444" s="92"/>
      <c r="AK444" s="92"/>
      <c r="AL444" s="83"/>
      <c r="AM444" s="651"/>
      <c r="AN444" s="83"/>
      <c r="AO444" s="83"/>
    </row>
    <row r="445" spans="1:41">
      <c r="A445" s="83"/>
      <c r="B445" s="95"/>
      <c r="C445" s="96"/>
      <c r="D445" s="163"/>
      <c r="E445" s="162"/>
      <c r="F445" s="83"/>
      <c r="G445" s="95"/>
      <c r="H445" s="95"/>
      <c r="I445" s="95"/>
      <c r="J445" s="95"/>
      <c r="K445" s="95"/>
      <c r="L445" s="126"/>
      <c r="M445" s="126"/>
      <c r="N445" s="126"/>
      <c r="O445" s="126"/>
      <c r="P445" s="95"/>
      <c r="Q445" s="126"/>
      <c r="R445" s="126"/>
      <c r="S445" s="126"/>
      <c r="T445" s="126"/>
      <c r="U445" s="92"/>
      <c r="V445" s="126"/>
      <c r="W445" s="126"/>
      <c r="X445" s="126"/>
      <c r="Y445" s="126"/>
      <c r="Z445" s="92"/>
      <c r="AA445" s="99"/>
      <c r="AB445" s="99"/>
      <c r="AC445" s="99"/>
      <c r="AD445" s="99"/>
      <c r="AE445" s="92"/>
      <c r="AF445" s="92"/>
      <c r="AG445" s="92"/>
      <c r="AH445" s="92"/>
      <c r="AI445" s="92"/>
      <c r="AJ445" s="92"/>
      <c r="AK445" s="92"/>
      <c r="AL445" s="83"/>
      <c r="AM445" s="651"/>
      <c r="AN445" s="83"/>
      <c r="AO445" s="83"/>
    </row>
    <row r="446" spans="1:41">
      <c r="A446" s="83"/>
      <c r="B446" s="95"/>
      <c r="C446" s="96"/>
      <c r="D446" s="119" t="s">
        <v>207</v>
      </c>
      <c r="E446" s="119"/>
      <c r="F446" s="136"/>
      <c r="G446" s="187"/>
      <c r="H446" s="187"/>
      <c r="I446" s="187"/>
      <c r="J446" s="187"/>
      <c r="K446" s="187"/>
      <c r="L446" s="188"/>
      <c r="M446" s="188"/>
      <c r="N446" s="188"/>
      <c r="O446" s="188"/>
      <c r="P446" s="187"/>
      <c r="Q446" s="188"/>
      <c r="R446" s="188"/>
      <c r="S446" s="188"/>
      <c r="T446" s="188"/>
      <c r="U446" s="189"/>
      <c r="V446" s="188"/>
      <c r="W446" s="188"/>
      <c r="X446" s="188"/>
      <c r="Y446" s="188"/>
      <c r="Z446" s="189"/>
      <c r="AA446" s="686"/>
      <c r="AB446" s="686"/>
      <c r="AC446" s="686"/>
      <c r="AD446" s="686"/>
      <c r="AE446" s="189"/>
      <c r="AF446" s="189"/>
      <c r="AG446" s="189"/>
      <c r="AH446" s="189"/>
      <c r="AI446" s="189"/>
      <c r="AJ446" s="92"/>
      <c r="AK446" s="92"/>
      <c r="AL446" s="83"/>
      <c r="AM446" s="651"/>
      <c r="AN446" s="83"/>
      <c r="AO446" s="83"/>
    </row>
    <row r="447" spans="1:41">
      <c r="A447" s="83"/>
      <c r="B447" s="95"/>
      <c r="C447" s="96"/>
      <c r="D447" s="134" t="s">
        <v>863</v>
      </c>
      <c r="E447" s="119"/>
      <c r="F447" s="136"/>
      <c r="G447" s="187"/>
      <c r="H447" s="187"/>
      <c r="I447" s="187"/>
      <c r="J447" s="187"/>
      <c r="K447" s="187"/>
      <c r="L447" s="191">
        <f>L410/$P$410</f>
        <v>0.23921568627450979</v>
      </c>
      <c r="M447" s="191">
        <f>M410/$P$410</f>
        <v>0.27058823529411768</v>
      </c>
      <c r="N447" s="191">
        <f>N410/$P$410</f>
        <v>0.25490196078431371</v>
      </c>
      <c r="O447" s="191">
        <f>O410/$P$410</f>
        <v>0.23529411764705882</v>
      </c>
      <c r="P447" s="190">
        <v>1</v>
      </c>
      <c r="Q447" s="191">
        <f>Q410/$U$410</f>
        <v>0.2654028436018957</v>
      </c>
      <c r="R447" s="191">
        <f>R410/$U$410</f>
        <v>0.26066350710900471</v>
      </c>
      <c r="S447" s="191">
        <f>S410/$U$410</f>
        <v>0.22748815165876776</v>
      </c>
      <c r="T447" s="191">
        <f>T410/$U$410</f>
        <v>0.24644549763033174</v>
      </c>
      <c r="U447" s="190">
        <v>1</v>
      </c>
      <c r="V447" s="191">
        <f>V410/$Z$410</f>
        <v>0.2462686567164179</v>
      </c>
      <c r="W447" s="191">
        <f>W410/$Z$410</f>
        <v>0.26119402985074625</v>
      </c>
      <c r="X447" s="191">
        <f>X410/$Z$410</f>
        <v>0.2462686567164179</v>
      </c>
      <c r="Y447" s="191">
        <f>Y410/$Z$410</f>
        <v>0.2462686567164179</v>
      </c>
      <c r="Z447" s="190">
        <v>1</v>
      </c>
      <c r="AA447" s="191">
        <f>AA410/$AE$410</f>
        <v>0.28999999999999998</v>
      </c>
      <c r="AB447" s="191">
        <f>AB410/$AE$410</f>
        <v>0.3</v>
      </c>
      <c r="AC447" s="122">
        <v>0.22</v>
      </c>
      <c r="AD447" s="998">
        <f>AE447-AA447-AB447-AC447</f>
        <v>0.18999999999999997</v>
      </c>
      <c r="AE447" s="190">
        <v>1</v>
      </c>
      <c r="AF447" s="189"/>
      <c r="AG447" s="189"/>
      <c r="AH447" s="189"/>
      <c r="AI447" s="189"/>
      <c r="AJ447" s="92"/>
      <c r="AK447" s="92"/>
      <c r="AL447" s="83"/>
      <c r="AM447" s="651"/>
      <c r="AN447" s="83"/>
      <c r="AO447" s="83"/>
    </row>
    <row r="448" spans="1:41">
      <c r="A448" s="83"/>
      <c r="B448" s="95"/>
      <c r="C448" s="96"/>
      <c r="D448" s="83" t="s">
        <v>265</v>
      </c>
      <c r="E448" s="83"/>
      <c r="F448" s="136"/>
      <c r="G448" s="208"/>
      <c r="H448" s="190">
        <f t="shared" ref="H448:AL448" si="464">H435/H430</f>
        <v>0.31466666666666665</v>
      </c>
      <c r="I448" s="190">
        <f t="shared" si="464"/>
        <v>-6.5972222222222224E-2</v>
      </c>
      <c r="J448" s="190">
        <f t="shared" si="464"/>
        <v>0.10480349344978165</v>
      </c>
      <c r="K448" s="190">
        <f t="shared" si="464"/>
        <v>0.27472527472527475</v>
      </c>
      <c r="L448" s="191">
        <f t="shared" si="464"/>
        <v>0.3392857142857143</v>
      </c>
      <c r="M448" s="191">
        <f t="shared" si="464"/>
        <v>0.296875</v>
      </c>
      <c r="N448" s="191">
        <f t="shared" si="464"/>
        <v>0.21428571428571427</v>
      </c>
      <c r="O448" s="191">
        <f t="shared" si="464"/>
        <v>-0.5</v>
      </c>
      <c r="P448" s="190">
        <f t="shared" si="464"/>
        <v>0.11607142857142858</v>
      </c>
      <c r="Q448" s="191">
        <f t="shared" si="464"/>
        <v>0.44897959183673469</v>
      </c>
      <c r="R448" s="191">
        <f t="shared" si="464"/>
        <v>-0.14634146341463414</v>
      </c>
      <c r="S448" s="191">
        <f t="shared" si="464"/>
        <v>-0.15384615384615385</v>
      </c>
      <c r="T448" s="191">
        <f t="shared" si="464"/>
        <v>-0.68292682926829273</v>
      </c>
      <c r="U448" s="190">
        <f t="shared" si="464"/>
        <v>-0.10588235294117647</v>
      </c>
      <c r="V448" s="191">
        <f t="shared" si="464"/>
        <v>0.1111111111111111</v>
      </c>
      <c r="W448" s="191">
        <f t="shared" si="464"/>
        <v>0.16</v>
      </c>
      <c r="X448" s="191">
        <f t="shared" si="464"/>
        <v>0.35483870967741937</v>
      </c>
      <c r="Y448" s="191">
        <f t="shared" si="464"/>
        <v>0.36363636363636365</v>
      </c>
      <c r="Z448" s="190">
        <f t="shared" si="464"/>
        <v>0.25862068965517243</v>
      </c>
      <c r="AA448" s="191">
        <f>AA435/AA430</f>
        <v>0.36666666666666664</v>
      </c>
      <c r="AB448" s="191">
        <f>AB435/AB430</f>
        <v>0.33333333333333331</v>
      </c>
      <c r="AC448" s="191">
        <f t="shared" si="464"/>
        <v>0.55540476454740828</v>
      </c>
      <c r="AD448" s="191">
        <f t="shared" si="464"/>
        <v>0.55540476454740839</v>
      </c>
      <c r="AE448" s="190">
        <f t="shared" si="464"/>
        <v>0.43706488284186085</v>
      </c>
      <c r="AF448" s="190">
        <f t="shared" si="464"/>
        <v>0.56296546558046889</v>
      </c>
      <c r="AG448" s="190">
        <f t="shared" si="464"/>
        <v>0.56296546558046878</v>
      </c>
      <c r="AH448" s="190">
        <f t="shared" si="464"/>
        <v>0.56651859187656262</v>
      </c>
      <c r="AI448" s="190">
        <f t="shared" si="464"/>
        <v>0.5165469686437818</v>
      </c>
      <c r="AJ448" s="190">
        <f t="shared" si="464"/>
        <v>0.51654696864378169</v>
      </c>
      <c r="AK448" s="190">
        <f t="shared" si="464"/>
        <v>0.51654696864378169</v>
      </c>
      <c r="AL448" s="190">
        <f t="shared" si="464"/>
        <v>0.51654696864378169</v>
      </c>
      <c r="AM448" s="651"/>
      <c r="AN448" s="83"/>
      <c r="AO448" s="83"/>
    </row>
    <row r="449" spans="1:79">
      <c r="A449" s="83"/>
      <c r="B449" s="95"/>
      <c r="C449" s="96"/>
      <c r="D449" s="83" t="s">
        <v>256</v>
      </c>
      <c r="E449" s="83"/>
      <c r="F449" s="136"/>
      <c r="G449" s="208"/>
      <c r="H449" s="190">
        <f t="shared" ref="H449:AL449" si="465">H433/H434</f>
        <v>0.34271099744245526</v>
      </c>
      <c r="I449" s="190">
        <f t="shared" si="465"/>
        <v>0.28438228438228436</v>
      </c>
      <c r="J449" s="190">
        <f t="shared" si="465"/>
        <v>0.53409090909090906</v>
      </c>
      <c r="K449" s="190">
        <f t="shared" si="465"/>
        <v>0.54325259515570934</v>
      </c>
      <c r="L449" s="191">
        <f t="shared" si="465"/>
        <v>0.38333333333333336</v>
      </c>
      <c r="M449" s="191">
        <f t="shared" si="465"/>
        <v>0.32835820895522388</v>
      </c>
      <c r="N449" s="191">
        <f t="shared" si="465"/>
        <v>0.32307692307692309</v>
      </c>
      <c r="O449" s="191">
        <f t="shared" si="465"/>
        <v>0.2087912087912088</v>
      </c>
      <c r="P449" s="190">
        <f t="shared" si="465"/>
        <v>0.30035335689045939</v>
      </c>
      <c r="Q449" s="191">
        <f t="shared" si="465"/>
        <v>0.25</v>
      </c>
      <c r="R449" s="191">
        <f t="shared" si="465"/>
        <v>0.16071428571428573</v>
      </c>
      <c r="S449" s="191">
        <f t="shared" si="465"/>
        <v>0.19642857142857142</v>
      </c>
      <c r="T449" s="191">
        <f t="shared" si="465"/>
        <v>0.14814814814814814</v>
      </c>
      <c r="U449" s="190">
        <f t="shared" si="465"/>
        <v>0.17903930131004367</v>
      </c>
      <c r="V449" s="191">
        <f t="shared" si="465"/>
        <v>0.17241379310344829</v>
      </c>
      <c r="W449" s="191">
        <f t="shared" si="465"/>
        <v>8.6956521739130432E-2</v>
      </c>
      <c r="X449" s="191">
        <f t="shared" si="465"/>
        <v>9.0909090909090912E-2</v>
      </c>
      <c r="Y449" s="191">
        <f t="shared" si="465"/>
        <v>8.6956521739130432E-2</v>
      </c>
      <c r="Z449" s="190">
        <f t="shared" si="465"/>
        <v>0.1134020618556701</v>
      </c>
      <c r="AA449" s="191">
        <f>AA433/AA434</f>
        <v>0.05</v>
      </c>
      <c r="AB449" s="191">
        <f t="shared" si="465"/>
        <v>4.3478260869565216E-2</v>
      </c>
      <c r="AC449" s="191">
        <f t="shared" si="465"/>
        <v>0.13496932515337423</v>
      </c>
      <c r="AD449" s="191">
        <f t="shared" si="465"/>
        <v>0.13496932515337423</v>
      </c>
      <c r="AE449" s="190">
        <f t="shared" si="465"/>
        <v>7.8231475022804087E-2</v>
      </c>
      <c r="AF449" s="190">
        <f t="shared" si="465"/>
        <v>0.13496932515337426</v>
      </c>
      <c r="AG449" s="190">
        <f t="shared" si="465"/>
        <v>0.13496932515337426</v>
      </c>
      <c r="AH449" s="190">
        <f t="shared" si="465"/>
        <v>0.13496932515337423</v>
      </c>
      <c r="AI449" s="190">
        <f t="shared" si="465"/>
        <v>0.13496932515337423</v>
      </c>
      <c r="AJ449" s="190">
        <f t="shared" si="465"/>
        <v>0.13496932515337423</v>
      </c>
      <c r="AK449" s="190">
        <f t="shared" si="465"/>
        <v>0.13496932515337423</v>
      </c>
      <c r="AL449" s="190">
        <f t="shared" si="465"/>
        <v>0.13496932515337423</v>
      </c>
      <c r="AM449" s="651"/>
      <c r="AN449" s="83"/>
      <c r="AO449" s="83"/>
    </row>
    <row r="450" spans="1:79">
      <c r="A450" s="83"/>
      <c r="B450" s="95"/>
      <c r="C450" s="96"/>
      <c r="D450" s="162"/>
      <c r="E450" s="162"/>
      <c r="F450" s="83"/>
      <c r="G450" s="95"/>
      <c r="H450" s="95"/>
      <c r="I450" s="95"/>
      <c r="J450" s="95"/>
      <c r="K450" s="95"/>
      <c r="L450" s="126"/>
      <c r="M450" s="126"/>
      <c r="N450" s="126"/>
      <c r="O450" s="126"/>
      <c r="P450" s="95"/>
      <c r="Q450" s="126"/>
      <c r="R450" s="126"/>
      <c r="S450" s="126"/>
      <c r="T450" s="126"/>
      <c r="U450" s="92"/>
      <c r="V450" s="126"/>
      <c r="W450" s="126"/>
      <c r="X450" s="126"/>
      <c r="Y450" s="126"/>
      <c r="Z450" s="92"/>
      <c r="AA450" s="99"/>
      <c r="AB450" s="99"/>
      <c r="AC450" s="99"/>
      <c r="AD450" s="99"/>
      <c r="AE450" s="92"/>
      <c r="AF450" s="92"/>
      <c r="AG450" s="92"/>
      <c r="AH450" s="92"/>
      <c r="AI450" s="92"/>
      <c r="AJ450" s="92"/>
      <c r="AK450" s="92"/>
      <c r="AL450" s="83"/>
      <c r="AM450" s="651"/>
      <c r="AN450" s="83"/>
      <c r="AO450" s="83"/>
    </row>
    <row r="451" spans="1:79">
      <c r="A451" s="83"/>
      <c r="B451" s="95"/>
      <c r="C451" s="96"/>
      <c r="D451" s="162"/>
      <c r="E451" s="162"/>
      <c r="F451" s="83"/>
      <c r="G451" s="95"/>
      <c r="H451" s="95"/>
      <c r="I451" s="95"/>
      <c r="J451" s="95"/>
      <c r="K451" s="95"/>
      <c r="L451" s="126"/>
      <c r="M451" s="126"/>
      <c r="N451" s="126"/>
      <c r="O451" s="126"/>
      <c r="P451" s="95"/>
      <c r="Q451" s="126"/>
      <c r="R451" s="126"/>
      <c r="S451" s="126"/>
      <c r="T451" s="126"/>
      <c r="U451" s="92"/>
      <c r="V451" s="126"/>
      <c r="W451" s="126"/>
      <c r="X451" s="126"/>
      <c r="Y451" s="126"/>
      <c r="Z451" s="92"/>
      <c r="AA451" s="99"/>
      <c r="AB451" s="99"/>
      <c r="AC451" s="99"/>
      <c r="AD451" s="99"/>
      <c r="AE451" s="92"/>
      <c r="AF451" s="92"/>
      <c r="AG451" s="92"/>
      <c r="AH451" s="92"/>
      <c r="AI451" s="92"/>
      <c r="AJ451" s="92"/>
      <c r="AK451" s="92"/>
      <c r="AL451" s="83"/>
      <c r="AM451" s="651"/>
      <c r="AN451" s="83"/>
      <c r="AO451" s="83"/>
    </row>
    <row r="452" spans="1:79">
      <c r="A452" s="83"/>
      <c r="B452" s="95"/>
      <c r="C452" s="96"/>
      <c r="D452" s="162"/>
      <c r="E452" s="162"/>
      <c r="F452" s="83"/>
      <c r="G452" s="95"/>
      <c r="H452" s="95"/>
      <c r="I452" s="95"/>
      <c r="J452" s="95"/>
      <c r="K452" s="95"/>
      <c r="L452" s="126"/>
      <c r="M452" s="126"/>
      <c r="N452" s="126"/>
      <c r="O452" s="126"/>
      <c r="P452" s="95"/>
      <c r="Q452" s="126"/>
      <c r="R452" s="126"/>
      <c r="S452" s="126"/>
      <c r="T452" s="126"/>
      <c r="U452" s="92"/>
      <c r="V452" s="126"/>
      <c r="W452" s="126"/>
      <c r="X452" s="126"/>
      <c r="Y452" s="126"/>
      <c r="Z452" s="92"/>
      <c r="AA452" s="99"/>
      <c r="AB452" s="99"/>
      <c r="AC452" s="99"/>
      <c r="AD452" s="99"/>
      <c r="AE452" s="92"/>
      <c r="AF452" s="92"/>
      <c r="AG452" s="92"/>
      <c r="AH452" s="92"/>
      <c r="AI452" s="92"/>
      <c r="AJ452" s="92"/>
      <c r="AK452" s="92"/>
      <c r="AL452" s="83"/>
      <c r="AM452" s="651"/>
      <c r="AN452" s="83"/>
      <c r="AO452" s="83"/>
    </row>
    <row r="453" spans="1:79">
      <c r="A453" s="83"/>
      <c r="B453" s="95"/>
      <c r="C453" s="96"/>
      <c r="D453" s="162"/>
      <c r="E453" s="162"/>
      <c r="F453" s="83"/>
      <c r="G453" s="95"/>
      <c r="H453" s="95"/>
      <c r="I453" s="95"/>
      <c r="J453" s="95"/>
      <c r="K453" s="95"/>
      <c r="L453" s="126"/>
      <c r="M453" s="126"/>
      <c r="N453" s="126"/>
      <c r="O453" s="126"/>
      <c r="P453" s="95"/>
      <c r="Q453" s="126"/>
      <c r="R453" s="126"/>
      <c r="S453" s="126"/>
      <c r="T453" s="126"/>
      <c r="U453" s="92"/>
      <c r="V453" s="126"/>
      <c r="W453" s="126"/>
      <c r="X453" s="126"/>
      <c r="Y453" s="126"/>
      <c r="Z453" s="92"/>
      <c r="AA453" s="99"/>
      <c r="AB453" s="99"/>
      <c r="AC453" s="99"/>
      <c r="AD453" s="99"/>
      <c r="AE453" s="92"/>
      <c r="AF453" s="92"/>
      <c r="AG453" s="92"/>
      <c r="AH453" s="92"/>
      <c r="AI453" s="92"/>
      <c r="AJ453" s="92"/>
      <c r="AK453" s="92"/>
      <c r="AL453" s="83"/>
      <c r="AM453" s="651"/>
      <c r="AN453" s="83"/>
      <c r="AO453" s="83"/>
    </row>
    <row r="454" spans="1:79">
      <c r="A454" s="83"/>
      <c r="B454" s="95"/>
      <c r="C454" s="96"/>
      <c r="D454" s="162"/>
      <c r="E454" s="162"/>
      <c r="F454" s="83"/>
      <c r="G454" s="95"/>
      <c r="H454" s="95"/>
      <c r="I454" s="95"/>
      <c r="J454" s="95"/>
      <c r="K454" s="95"/>
      <c r="L454" s="126"/>
      <c r="M454" s="126"/>
      <c r="N454" s="126"/>
      <c r="O454" s="126"/>
      <c r="P454" s="95"/>
      <c r="Q454" s="126"/>
      <c r="R454" s="126"/>
      <c r="S454" s="126"/>
      <c r="T454" s="126"/>
      <c r="U454" s="92"/>
      <c r="V454" s="126"/>
      <c r="W454" s="126"/>
      <c r="X454" s="126"/>
      <c r="Y454" s="126"/>
      <c r="Z454" s="92"/>
      <c r="AA454" s="99"/>
      <c r="AB454" s="99"/>
      <c r="AC454" s="99"/>
      <c r="AD454" s="99"/>
      <c r="AE454" s="92"/>
      <c r="AF454" s="92"/>
      <c r="AG454" s="92"/>
      <c r="AH454" s="92"/>
      <c r="AI454" s="92"/>
      <c r="AJ454" s="92"/>
      <c r="AK454" s="92"/>
      <c r="AL454" s="83"/>
      <c r="AM454" s="651"/>
      <c r="AN454" s="83"/>
      <c r="AO454" s="83"/>
    </row>
    <row r="455" spans="1:79">
      <c r="A455" s="83"/>
      <c r="B455" s="95"/>
      <c r="C455" s="96"/>
      <c r="D455" s="162"/>
      <c r="E455" s="162"/>
      <c r="F455" s="83"/>
      <c r="G455" s="95"/>
      <c r="H455" s="95"/>
      <c r="I455" s="95"/>
      <c r="J455" s="95"/>
      <c r="K455" s="95"/>
      <c r="L455" s="126"/>
      <c r="M455" s="126"/>
      <c r="N455" s="126"/>
      <c r="O455" s="126"/>
      <c r="P455" s="95"/>
      <c r="Q455" s="126"/>
      <c r="R455" s="126"/>
      <c r="S455" s="126"/>
      <c r="T455" s="126"/>
      <c r="U455" s="92"/>
      <c r="V455" s="126"/>
      <c r="W455" s="126"/>
      <c r="X455" s="126"/>
      <c r="Y455" s="126"/>
      <c r="Z455" s="92"/>
      <c r="AA455" s="99"/>
      <c r="AB455" s="99"/>
      <c r="AC455" s="99"/>
      <c r="AD455" s="99"/>
      <c r="AE455" s="92"/>
      <c r="AF455" s="92"/>
      <c r="AG455" s="92"/>
      <c r="AH455" s="92"/>
      <c r="AI455" s="92"/>
      <c r="AJ455" s="92"/>
      <c r="AK455" s="92"/>
      <c r="AL455" s="83"/>
      <c r="AM455" s="651"/>
      <c r="AN455" s="83"/>
      <c r="AO455" s="83"/>
    </row>
    <row r="456" spans="1:79">
      <c r="A456" s="83"/>
      <c r="B456" s="95"/>
      <c r="C456" s="96"/>
      <c r="D456" s="84"/>
      <c r="E456" s="84"/>
      <c r="F456" s="83"/>
      <c r="G456" s="197"/>
      <c r="H456" s="197"/>
      <c r="I456" s="197"/>
      <c r="J456" s="197"/>
      <c r="K456" s="197"/>
      <c r="L456" s="198"/>
      <c r="M456" s="198"/>
      <c r="N456" s="198"/>
      <c r="O456" s="198"/>
      <c r="P456" s="197"/>
      <c r="Q456" s="198"/>
      <c r="R456" s="198"/>
      <c r="S456" s="198"/>
      <c r="T456" s="198"/>
      <c r="U456" s="83"/>
      <c r="V456" s="126"/>
      <c r="W456" s="126"/>
      <c r="X456" s="126"/>
      <c r="Y456" s="126"/>
      <c r="Z456" s="83"/>
      <c r="AA456" s="140"/>
      <c r="AB456" s="140"/>
      <c r="AC456" s="140"/>
      <c r="AD456" s="140"/>
      <c r="AE456" s="83"/>
      <c r="AF456" s="83"/>
      <c r="AG456" s="83"/>
      <c r="AH456" s="83"/>
      <c r="AI456" s="83"/>
      <c r="AJ456" s="83"/>
      <c r="AK456" s="83"/>
      <c r="AL456" s="83"/>
      <c r="AM456" s="651"/>
      <c r="AN456" s="83"/>
      <c r="AO456" s="83"/>
      <c r="CA456" s="502"/>
    </row>
    <row r="457" spans="1:79">
      <c r="A457" s="155" t="s">
        <v>40</v>
      </c>
      <c r="B457" s="199" t="s">
        <v>0</v>
      </c>
      <c r="C457" s="192" t="s">
        <v>0</v>
      </c>
      <c r="D457" s="193" t="s">
        <v>196</v>
      </c>
      <c r="E457" s="193"/>
      <c r="F457" s="161"/>
      <c r="G457" s="194" t="s">
        <v>0</v>
      </c>
      <c r="H457" s="194" t="s">
        <v>0</v>
      </c>
      <c r="I457" s="194" t="s">
        <v>0</v>
      </c>
      <c r="J457" s="194" t="s">
        <v>0</v>
      </c>
      <c r="K457" s="194" t="s">
        <v>0</v>
      </c>
      <c r="L457" s="194"/>
      <c r="M457" s="194"/>
      <c r="N457" s="194"/>
      <c r="O457" s="194"/>
      <c r="P457" s="195" t="s">
        <v>0</v>
      </c>
      <c r="Q457" s="194"/>
      <c r="R457" s="194"/>
      <c r="S457" s="194"/>
      <c r="T457" s="194"/>
      <c r="U457" s="161"/>
      <c r="V457" s="161"/>
      <c r="W457" s="161"/>
      <c r="X457" s="161"/>
      <c r="Y457" s="161"/>
      <c r="Z457" s="161"/>
      <c r="AA457" s="161"/>
      <c r="AB457" s="161"/>
      <c r="AC457" s="161"/>
      <c r="AD457" s="161"/>
      <c r="AE457" s="161"/>
      <c r="AF457" s="161"/>
      <c r="AG457" s="161"/>
      <c r="AH457" s="161"/>
      <c r="AI457" s="161"/>
      <c r="AJ457" s="161"/>
      <c r="AK457" s="161"/>
      <c r="AL457" s="161"/>
      <c r="AM457" s="651"/>
      <c r="AN457" s="161"/>
      <c r="AO457" s="161"/>
      <c r="AP457" s="158"/>
      <c r="AQ457" s="158"/>
      <c r="AR457" s="158"/>
      <c r="CA457" s="502"/>
    </row>
    <row r="458" spans="1:79">
      <c r="A458" s="83"/>
      <c r="B458" s="95"/>
      <c r="C458" s="96"/>
      <c r="D458" s="162"/>
      <c r="E458" s="162"/>
      <c r="F458" s="83"/>
      <c r="G458" s="95"/>
      <c r="H458" s="95"/>
      <c r="I458" s="95"/>
      <c r="J458" s="95"/>
      <c r="K458" s="95"/>
      <c r="L458" s="126"/>
      <c r="M458" s="126"/>
      <c r="N458" s="126"/>
      <c r="O458" s="126"/>
      <c r="P458" s="210"/>
      <c r="Q458" s="126"/>
      <c r="R458" s="126"/>
      <c r="S458" s="126"/>
      <c r="T458" s="126"/>
      <c r="U458" s="83"/>
      <c r="V458" s="126"/>
      <c r="W458" s="126"/>
      <c r="X458" s="126"/>
      <c r="Y458" s="126"/>
      <c r="Z458" s="83"/>
      <c r="AA458" s="126"/>
      <c r="AB458" s="126"/>
      <c r="AC458" s="126"/>
      <c r="AD458" s="126"/>
      <c r="AE458" s="83"/>
      <c r="AF458" s="83"/>
      <c r="AG458" s="83"/>
      <c r="AH458" s="83"/>
      <c r="AI458" s="83"/>
      <c r="AJ458" s="83"/>
      <c r="AK458" s="83"/>
      <c r="AL458" s="83"/>
      <c r="AM458" s="651"/>
      <c r="AN458" s="83"/>
      <c r="AO458" s="83"/>
      <c r="CA458" s="502"/>
    </row>
    <row r="459" spans="1:79">
      <c r="A459" s="83"/>
      <c r="B459" s="95"/>
      <c r="C459" s="96"/>
      <c r="D459" s="163" t="s">
        <v>150</v>
      </c>
      <c r="E459" s="163"/>
      <c r="F459" s="83"/>
      <c r="G459" s="90">
        <v>14</v>
      </c>
      <c r="H459" s="90">
        <v>14</v>
      </c>
      <c r="I459" s="90">
        <v>6</v>
      </c>
      <c r="J459" s="90">
        <v>0</v>
      </c>
      <c r="K459" s="90">
        <v>0</v>
      </c>
      <c r="L459" s="91">
        <v>0</v>
      </c>
      <c r="M459" s="91">
        <v>0</v>
      </c>
      <c r="N459" s="91">
        <v>0</v>
      </c>
      <c r="O459" s="91">
        <v>0</v>
      </c>
      <c r="P459" s="90">
        <v>0</v>
      </c>
      <c r="Q459" s="91">
        <v>0</v>
      </c>
      <c r="R459" s="91">
        <v>0</v>
      </c>
      <c r="S459" s="91">
        <v>0</v>
      </c>
      <c r="T459" s="91">
        <v>0</v>
      </c>
      <c r="U459" s="90">
        <v>0</v>
      </c>
      <c r="V459" s="91">
        <v>0</v>
      </c>
      <c r="W459" s="91">
        <v>0</v>
      </c>
      <c r="X459" s="91">
        <v>0</v>
      </c>
      <c r="Y459" s="91">
        <v>0</v>
      </c>
      <c r="Z459" s="90">
        <v>0</v>
      </c>
      <c r="AA459" s="91">
        <v>0</v>
      </c>
      <c r="AB459" s="91">
        <v>0</v>
      </c>
      <c r="AC459" s="91">
        <v>0</v>
      </c>
      <c r="AD459" s="91">
        <v>0</v>
      </c>
      <c r="AE459" s="90">
        <v>0</v>
      </c>
      <c r="AF459" s="90">
        <v>0</v>
      </c>
      <c r="AG459" s="83"/>
      <c r="AH459" s="83"/>
      <c r="AI459" s="83"/>
      <c r="AJ459" s="83"/>
      <c r="AK459" s="83"/>
      <c r="AL459" s="83"/>
      <c r="AM459" s="651"/>
      <c r="AN459" s="83"/>
      <c r="AO459" s="83"/>
      <c r="CA459" s="502"/>
    </row>
    <row r="460" spans="1:79">
      <c r="A460" s="83"/>
      <c r="B460" s="95" t="s">
        <v>147</v>
      </c>
      <c r="C460" s="96" t="s">
        <v>103</v>
      </c>
      <c r="D460" s="164" t="s">
        <v>224</v>
      </c>
      <c r="E460" s="164"/>
      <c r="F460" s="83"/>
      <c r="G460" s="165">
        <f>(G470*1000000)/(G459*1000)*-1</f>
        <v>6714.2857142857147</v>
      </c>
      <c r="H460" s="165">
        <f>(H470*1000000)/(H459*1000)*-1</f>
        <v>5714.2857142857147</v>
      </c>
      <c r="I460" s="165">
        <f>(I470*1000000)/(I459*1000)*-1</f>
        <v>9333.3333333333339</v>
      </c>
      <c r="J460" s="165"/>
      <c r="K460" s="165"/>
      <c r="L460" s="166"/>
      <c r="M460" s="166"/>
      <c r="N460" s="166"/>
      <c r="O460" s="166"/>
      <c r="P460" s="165"/>
      <c r="Q460" s="166"/>
      <c r="R460" s="166"/>
      <c r="S460" s="166"/>
      <c r="T460" s="166"/>
      <c r="U460" s="165"/>
      <c r="V460" s="166"/>
      <c r="W460" s="166"/>
      <c r="X460" s="166"/>
      <c r="Y460" s="166"/>
      <c r="Z460" s="165"/>
      <c r="AA460" s="166"/>
      <c r="AB460" s="166"/>
      <c r="AC460" s="166"/>
      <c r="AD460" s="166"/>
      <c r="AE460" s="165"/>
      <c r="AF460" s="165"/>
      <c r="AG460" s="205"/>
      <c r="AH460" s="83"/>
      <c r="AI460" s="83"/>
      <c r="AJ460" s="83"/>
      <c r="AK460" s="83"/>
      <c r="AL460" s="83"/>
      <c r="AM460" s="651"/>
      <c r="AN460" s="83"/>
      <c r="AO460" s="83"/>
      <c r="CA460" s="502"/>
    </row>
    <row r="461" spans="1:79">
      <c r="A461" s="83"/>
      <c r="B461" s="95"/>
      <c r="C461" s="96"/>
      <c r="D461" s="163"/>
      <c r="E461" s="163"/>
      <c r="F461" s="83"/>
      <c r="G461" s="90"/>
      <c r="H461" s="90"/>
      <c r="I461" s="90"/>
      <c r="J461" s="90"/>
      <c r="K461" s="90"/>
      <c r="L461" s="91"/>
      <c r="M461" s="91"/>
      <c r="N461" s="91"/>
      <c r="O461" s="91"/>
      <c r="P461" s="90"/>
      <c r="Q461" s="91"/>
      <c r="R461" s="91"/>
      <c r="S461" s="91"/>
      <c r="T461" s="91"/>
      <c r="U461" s="90"/>
      <c r="V461" s="91"/>
      <c r="W461" s="91"/>
      <c r="X461" s="91"/>
      <c r="Y461" s="91"/>
      <c r="Z461" s="90"/>
      <c r="AA461" s="91"/>
      <c r="AB461" s="91"/>
      <c r="AC461" s="91"/>
      <c r="AD461" s="91"/>
      <c r="AE461" s="90"/>
      <c r="AF461" s="90"/>
      <c r="AG461" s="83"/>
      <c r="AH461" s="83"/>
      <c r="AI461" s="83"/>
      <c r="AJ461" s="83"/>
      <c r="AK461" s="83"/>
      <c r="AL461" s="83"/>
      <c r="AM461" s="651"/>
      <c r="AN461" s="83"/>
      <c r="AO461" s="83"/>
      <c r="CA461" s="502"/>
    </row>
    <row r="462" spans="1:79">
      <c r="A462" s="83"/>
      <c r="B462" s="95"/>
      <c r="C462" s="96"/>
      <c r="D462" s="162"/>
      <c r="E462" s="162"/>
      <c r="F462" s="83"/>
      <c r="G462" s="95"/>
      <c r="H462" s="95"/>
      <c r="I462" s="95"/>
      <c r="J462" s="95"/>
      <c r="K462" s="95"/>
      <c r="L462" s="126"/>
      <c r="M462" s="126"/>
      <c r="N462" s="126"/>
      <c r="O462" s="126"/>
      <c r="P462" s="95"/>
      <c r="Q462" s="126"/>
      <c r="R462" s="126"/>
      <c r="S462" s="126"/>
      <c r="T462" s="126"/>
      <c r="U462" s="95"/>
      <c r="V462" s="126"/>
      <c r="W462" s="126"/>
      <c r="X462" s="126"/>
      <c r="Y462" s="126"/>
      <c r="Z462" s="95"/>
      <c r="AA462" s="126"/>
      <c r="AB462" s="126"/>
      <c r="AC462" s="126"/>
      <c r="AD462" s="126"/>
      <c r="AE462" s="95"/>
      <c r="AF462" s="95"/>
      <c r="AG462" s="83"/>
      <c r="AH462" s="83"/>
      <c r="AI462" s="83"/>
      <c r="AJ462" s="83"/>
      <c r="AK462" s="83"/>
      <c r="AL462" s="83"/>
      <c r="AM462" s="651"/>
      <c r="AN462" s="83"/>
      <c r="AO462" s="83"/>
      <c r="CA462" s="502"/>
    </row>
    <row r="463" spans="1:79">
      <c r="A463" s="83"/>
      <c r="B463" s="95"/>
      <c r="C463" s="96"/>
      <c r="D463" s="163" t="s">
        <v>151</v>
      </c>
      <c r="E463" s="163"/>
      <c r="F463" s="83"/>
      <c r="G463" s="90">
        <v>14</v>
      </c>
      <c r="H463" s="90">
        <v>13</v>
      </c>
      <c r="I463" s="90">
        <v>8</v>
      </c>
      <c r="J463" s="90">
        <v>0</v>
      </c>
      <c r="K463" s="90">
        <v>0</v>
      </c>
      <c r="L463" s="91">
        <v>0</v>
      </c>
      <c r="M463" s="91">
        <v>0</v>
      </c>
      <c r="N463" s="91">
        <v>0</v>
      </c>
      <c r="O463" s="91">
        <v>0</v>
      </c>
      <c r="P463" s="90">
        <v>0</v>
      </c>
      <c r="Q463" s="91">
        <v>0</v>
      </c>
      <c r="R463" s="91">
        <v>0</v>
      </c>
      <c r="S463" s="91">
        <v>0</v>
      </c>
      <c r="T463" s="91">
        <v>0</v>
      </c>
      <c r="U463" s="90">
        <v>0</v>
      </c>
      <c r="V463" s="91">
        <v>0</v>
      </c>
      <c r="W463" s="91">
        <v>0</v>
      </c>
      <c r="X463" s="91">
        <v>0</v>
      </c>
      <c r="Y463" s="91">
        <v>0</v>
      </c>
      <c r="Z463" s="90">
        <v>0</v>
      </c>
      <c r="AA463" s="91">
        <v>0</v>
      </c>
      <c r="AB463" s="91">
        <v>0</v>
      </c>
      <c r="AC463" s="91">
        <v>0</v>
      </c>
      <c r="AD463" s="91">
        <v>0</v>
      </c>
      <c r="AE463" s="90">
        <v>0</v>
      </c>
      <c r="AF463" s="90">
        <v>0</v>
      </c>
      <c r="AG463" s="83"/>
      <c r="AH463" s="83"/>
      <c r="AI463" s="83"/>
      <c r="AJ463" s="83"/>
      <c r="AK463" s="83"/>
      <c r="AL463" s="83"/>
      <c r="AM463" s="651"/>
      <c r="AN463" s="83"/>
      <c r="AO463" s="83"/>
      <c r="CA463" s="502"/>
    </row>
    <row r="464" spans="1:79">
      <c r="A464" s="83"/>
      <c r="B464" s="95" t="s">
        <v>147</v>
      </c>
      <c r="C464" s="96" t="s">
        <v>103</v>
      </c>
      <c r="D464" s="164" t="s">
        <v>223</v>
      </c>
      <c r="E464" s="164"/>
      <c r="F464" s="83"/>
      <c r="G464" s="165">
        <f>(G466*1000000)/(G463*1000)</f>
        <v>8071.4285714285716</v>
      </c>
      <c r="H464" s="165">
        <f>(H466*1000000)/(H463*1000)</f>
        <v>7384.6153846153848</v>
      </c>
      <c r="I464" s="165">
        <f>(I466*1000000)/(I463*1000)</f>
        <v>6625</v>
      </c>
      <c r="J464" s="205"/>
      <c r="K464" s="205"/>
      <c r="L464" s="126"/>
      <c r="M464" s="126"/>
      <c r="N464" s="126"/>
      <c r="O464" s="126"/>
      <c r="P464" s="95"/>
      <c r="Q464" s="126"/>
      <c r="R464" s="126"/>
      <c r="S464" s="126"/>
      <c r="T464" s="126"/>
      <c r="U464" s="95"/>
      <c r="V464" s="126"/>
      <c r="W464" s="126"/>
      <c r="X464" s="126"/>
      <c r="Y464" s="126"/>
      <c r="Z464" s="95"/>
      <c r="AA464" s="126"/>
      <c r="AB464" s="126"/>
      <c r="AC464" s="126"/>
      <c r="AD464" s="126"/>
      <c r="AE464" s="95"/>
      <c r="AF464" s="95"/>
      <c r="AG464" s="83"/>
      <c r="AH464" s="83"/>
      <c r="AI464" s="83"/>
      <c r="AJ464" s="83"/>
      <c r="AK464" s="83"/>
      <c r="AL464" s="83"/>
      <c r="AM464" s="651"/>
      <c r="AN464" s="83"/>
      <c r="AO464" s="83"/>
      <c r="CA464" s="502"/>
    </row>
    <row r="465" spans="1:79">
      <c r="A465" s="83"/>
      <c r="B465" s="95"/>
      <c r="C465" s="96"/>
      <c r="D465" s="84"/>
      <c r="E465" s="84"/>
      <c r="F465" s="83"/>
      <c r="G465" s="95"/>
      <c r="H465" s="95"/>
      <c r="I465" s="95"/>
      <c r="J465" s="95"/>
      <c r="K465" s="95"/>
      <c r="L465" s="126"/>
      <c r="M465" s="126"/>
      <c r="N465" s="126"/>
      <c r="O465" s="126"/>
      <c r="P465" s="95"/>
      <c r="Q465" s="126"/>
      <c r="R465" s="126"/>
      <c r="S465" s="126"/>
      <c r="T465" s="126"/>
      <c r="U465" s="95"/>
      <c r="V465" s="126"/>
      <c r="W465" s="126"/>
      <c r="X465" s="126"/>
      <c r="Y465" s="126"/>
      <c r="Z465" s="95"/>
      <c r="AA465" s="126"/>
      <c r="AB465" s="126"/>
      <c r="AC465" s="126"/>
      <c r="AD465" s="126"/>
      <c r="AE465" s="95"/>
      <c r="AF465" s="95"/>
      <c r="AG465" s="83"/>
      <c r="AH465" s="83"/>
      <c r="AI465" s="83"/>
      <c r="AJ465" s="83"/>
      <c r="AK465" s="83"/>
      <c r="AL465" s="83"/>
      <c r="AM465" s="651"/>
      <c r="AN465" s="83"/>
      <c r="AO465" s="83"/>
      <c r="CA465" s="502"/>
    </row>
    <row r="466" spans="1:79">
      <c r="A466" s="83"/>
      <c r="B466" s="95" t="s">
        <v>147</v>
      </c>
      <c r="C466" s="96" t="s">
        <v>225</v>
      </c>
      <c r="D466" s="173" t="s">
        <v>227</v>
      </c>
      <c r="E466" s="173"/>
      <c r="F466" s="174"/>
      <c r="G466" s="175">
        <v>113</v>
      </c>
      <c r="H466" s="175">
        <v>96</v>
      </c>
      <c r="I466" s="175">
        <v>53</v>
      </c>
      <c r="J466" s="175">
        <v>0</v>
      </c>
      <c r="K466" s="175">
        <v>0</v>
      </c>
      <c r="L466" s="176">
        <v>0</v>
      </c>
      <c r="M466" s="176">
        <v>0</v>
      </c>
      <c r="N466" s="176">
        <v>0</v>
      </c>
      <c r="O466" s="176">
        <v>0</v>
      </c>
      <c r="P466" s="175">
        <v>0</v>
      </c>
      <c r="Q466" s="176">
        <v>0</v>
      </c>
      <c r="R466" s="176">
        <v>0</v>
      </c>
      <c r="S466" s="176">
        <v>0</v>
      </c>
      <c r="T466" s="176">
        <v>0</v>
      </c>
      <c r="U466" s="175">
        <v>0</v>
      </c>
      <c r="V466" s="176">
        <v>0</v>
      </c>
      <c r="W466" s="176">
        <v>0</v>
      </c>
      <c r="X466" s="176">
        <v>0</v>
      </c>
      <c r="Y466" s="176">
        <v>0</v>
      </c>
      <c r="Z466" s="175">
        <v>0</v>
      </c>
      <c r="AA466" s="176">
        <v>0</v>
      </c>
      <c r="AB466" s="176">
        <v>0</v>
      </c>
      <c r="AC466" s="176">
        <v>0</v>
      </c>
      <c r="AD466" s="176">
        <v>0</v>
      </c>
      <c r="AE466" s="175">
        <v>0</v>
      </c>
      <c r="AF466" s="175">
        <v>0</v>
      </c>
      <c r="AG466" s="174"/>
      <c r="AH466" s="174"/>
      <c r="AI466" s="174"/>
      <c r="AJ466" s="174"/>
      <c r="AK466" s="174"/>
      <c r="AL466" s="174"/>
      <c r="AM466" s="651"/>
      <c r="AN466" s="83"/>
      <c r="AO466" s="83"/>
      <c r="CA466" s="502"/>
    </row>
    <row r="467" spans="1:79">
      <c r="A467" s="83"/>
      <c r="B467" s="95"/>
      <c r="C467" s="96"/>
      <c r="D467" s="599" t="s">
        <v>642</v>
      </c>
      <c r="E467" s="186"/>
      <c r="F467" s="136"/>
      <c r="G467" s="95">
        <v>-86</v>
      </c>
      <c r="H467" s="95">
        <v>-72</v>
      </c>
      <c r="I467" s="95">
        <v>-53</v>
      </c>
      <c r="J467" s="187">
        <v>0</v>
      </c>
      <c r="K467" s="187">
        <v>0</v>
      </c>
      <c r="L467" s="188"/>
      <c r="M467" s="188"/>
      <c r="N467" s="188"/>
      <c r="O467" s="188"/>
      <c r="P467" s="187"/>
      <c r="Q467" s="188"/>
      <c r="R467" s="188"/>
      <c r="S467" s="188"/>
      <c r="T467" s="188"/>
      <c r="U467" s="187"/>
      <c r="V467" s="188"/>
      <c r="W467" s="188"/>
      <c r="X467" s="188"/>
      <c r="Y467" s="188"/>
      <c r="Z467" s="187"/>
      <c r="AA467" s="188"/>
      <c r="AB467" s="188"/>
      <c r="AC467" s="188"/>
      <c r="AD467" s="188"/>
      <c r="AE467" s="187"/>
      <c r="AF467" s="187"/>
      <c r="AG467" s="136"/>
      <c r="AH467" s="136"/>
      <c r="AI467" s="136"/>
      <c r="AJ467" s="83"/>
      <c r="AK467" s="83"/>
      <c r="AL467" s="83"/>
      <c r="AM467" s="651"/>
      <c r="AN467" s="83"/>
      <c r="AO467" s="83"/>
      <c r="CA467" s="502"/>
    </row>
    <row r="468" spans="1:79">
      <c r="A468" s="83"/>
      <c r="B468" s="95"/>
      <c r="C468" s="96"/>
      <c r="D468" s="599" t="s">
        <v>643</v>
      </c>
      <c r="E468" s="186"/>
      <c r="F468" s="136"/>
      <c r="G468" s="95">
        <v>-6</v>
      </c>
      <c r="H468" s="95">
        <v>-6</v>
      </c>
      <c r="I468" s="95">
        <v>-2</v>
      </c>
      <c r="J468" s="187">
        <v>0</v>
      </c>
      <c r="K468" s="187">
        <v>0</v>
      </c>
      <c r="L468" s="188"/>
      <c r="M468" s="188"/>
      <c r="N468" s="188"/>
      <c r="O468" s="188"/>
      <c r="P468" s="187"/>
      <c r="Q468" s="188"/>
      <c r="R468" s="188"/>
      <c r="S468" s="188"/>
      <c r="T468" s="188"/>
      <c r="U468" s="187"/>
      <c r="V468" s="188"/>
      <c r="W468" s="188"/>
      <c r="X468" s="188"/>
      <c r="Y468" s="188"/>
      <c r="Z468" s="187"/>
      <c r="AA468" s="188"/>
      <c r="AB468" s="188"/>
      <c r="AC468" s="188"/>
      <c r="AD468" s="188"/>
      <c r="AE468" s="187"/>
      <c r="AF468" s="187"/>
      <c r="AG468" s="136"/>
      <c r="AH468" s="136"/>
      <c r="AI468" s="136"/>
      <c r="AJ468" s="83"/>
      <c r="AK468" s="83"/>
      <c r="AL468" s="83"/>
      <c r="AM468" s="651"/>
      <c r="AN468" s="83"/>
      <c r="AO468" s="83"/>
      <c r="CA468" s="502"/>
    </row>
    <row r="469" spans="1:79">
      <c r="A469" s="83"/>
      <c r="B469" s="95"/>
      <c r="C469" s="96"/>
      <c r="D469" s="599" t="s">
        <v>695</v>
      </c>
      <c r="E469" s="186"/>
      <c r="F469" s="136"/>
      <c r="G469" s="95">
        <v>-2</v>
      </c>
      <c r="H469" s="95">
        <v>-2</v>
      </c>
      <c r="I469" s="95">
        <v>-1</v>
      </c>
      <c r="J469" s="187">
        <v>0</v>
      </c>
      <c r="K469" s="187">
        <v>0</v>
      </c>
      <c r="L469" s="188"/>
      <c r="M469" s="188"/>
      <c r="N469" s="188"/>
      <c r="O469" s="188"/>
      <c r="P469" s="187"/>
      <c r="Q469" s="188"/>
      <c r="R469" s="188"/>
      <c r="S469" s="188"/>
      <c r="T469" s="188"/>
      <c r="U469" s="187"/>
      <c r="V469" s="188"/>
      <c r="W469" s="188"/>
      <c r="X469" s="188"/>
      <c r="Y469" s="188"/>
      <c r="Z469" s="187"/>
      <c r="AA469" s="188"/>
      <c r="AB469" s="188"/>
      <c r="AC469" s="188"/>
      <c r="AD469" s="188"/>
      <c r="AE469" s="187"/>
      <c r="AF469" s="187"/>
      <c r="AG469" s="136"/>
      <c r="AH469" s="136"/>
      <c r="AI469" s="136"/>
      <c r="AJ469" s="83"/>
      <c r="AK469" s="83"/>
      <c r="AL469" s="83"/>
      <c r="AM469" s="651"/>
      <c r="AN469" s="83"/>
      <c r="AO469" s="83"/>
      <c r="CA469" s="502"/>
    </row>
    <row r="470" spans="1:79">
      <c r="A470" s="83"/>
      <c r="B470" s="95" t="s">
        <v>147</v>
      </c>
      <c r="C470" s="96" t="s">
        <v>225</v>
      </c>
      <c r="D470" s="83" t="s">
        <v>160</v>
      </c>
      <c r="E470" s="83"/>
      <c r="F470" s="83"/>
      <c r="G470" s="95">
        <f>(G466-G471)*-1</f>
        <v>-94</v>
      </c>
      <c r="H470" s="95">
        <f>(H466-H471)*-1</f>
        <v>-80</v>
      </c>
      <c r="I470" s="95">
        <f>(I466-I471)*-1</f>
        <v>-56</v>
      </c>
      <c r="J470" s="95">
        <f t="shared" ref="J470:AF470" si="466">J466-J471</f>
        <v>0</v>
      </c>
      <c r="K470" s="95">
        <f t="shared" si="466"/>
        <v>0</v>
      </c>
      <c r="L470" s="126">
        <f t="shared" si="466"/>
        <v>0</v>
      </c>
      <c r="M470" s="126">
        <f t="shared" si="466"/>
        <v>0</v>
      </c>
      <c r="N470" s="126">
        <f>N466-N471</f>
        <v>0</v>
      </c>
      <c r="O470" s="126">
        <f>O466-O471</f>
        <v>0</v>
      </c>
      <c r="P470" s="95">
        <f t="shared" si="466"/>
        <v>0</v>
      </c>
      <c r="Q470" s="126">
        <f t="shared" si="466"/>
        <v>0</v>
      </c>
      <c r="R470" s="126">
        <f t="shared" si="466"/>
        <v>0</v>
      </c>
      <c r="S470" s="126">
        <f t="shared" si="466"/>
        <v>0</v>
      </c>
      <c r="T470" s="126">
        <f t="shared" si="466"/>
        <v>0</v>
      </c>
      <c r="U470" s="95">
        <f t="shared" si="466"/>
        <v>0</v>
      </c>
      <c r="V470" s="126">
        <f>V466-V471</f>
        <v>0</v>
      </c>
      <c r="W470" s="126">
        <f>W466-W471</f>
        <v>0</v>
      </c>
      <c r="X470" s="126">
        <f>X466-X471</f>
        <v>0</v>
      </c>
      <c r="Y470" s="126">
        <f>Y466-Y471</f>
        <v>0</v>
      </c>
      <c r="Z470" s="95">
        <f t="shared" si="466"/>
        <v>0</v>
      </c>
      <c r="AA470" s="126">
        <f>AA466-AA471</f>
        <v>0</v>
      </c>
      <c r="AB470" s="126">
        <f>AB466-AB471</f>
        <v>0</v>
      </c>
      <c r="AC470" s="126">
        <f>AC466-AC471</f>
        <v>0</v>
      </c>
      <c r="AD470" s="126">
        <f>AD466-AD471</f>
        <v>0</v>
      </c>
      <c r="AE470" s="95">
        <f t="shared" si="466"/>
        <v>0</v>
      </c>
      <c r="AF470" s="95">
        <f t="shared" si="466"/>
        <v>0</v>
      </c>
      <c r="AG470" s="83"/>
      <c r="AH470" s="83"/>
      <c r="AI470" s="83"/>
      <c r="AJ470" s="83"/>
      <c r="AK470" s="83"/>
      <c r="AL470" s="83"/>
      <c r="AM470" s="651"/>
      <c r="AN470" s="83"/>
      <c r="AO470" s="83"/>
      <c r="CA470" s="502"/>
    </row>
    <row r="471" spans="1:79">
      <c r="A471" s="83"/>
      <c r="B471" s="95" t="s">
        <v>147</v>
      </c>
      <c r="C471" s="96" t="s">
        <v>225</v>
      </c>
      <c r="D471" s="163" t="s">
        <v>226</v>
      </c>
      <c r="E471" s="163"/>
      <c r="F471" s="83"/>
      <c r="G471" s="90">
        <v>19</v>
      </c>
      <c r="H471" s="90">
        <v>16</v>
      </c>
      <c r="I471" s="90">
        <v>-3</v>
      </c>
      <c r="J471" s="90">
        <v>0</v>
      </c>
      <c r="K471" s="90">
        <v>0</v>
      </c>
      <c r="L471" s="91">
        <v>0</v>
      </c>
      <c r="M471" s="91">
        <v>0</v>
      </c>
      <c r="N471" s="91">
        <v>0</v>
      </c>
      <c r="O471" s="91">
        <v>0</v>
      </c>
      <c r="P471" s="90">
        <v>0</v>
      </c>
      <c r="Q471" s="91">
        <v>0</v>
      </c>
      <c r="R471" s="91">
        <v>0</v>
      </c>
      <c r="S471" s="91">
        <v>0</v>
      </c>
      <c r="T471" s="91">
        <v>0</v>
      </c>
      <c r="U471" s="90">
        <v>0</v>
      </c>
      <c r="V471" s="91">
        <v>0</v>
      </c>
      <c r="W471" s="91">
        <v>0</v>
      </c>
      <c r="X471" s="91">
        <v>0</v>
      </c>
      <c r="Y471" s="91">
        <v>0</v>
      </c>
      <c r="Z471" s="90">
        <v>0</v>
      </c>
      <c r="AA471" s="91">
        <v>0</v>
      </c>
      <c r="AB471" s="91">
        <v>0</v>
      </c>
      <c r="AC471" s="91">
        <v>0</v>
      </c>
      <c r="AD471" s="91">
        <v>0</v>
      </c>
      <c r="AE471" s="90">
        <v>0</v>
      </c>
      <c r="AF471" s="90">
        <v>0</v>
      </c>
      <c r="AG471" s="83"/>
      <c r="AH471" s="83"/>
      <c r="AI471" s="83"/>
      <c r="AJ471" s="83"/>
      <c r="AK471" s="83"/>
      <c r="AL471" s="83"/>
      <c r="AM471" s="651"/>
      <c r="AN471" s="83"/>
      <c r="AO471" s="83"/>
      <c r="CA471" s="502"/>
    </row>
    <row r="472" spans="1:79">
      <c r="A472" s="83"/>
      <c r="B472" s="95" t="s">
        <v>147</v>
      </c>
      <c r="C472" s="96" t="s">
        <v>225</v>
      </c>
      <c r="D472" s="83" t="s">
        <v>161</v>
      </c>
      <c r="E472" s="83"/>
      <c r="F472" s="83"/>
      <c r="G472" s="95">
        <v>-33</v>
      </c>
      <c r="H472" s="95">
        <f>(H471-H473)*-1</f>
        <v>-37</v>
      </c>
      <c r="I472" s="95">
        <f>(I471-I473)*-1</f>
        <v>-14</v>
      </c>
      <c r="J472" s="95">
        <f t="shared" ref="J472:AF472" si="467">J471-J473</f>
        <v>0</v>
      </c>
      <c r="K472" s="95">
        <f t="shared" si="467"/>
        <v>0</v>
      </c>
      <c r="L472" s="126">
        <f t="shared" si="467"/>
        <v>0</v>
      </c>
      <c r="M472" s="126">
        <f t="shared" si="467"/>
        <v>0</v>
      </c>
      <c r="N472" s="126">
        <f>N471-N473</f>
        <v>0</v>
      </c>
      <c r="O472" s="126">
        <f>O471-O473</f>
        <v>0</v>
      </c>
      <c r="P472" s="95">
        <f t="shared" si="467"/>
        <v>0</v>
      </c>
      <c r="Q472" s="126">
        <f t="shared" si="467"/>
        <v>0</v>
      </c>
      <c r="R472" s="126">
        <f t="shared" si="467"/>
        <v>0</v>
      </c>
      <c r="S472" s="126">
        <f t="shared" si="467"/>
        <v>0</v>
      </c>
      <c r="T472" s="126">
        <f t="shared" si="467"/>
        <v>0</v>
      </c>
      <c r="U472" s="95">
        <f t="shared" si="467"/>
        <v>0</v>
      </c>
      <c r="V472" s="126">
        <f>V471-V473</f>
        <v>0</v>
      </c>
      <c r="W472" s="126">
        <f>W471-W473</f>
        <v>0</v>
      </c>
      <c r="X472" s="126">
        <f>X471-X473</f>
        <v>0</v>
      </c>
      <c r="Y472" s="126">
        <f>Y471-Y473</f>
        <v>0</v>
      </c>
      <c r="Z472" s="95">
        <f t="shared" si="467"/>
        <v>0</v>
      </c>
      <c r="AA472" s="126">
        <f>AA471-AA473</f>
        <v>0</v>
      </c>
      <c r="AB472" s="126">
        <f>AB471-AB473</f>
        <v>0</v>
      </c>
      <c r="AC472" s="126">
        <f>AC471-AC473</f>
        <v>0</v>
      </c>
      <c r="AD472" s="126">
        <f>AD471-AD473</f>
        <v>0</v>
      </c>
      <c r="AE472" s="95">
        <f t="shared" si="467"/>
        <v>0</v>
      </c>
      <c r="AF472" s="95">
        <f t="shared" si="467"/>
        <v>0</v>
      </c>
      <c r="AG472" s="83"/>
      <c r="AH472" s="83"/>
      <c r="AI472" s="83"/>
      <c r="AJ472" s="83"/>
      <c r="AK472" s="83"/>
      <c r="AL472" s="83"/>
      <c r="AM472" s="651"/>
      <c r="AN472" s="83"/>
      <c r="AO472" s="83"/>
      <c r="CA472" s="502"/>
    </row>
    <row r="473" spans="1:79">
      <c r="A473" s="83"/>
      <c r="B473" s="95" t="s">
        <v>147</v>
      </c>
      <c r="C473" s="96" t="s">
        <v>225</v>
      </c>
      <c r="D473" s="183" t="s">
        <v>178</v>
      </c>
      <c r="E473" s="183"/>
      <c r="F473" s="103"/>
      <c r="G473" s="104">
        <f>G471+G472</f>
        <v>-14</v>
      </c>
      <c r="H473" s="104">
        <v>-21</v>
      </c>
      <c r="I473" s="104">
        <v>-17</v>
      </c>
      <c r="J473" s="104">
        <v>0</v>
      </c>
      <c r="K473" s="104">
        <v>0</v>
      </c>
      <c r="L473" s="105">
        <v>0</v>
      </c>
      <c r="M473" s="105">
        <v>0</v>
      </c>
      <c r="N473" s="105">
        <v>0</v>
      </c>
      <c r="O473" s="105">
        <v>0</v>
      </c>
      <c r="P473" s="104">
        <v>0</v>
      </c>
      <c r="Q473" s="105">
        <v>0</v>
      </c>
      <c r="R473" s="105">
        <v>0</v>
      </c>
      <c r="S473" s="105">
        <v>0</v>
      </c>
      <c r="T473" s="105">
        <v>0</v>
      </c>
      <c r="U473" s="104">
        <v>0</v>
      </c>
      <c r="V473" s="105">
        <v>0</v>
      </c>
      <c r="W473" s="105">
        <v>0</v>
      </c>
      <c r="X473" s="105">
        <v>0</v>
      </c>
      <c r="Y473" s="105">
        <v>0</v>
      </c>
      <c r="Z473" s="104">
        <v>0</v>
      </c>
      <c r="AA473" s="105">
        <v>0</v>
      </c>
      <c r="AB473" s="105">
        <v>0</v>
      </c>
      <c r="AC473" s="105">
        <v>0</v>
      </c>
      <c r="AD473" s="105">
        <v>0</v>
      </c>
      <c r="AE473" s="104">
        <v>0</v>
      </c>
      <c r="AF473" s="104">
        <v>0</v>
      </c>
      <c r="AG473" s="103"/>
      <c r="AH473" s="103"/>
      <c r="AI473" s="103"/>
      <c r="AJ473" s="103"/>
      <c r="AK473" s="103"/>
      <c r="AL473" s="103"/>
      <c r="AM473" s="651"/>
      <c r="AN473" s="83"/>
      <c r="AO473" s="83"/>
      <c r="CA473" s="502"/>
    </row>
    <row r="474" spans="1:79">
      <c r="A474" s="83"/>
      <c r="B474" s="95"/>
      <c r="C474" s="96"/>
      <c r="D474" s="84"/>
      <c r="E474" s="84"/>
      <c r="F474" s="83"/>
      <c r="G474" s="95"/>
      <c r="H474" s="95"/>
      <c r="I474" s="95"/>
      <c r="J474" s="95"/>
      <c r="K474" s="95"/>
      <c r="L474" s="126"/>
      <c r="M474" s="126"/>
      <c r="N474" s="126"/>
      <c r="O474" s="126"/>
      <c r="P474" s="95"/>
      <c r="Q474" s="126"/>
      <c r="R474" s="126"/>
      <c r="S474" s="126"/>
      <c r="T474" s="126"/>
      <c r="U474" s="92"/>
      <c r="V474" s="126"/>
      <c r="W474" s="126"/>
      <c r="X474" s="126"/>
      <c r="Y474" s="126"/>
      <c r="Z474" s="92"/>
      <c r="AA474" s="99"/>
      <c r="AB474" s="99"/>
      <c r="AC474" s="99"/>
      <c r="AD474" s="99"/>
      <c r="AE474" s="92"/>
      <c r="AF474" s="92"/>
      <c r="AG474" s="83"/>
      <c r="AH474" s="83"/>
      <c r="AI474" s="83"/>
      <c r="AJ474" s="83"/>
      <c r="AK474" s="83"/>
      <c r="AL474" s="83"/>
      <c r="AM474" s="651"/>
      <c r="AN474" s="83"/>
      <c r="AO474" s="83"/>
      <c r="CA474" s="502"/>
    </row>
    <row r="475" spans="1:79">
      <c r="A475" s="83"/>
      <c r="B475" s="95"/>
      <c r="C475" s="96"/>
      <c r="D475" s="84"/>
      <c r="E475" s="84"/>
      <c r="F475" s="83"/>
      <c r="G475" s="197"/>
      <c r="H475" s="197"/>
      <c r="I475" s="197"/>
      <c r="J475" s="197"/>
      <c r="K475" s="197"/>
      <c r="L475" s="198"/>
      <c r="M475" s="198"/>
      <c r="N475" s="198"/>
      <c r="O475" s="198"/>
      <c r="P475" s="197"/>
      <c r="Q475" s="198"/>
      <c r="R475" s="198"/>
      <c r="S475" s="198"/>
      <c r="T475" s="198"/>
      <c r="U475" s="83"/>
      <c r="V475" s="198"/>
      <c r="W475" s="198"/>
      <c r="X475" s="198"/>
      <c r="Y475" s="198"/>
      <c r="Z475" s="83"/>
      <c r="AA475" s="140"/>
      <c r="AB475" s="140"/>
      <c r="AC475" s="140"/>
      <c r="AD475" s="140"/>
      <c r="AE475" s="83"/>
      <c r="AF475" s="83"/>
      <c r="AG475" s="83"/>
      <c r="AH475" s="83"/>
      <c r="AI475" s="83"/>
      <c r="AJ475" s="83"/>
      <c r="AK475" s="83"/>
      <c r="AL475" s="83"/>
      <c r="AM475" s="651"/>
      <c r="AN475" s="83"/>
      <c r="AO475" s="83"/>
      <c r="CA475" s="502"/>
    </row>
    <row r="476" spans="1:79">
      <c r="A476" s="155" t="s">
        <v>40</v>
      </c>
      <c r="B476" s="199" t="s">
        <v>0</v>
      </c>
      <c r="C476" s="192" t="s">
        <v>0</v>
      </c>
      <c r="D476" s="193" t="s">
        <v>197</v>
      </c>
      <c r="E476" s="193"/>
      <c r="F476" s="161"/>
      <c r="G476" s="194" t="s">
        <v>0</v>
      </c>
      <c r="H476" s="194" t="s">
        <v>0</v>
      </c>
      <c r="I476" s="194" t="s">
        <v>0</v>
      </c>
      <c r="J476" s="194" t="s">
        <v>0</v>
      </c>
      <c r="K476" s="194" t="s">
        <v>0</v>
      </c>
      <c r="L476" s="194"/>
      <c r="M476" s="194"/>
      <c r="N476" s="194"/>
      <c r="O476" s="194"/>
      <c r="P476" s="195" t="s">
        <v>0</v>
      </c>
      <c r="Q476" s="194"/>
      <c r="R476" s="194"/>
      <c r="S476" s="194"/>
      <c r="T476" s="194"/>
      <c r="U476" s="161"/>
      <c r="V476" s="161"/>
      <c r="W476" s="161"/>
      <c r="X476" s="161"/>
      <c r="Y476" s="161"/>
      <c r="Z476" s="161"/>
      <c r="AA476" s="161"/>
      <c r="AB476" s="161"/>
      <c r="AC476" s="161"/>
      <c r="AD476" s="161"/>
      <c r="AE476" s="161"/>
      <c r="AF476" s="161"/>
      <c r="AG476" s="161"/>
      <c r="AH476" s="161"/>
      <c r="AI476" s="161"/>
      <c r="AJ476" s="161"/>
      <c r="AK476" s="161"/>
      <c r="AL476" s="161"/>
      <c r="AM476" s="651"/>
      <c r="AN476" s="161"/>
      <c r="AO476" s="161"/>
      <c r="AP476" s="158"/>
      <c r="AQ476" s="158"/>
      <c r="AR476" s="158"/>
      <c r="CA476" s="502"/>
    </row>
    <row r="477" spans="1:79">
      <c r="A477" s="83"/>
      <c r="B477" s="95"/>
      <c r="C477" s="96"/>
      <c r="D477" s="162"/>
      <c r="E477" s="162"/>
      <c r="F477" s="83"/>
      <c r="G477" s="197"/>
      <c r="H477" s="197"/>
      <c r="I477" s="95"/>
      <c r="J477" s="95"/>
      <c r="K477" s="95"/>
      <c r="L477" s="126"/>
      <c r="M477" s="126"/>
      <c r="N477" s="126"/>
      <c r="O477" s="126"/>
      <c r="P477" s="197"/>
      <c r="Q477" s="126"/>
      <c r="R477" s="126"/>
      <c r="S477" s="126"/>
      <c r="T477" s="126"/>
      <c r="U477" s="83"/>
      <c r="V477" s="126"/>
      <c r="W477" s="126"/>
      <c r="X477" s="126"/>
      <c r="Y477" s="126"/>
      <c r="Z477" s="83"/>
      <c r="AA477" s="140"/>
      <c r="AB477" s="140"/>
      <c r="AC477" s="140"/>
      <c r="AD477" s="140"/>
      <c r="AE477" s="83"/>
      <c r="AF477" s="83"/>
      <c r="AG477" s="83"/>
      <c r="AH477" s="83"/>
      <c r="AI477" s="83"/>
      <c r="AJ477" s="83"/>
      <c r="AK477" s="83"/>
      <c r="AL477" s="83"/>
      <c r="AM477" s="651"/>
      <c r="AN477" s="83"/>
      <c r="AO477" s="83"/>
      <c r="CA477" s="502"/>
    </row>
    <row r="478" spans="1:79">
      <c r="A478" s="83"/>
      <c r="B478" s="95"/>
      <c r="C478" s="96"/>
      <c r="D478" s="84"/>
      <c r="E478" s="84"/>
      <c r="F478" s="83"/>
      <c r="G478" s="197"/>
      <c r="H478" s="197"/>
      <c r="I478" s="95"/>
      <c r="J478" s="95"/>
      <c r="K478" s="95"/>
      <c r="L478" s="126"/>
      <c r="M478" s="126"/>
      <c r="N478" s="126"/>
      <c r="O478" s="126"/>
      <c r="P478" s="197"/>
      <c r="Q478" s="126"/>
      <c r="R478" s="126"/>
      <c r="S478" s="126"/>
      <c r="T478" s="126"/>
      <c r="U478" s="83"/>
      <c r="V478" s="126"/>
      <c r="W478" s="126"/>
      <c r="X478" s="126"/>
      <c r="Y478" s="126"/>
      <c r="Z478" s="83"/>
      <c r="AA478" s="140"/>
      <c r="AB478" s="140"/>
      <c r="AC478" s="140"/>
      <c r="AD478" s="140"/>
      <c r="AE478" s="83"/>
      <c r="AF478" s="83"/>
      <c r="AG478" s="83"/>
      <c r="AH478" s="83"/>
      <c r="AI478" s="83"/>
      <c r="AJ478" s="83"/>
      <c r="AK478" s="83"/>
      <c r="AL478" s="83"/>
      <c r="AM478" s="651"/>
      <c r="AN478" s="83"/>
      <c r="AO478" s="83"/>
      <c r="CA478" s="502"/>
    </row>
    <row r="479" spans="1:79">
      <c r="A479" s="83"/>
      <c r="B479" s="95" t="s">
        <v>147</v>
      </c>
      <c r="C479" s="96" t="s">
        <v>225</v>
      </c>
      <c r="D479" s="173" t="s">
        <v>198</v>
      </c>
      <c r="E479" s="173"/>
      <c r="F479" s="174"/>
      <c r="G479" s="175">
        <v>8</v>
      </c>
      <c r="H479" s="175">
        <v>9</v>
      </c>
      <c r="I479" s="175">
        <v>6</v>
      </c>
      <c r="J479" s="175">
        <v>0</v>
      </c>
      <c r="K479" s="175">
        <v>0</v>
      </c>
      <c r="L479" s="176">
        <v>0</v>
      </c>
      <c r="M479" s="176">
        <v>0</v>
      </c>
      <c r="N479" s="176"/>
      <c r="O479" s="176"/>
      <c r="P479" s="175">
        <v>0</v>
      </c>
      <c r="Q479" s="176">
        <v>0</v>
      </c>
      <c r="R479" s="176">
        <v>0</v>
      </c>
      <c r="S479" s="176">
        <v>0</v>
      </c>
      <c r="T479" s="176">
        <v>0</v>
      </c>
      <c r="U479" s="175">
        <v>0</v>
      </c>
      <c r="V479" s="176"/>
      <c r="W479" s="176"/>
      <c r="X479" s="176"/>
      <c r="Y479" s="176"/>
      <c r="Z479" s="174"/>
      <c r="AA479" s="778"/>
      <c r="AB479" s="778"/>
      <c r="AC479" s="778"/>
      <c r="AD479" s="778"/>
      <c r="AE479" s="174"/>
      <c r="AF479" s="174"/>
      <c r="AG479" s="174"/>
      <c r="AH479" s="174"/>
      <c r="AI479" s="174"/>
      <c r="AJ479" s="174"/>
      <c r="AK479" s="174"/>
      <c r="AL479" s="174"/>
      <c r="AM479" s="651"/>
      <c r="AN479" s="83"/>
      <c r="AO479" s="83"/>
      <c r="CA479" s="502"/>
    </row>
    <row r="480" spans="1:79">
      <c r="A480" s="83"/>
      <c r="B480" s="95"/>
      <c r="C480" s="96"/>
      <c r="D480" s="599" t="s">
        <v>642</v>
      </c>
      <c r="E480" s="186"/>
      <c r="F480" s="136"/>
      <c r="G480" s="95">
        <v>-5</v>
      </c>
      <c r="H480" s="95">
        <v>1</v>
      </c>
      <c r="I480" s="95">
        <v>0</v>
      </c>
      <c r="J480" s="95">
        <v>1</v>
      </c>
      <c r="K480" s="95">
        <v>-1</v>
      </c>
      <c r="L480" s="126">
        <v>0</v>
      </c>
      <c r="M480" s="126">
        <v>0</v>
      </c>
      <c r="N480" s="126">
        <v>0</v>
      </c>
      <c r="O480" s="126">
        <v>0</v>
      </c>
      <c r="P480" s="95">
        <v>-1</v>
      </c>
      <c r="Q480" s="126">
        <v>0</v>
      </c>
      <c r="R480" s="126">
        <v>0</v>
      </c>
      <c r="S480" s="126">
        <v>0</v>
      </c>
      <c r="T480" s="126">
        <v>0</v>
      </c>
      <c r="U480" s="95">
        <v>0</v>
      </c>
      <c r="V480" s="126">
        <v>0</v>
      </c>
      <c r="W480" s="126"/>
      <c r="X480" s="126"/>
      <c r="Y480" s="126"/>
      <c r="Z480" s="136"/>
      <c r="AA480" s="984"/>
      <c r="AB480" s="984"/>
      <c r="AC480" s="984"/>
      <c r="AD480" s="984"/>
      <c r="AE480" s="136"/>
      <c r="AF480" s="136"/>
      <c r="AG480" s="136"/>
      <c r="AH480" s="136"/>
      <c r="AI480" s="136"/>
      <c r="AJ480" s="136"/>
      <c r="AK480" s="136"/>
      <c r="AL480" s="136"/>
      <c r="AM480" s="651"/>
      <c r="AN480" s="83"/>
      <c r="AO480" s="83"/>
      <c r="CA480" s="502"/>
    </row>
    <row r="481" spans="1:80">
      <c r="A481" s="83"/>
      <c r="B481" s="95"/>
      <c r="C481" s="96"/>
      <c r="D481" s="599" t="s">
        <v>643</v>
      </c>
      <c r="E481" s="186"/>
      <c r="F481" s="136"/>
      <c r="G481" s="187"/>
      <c r="H481" s="187"/>
      <c r="I481" s="187"/>
      <c r="J481" s="187"/>
      <c r="K481" s="187"/>
      <c r="L481" s="188"/>
      <c r="M481" s="188"/>
      <c r="N481" s="188"/>
      <c r="O481" s="188"/>
      <c r="P481" s="187"/>
      <c r="Q481" s="188"/>
      <c r="R481" s="188"/>
      <c r="S481" s="188"/>
      <c r="T481" s="188"/>
      <c r="U481" s="187"/>
      <c r="V481" s="188"/>
      <c r="W481" s="188"/>
      <c r="X481" s="188"/>
      <c r="Y481" s="188"/>
      <c r="Z481" s="136"/>
      <c r="AA481" s="984"/>
      <c r="AB481" s="984"/>
      <c r="AC481" s="984"/>
      <c r="AD481" s="984"/>
      <c r="AE481" s="136"/>
      <c r="AF481" s="136"/>
      <c r="AG481" s="136"/>
      <c r="AH481" s="136"/>
      <c r="AI481" s="136"/>
      <c r="AJ481" s="136"/>
      <c r="AK481" s="136"/>
      <c r="AL481" s="136"/>
      <c r="AM481" s="651"/>
      <c r="AN481" s="83"/>
      <c r="AO481" s="83"/>
      <c r="CA481" s="502"/>
    </row>
    <row r="482" spans="1:80">
      <c r="A482" s="83"/>
      <c r="B482" s="95"/>
      <c r="C482" s="96"/>
      <c r="D482" s="599" t="s">
        <v>695</v>
      </c>
      <c r="E482" s="186"/>
      <c r="F482" s="136"/>
      <c r="G482" s="187"/>
      <c r="H482" s="187"/>
      <c r="I482" s="187"/>
      <c r="J482" s="187"/>
      <c r="K482" s="187"/>
      <c r="L482" s="188"/>
      <c r="M482" s="188"/>
      <c r="N482" s="188"/>
      <c r="O482" s="188"/>
      <c r="P482" s="187"/>
      <c r="Q482" s="188"/>
      <c r="R482" s="188"/>
      <c r="S482" s="188"/>
      <c r="T482" s="188"/>
      <c r="U482" s="187"/>
      <c r="V482" s="188"/>
      <c r="W482" s="188"/>
      <c r="X482" s="188"/>
      <c r="Y482" s="188"/>
      <c r="Z482" s="136"/>
      <c r="AA482" s="984"/>
      <c r="AB482" s="984"/>
      <c r="AC482" s="984"/>
      <c r="AD482" s="984"/>
      <c r="AE482" s="136"/>
      <c r="AF482" s="136"/>
      <c r="AG482" s="136"/>
      <c r="AH482" s="136"/>
      <c r="AI482" s="136"/>
      <c r="AJ482" s="136"/>
      <c r="AK482" s="136"/>
      <c r="AL482" s="136"/>
      <c r="AM482" s="651"/>
      <c r="AN482" s="83"/>
      <c r="AO482" s="83"/>
      <c r="CA482" s="502"/>
    </row>
    <row r="483" spans="1:80">
      <c r="A483" s="83"/>
      <c r="B483" s="95" t="s">
        <v>147</v>
      </c>
      <c r="C483" s="96" t="s">
        <v>225</v>
      </c>
      <c r="D483" s="83" t="s">
        <v>160</v>
      </c>
      <c r="E483" s="83"/>
      <c r="F483" s="83"/>
      <c r="G483" s="95">
        <f>(G479-G484)*-1</f>
        <v>-5</v>
      </c>
      <c r="H483" s="95">
        <f t="shared" ref="H483:Q483" si="468">(H479-H484)*-1</f>
        <v>1</v>
      </c>
      <c r="I483" s="95">
        <f t="shared" si="468"/>
        <v>0</v>
      </c>
      <c r="J483" s="95">
        <f>(J479-J484)*-1</f>
        <v>1</v>
      </c>
      <c r="K483" s="95">
        <f t="shared" si="468"/>
        <v>-1</v>
      </c>
      <c r="L483" s="126">
        <f t="shared" si="468"/>
        <v>-1</v>
      </c>
      <c r="M483" s="126">
        <f t="shared" si="468"/>
        <v>0</v>
      </c>
      <c r="N483" s="126">
        <f t="shared" si="468"/>
        <v>1</v>
      </c>
      <c r="O483" s="126"/>
      <c r="P483" s="95">
        <f t="shared" si="468"/>
        <v>-1</v>
      </c>
      <c r="Q483" s="126">
        <f t="shared" si="468"/>
        <v>-1</v>
      </c>
      <c r="R483" s="126">
        <f>(R479-R484)*-1</f>
        <v>-1</v>
      </c>
      <c r="S483" s="126">
        <f>(S479-S484)*-1</f>
        <v>2</v>
      </c>
      <c r="T483" s="126">
        <f>(T479-T484)*-1</f>
        <v>0</v>
      </c>
      <c r="U483" s="95">
        <f>(U479-U484)*-1</f>
        <v>0</v>
      </c>
      <c r="V483" s="126"/>
      <c r="W483" s="126"/>
      <c r="X483" s="126"/>
      <c r="Y483" s="126"/>
      <c r="Z483" s="83"/>
      <c r="AA483" s="140"/>
      <c r="AB483" s="140"/>
      <c r="AC483" s="140"/>
      <c r="AD483" s="140"/>
      <c r="AE483" s="83"/>
      <c r="AF483" s="83"/>
      <c r="AG483" s="83"/>
      <c r="AH483" s="83"/>
      <c r="AI483" s="83"/>
      <c r="AJ483" s="83"/>
      <c r="AK483" s="83"/>
      <c r="AL483" s="83"/>
      <c r="AM483" s="651"/>
      <c r="AN483" s="83"/>
      <c r="AO483" s="83"/>
      <c r="CA483" s="502"/>
    </row>
    <row r="484" spans="1:80">
      <c r="A484" s="83"/>
      <c r="B484" s="95" t="s">
        <v>147</v>
      </c>
      <c r="C484" s="96" t="s">
        <v>225</v>
      </c>
      <c r="D484" s="163" t="s">
        <v>226</v>
      </c>
      <c r="E484" s="163"/>
      <c r="F484" s="83"/>
      <c r="G484" s="90">
        <v>3</v>
      </c>
      <c r="H484" s="90">
        <v>10</v>
      </c>
      <c r="I484" s="90">
        <v>6</v>
      </c>
      <c r="J484" s="90">
        <v>1</v>
      </c>
      <c r="K484" s="90">
        <v>-1</v>
      </c>
      <c r="L484" s="91">
        <v>-1</v>
      </c>
      <c r="M484" s="91">
        <v>0</v>
      </c>
      <c r="N484" s="91">
        <v>1</v>
      </c>
      <c r="O484" s="91"/>
      <c r="P484" s="90">
        <v>-1</v>
      </c>
      <c r="Q484" s="91">
        <v>-1</v>
      </c>
      <c r="R484" s="91">
        <v>-1</v>
      </c>
      <c r="S484" s="91">
        <v>2</v>
      </c>
      <c r="T484" s="91">
        <v>0</v>
      </c>
      <c r="U484" s="90"/>
      <c r="V484" s="91"/>
      <c r="W484" s="91"/>
      <c r="X484" s="91"/>
      <c r="Y484" s="91"/>
      <c r="Z484" s="83"/>
      <c r="AA484" s="140"/>
      <c r="AB484" s="140"/>
      <c r="AC484" s="140"/>
      <c r="AD484" s="140"/>
      <c r="AE484" s="83"/>
      <c r="AF484" s="83"/>
      <c r="AG484" s="83"/>
      <c r="AH484" s="83"/>
      <c r="AI484" s="83"/>
      <c r="AJ484" s="83"/>
      <c r="AK484" s="83"/>
      <c r="AL484" s="83"/>
      <c r="AM484" s="651"/>
      <c r="AN484" s="83"/>
      <c r="AO484" s="83"/>
      <c r="CA484" s="502"/>
    </row>
    <row r="485" spans="1:80">
      <c r="A485" s="83"/>
      <c r="B485" s="95" t="s">
        <v>147</v>
      </c>
      <c r="C485" s="96" t="s">
        <v>225</v>
      </c>
      <c r="D485" s="83" t="s">
        <v>161</v>
      </c>
      <c r="E485" s="83"/>
      <c r="F485" s="83"/>
      <c r="G485" s="95">
        <f t="shared" ref="G485:N485" si="469">G484-G486</f>
        <v>0</v>
      </c>
      <c r="H485" s="95">
        <f t="shared" si="469"/>
        <v>0</v>
      </c>
      <c r="I485" s="95">
        <f t="shared" si="469"/>
        <v>0</v>
      </c>
      <c r="J485" s="95">
        <f t="shared" si="469"/>
        <v>0</v>
      </c>
      <c r="K485" s="95">
        <f t="shared" si="469"/>
        <v>0</v>
      </c>
      <c r="L485" s="126">
        <f t="shared" si="469"/>
        <v>0</v>
      </c>
      <c r="M485" s="91">
        <f t="shared" si="469"/>
        <v>0</v>
      </c>
      <c r="N485" s="91">
        <f t="shared" si="469"/>
        <v>0</v>
      </c>
      <c r="O485" s="91"/>
      <c r="P485" s="95"/>
      <c r="Q485" s="91">
        <f>Q484-Q486</f>
        <v>0</v>
      </c>
      <c r="R485" s="91">
        <f>R484-R486</f>
        <v>0</v>
      </c>
      <c r="S485" s="91">
        <f>S484-S486</f>
        <v>0</v>
      </c>
      <c r="T485" s="126"/>
      <c r="U485" s="95"/>
      <c r="V485" s="126"/>
      <c r="W485" s="126"/>
      <c r="X485" s="126"/>
      <c r="Y485" s="126"/>
      <c r="Z485" s="83"/>
      <c r="AA485" s="140"/>
      <c r="AB485" s="140"/>
      <c r="AC485" s="140"/>
      <c r="AD485" s="140"/>
      <c r="AE485" s="83"/>
      <c r="AF485" s="83"/>
      <c r="AG485" s="83"/>
      <c r="AH485" s="83"/>
      <c r="AI485" s="83"/>
      <c r="AJ485" s="83"/>
      <c r="AK485" s="83"/>
      <c r="AL485" s="83"/>
      <c r="AM485" s="651"/>
      <c r="AN485" s="83"/>
      <c r="AO485" s="83"/>
      <c r="CA485" s="502"/>
    </row>
    <row r="486" spans="1:80">
      <c r="A486" s="83"/>
      <c r="B486" s="95" t="s">
        <v>147</v>
      </c>
      <c r="C486" s="96" t="s">
        <v>225</v>
      </c>
      <c r="D486" s="183" t="s">
        <v>178</v>
      </c>
      <c r="E486" s="183"/>
      <c r="F486" s="103"/>
      <c r="G486" s="104">
        <v>3</v>
      </c>
      <c r="H486" s="104">
        <v>10</v>
      </c>
      <c r="I486" s="104">
        <v>6</v>
      </c>
      <c r="J486" s="104">
        <v>1</v>
      </c>
      <c r="K486" s="104">
        <v>-1</v>
      </c>
      <c r="L486" s="105">
        <v>-1</v>
      </c>
      <c r="M486" s="105">
        <v>0</v>
      </c>
      <c r="N486" s="105">
        <v>1</v>
      </c>
      <c r="O486" s="105"/>
      <c r="P486" s="104">
        <f>P484+P485</f>
        <v>-1</v>
      </c>
      <c r="Q486" s="105">
        <v>-1</v>
      </c>
      <c r="R486" s="105">
        <v>-1</v>
      </c>
      <c r="S486" s="105">
        <v>2</v>
      </c>
      <c r="T486" s="105">
        <f>T484-T485</f>
        <v>0</v>
      </c>
      <c r="U486" s="104">
        <f>U484+U485</f>
        <v>0</v>
      </c>
      <c r="V486" s="105"/>
      <c r="W486" s="105"/>
      <c r="X486" s="105"/>
      <c r="Y486" s="105"/>
      <c r="Z486" s="103"/>
      <c r="AA486" s="1008"/>
      <c r="AB486" s="1008"/>
      <c r="AC486" s="1008"/>
      <c r="AD486" s="1008"/>
      <c r="AE486" s="103"/>
      <c r="AF486" s="103"/>
      <c r="AG486" s="103"/>
      <c r="AH486" s="103"/>
      <c r="AI486" s="103"/>
      <c r="AJ486" s="83"/>
      <c r="AK486" s="83"/>
      <c r="AL486" s="83"/>
      <c r="AM486" s="651"/>
      <c r="AN486" s="83"/>
      <c r="AO486" s="83"/>
      <c r="CA486" s="508"/>
      <c r="CB486" s="508"/>
    </row>
    <row r="487" spans="1:80">
      <c r="A487" s="83"/>
      <c r="B487" s="95"/>
      <c r="C487" s="96"/>
      <c r="D487" s="84"/>
      <c r="E487" s="84"/>
      <c r="F487" s="83"/>
      <c r="G487" s="197"/>
      <c r="H487" s="197"/>
      <c r="I487" s="95"/>
      <c r="J487" s="95"/>
      <c r="K487" s="95"/>
      <c r="L487" s="126"/>
      <c r="M487" s="126"/>
      <c r="N487" s="126"/>
      <c r="O487" s="126"/>
      <c r="P487" s="197"/>
      <c r="Q487" s="126"/>
      <c r="R487" s="126"/>
      <c r="S487" s="126"/>
      <c r="T487" s="126"/>
      <c r="U487" s="83"/>
      <c r="V487" s="126"/>
      <c r="W487" s="126"/>
      <c r="X487" s="126"/>
      <c r="Y487" s="126"/>
      <c r="Z487" s="83"/>
      <c r="AA487" s="140"/>
      <c r="AB487" s="140"/>
      <c r="AC487" s="140"/>
      <c r="AD487" s="140"/>
      <c r="AE487" s="83"/>
      <c r="AF487" s="83"/>
      <c r="AG487" s="83"/>
      <c r="AH487" s="83"/>
      <c r="AI487" s="83"/>
      <c r="AJ487" s="83"/>
      <c r="AK487" s="83"/>
      <c r="AL487" s="83"/>
      <c r="AM487" s="651"/>
      <c r="AN487" s="83"/>
      <c r="AO487" s="83"/>
      <c r="CA487" s="508"/>
      <c r="CB487" s="508"/>
    </row>
    <row r="488" spans="1:80">
      <c r="A488" s="83"/>
      <c r="B488" s="95"/>
      <c r="C488" s="96"/>
      <c r="D488" s="84"/>
      <c r="E488" s="84"/>
      <c r="F488" s="83"/>
      <c r="G488" s="197"/>
      <c r="H488" s="197"/>
      <c r="I488" s="95"/>
      <c r="J488" s="95"/>
      <c r="K488" s="95"/>
      <c r="L488" s="126"/>
      <c r="M488" s="126"/>
      <c r="N488" s="126"/>
      <c r="O488" s="126"/>
      <c r="P488" s="197"/>
      <c r="Q488" s="126"/>
      <c r="R488" s="126"/>
      <c r="S488" s="126"/>
      <c r="T488" s="126"/>
      <c r="U488" s="83"/>
      <c r="V488" s="126"/>
      <c r="W488" s="126"/>
      <c r="X488" s="126"/>
      <c r="Y488" s="126"/>
      <c r="Z488" s="83"/>
      <c r="AA488" s="140"/>
      <c r="AB488" s="140"/>
      <c r="AC488" s="140"/>
      <c r="AD488" s="140"/>
      <c r="AE488" s="83"/>
      <c r="AF488" s="83"/>
      <c r="AG488" s="83"/>
      <c r="AH488" s="83"/>
      <c r="AI488" s="83"/>
      <c r="AJ488" s="83"/>
      <c r="AK488" s="83"/>
      <c r="AL488" s="83"/>
      <c r="AM488" s="651"/>
      <c r="AN488" s="83"/>
      <c r="AO488" s="83"/>
      <c r="CA488" s="508"/>
      <c r="CB488" s="508"/>
    </row>
    <row r="489" spans="1:80">
      <c r="A489" s="83"/>
      <c r="B489" s="95"/>
      <c r="C489" s="96"/>
      <c r="D489" s="84"/>
      <c r="E489" s="84"/>
      <c r="F489" s="83"/>
      <c r="G489" s="197"/>
      <c r="H489" s="197"/>
      <c r="I489" s="197"/>
      <c r="J489" s="197"/>
      <c r="K489" s="197"/>
      <c r="L489" s="198"/>
      <c r="M489" s="198"/>
      <c r="N489" s="198"/>
      <c r="O489" s="198"/>
      <c r="P489" s="197"/>
      <c r="Q489" s="198"/>
      <c r="R489" s="198"/>
      <c r="S489" s="198"/>
      <c r="T489" s="198"/>
      <c r="U489" s="83"/>
      <c r="V489" s="198"/>
      <c r="W489" s="198"/>
      <c r="X489" s="198"/>
      <c r="Y489" s="198"/>
      <c r="Z489" s="83"/>
      <c r="AA489" s="140"/>
      <c r="AB489" s="140"/>
      <c r="AC489" s="140"/>
      <c r="AD489" s="140"/>
      <c r="AE489" s="83"/>
      <c r="AF489" s="83"/>
      <c r="AG489" s="83"/>
      <c r="AH489" s="83"/>
      <c r="AI489" s="83"/>
      <c r="AJ489" s="83"/>
      <c r="AK489" s="83"/>
      <c r="AL489" s="83"/>
      <c r="AM489" s="651"/>
      <c r="AN489" s="83"/>
      <c r="AO489" s="83"/>
      <c r="CA489" s="508"/>
      <c r="CB489" s="508"/>
    </row>
    <row r="490" spans="1:80">
      <c r="A490" s="81" t="s">
        <v>40</v>
      </c>
      <c r="B490" s="80" t="s">
        <v>0</v>
      </c>
      <c r="C490" s="79" t="s">
        <v>0</v>
      </c>
      <c r="D490" s="81" t="s">
        <v>169</v>
      </c>
      <c r="E490" s="81"/>
      <c r="F490" s="82" t="s">
        <v>0</v>
      </c>
      <c r="G490" s="82" t="s">
        <v>0</v>
      </c>
      <c r="H490" s="82" t="s">
        <v>0</v>
      </c>
      <c r="I490" s="82" t="s">
        <v>0</v>
      </c>
      <c r="J490" s="82" t="s">
        <v>0</v>
      </c>
      <c r="K490" s="82" t="s">
        <v>0</v>
      </c>
      <c r="L490" s="82"/>
      <c r="M490" s="82"/>
      <c r="N490" s="82"/>
      <c r="O490" s="82"/>
      <c r="P490" s="211" t="s">
        <v>0</v>
      </c>
      <c r="Q490" s="82"/>
      <c r="R490" s="82"/>
      <c r="S490" s="82"/>
      <c r="T490" s="82"/>
      <c r="U490" s="211" t="s">
        <v>0</v>
      </c>
      <c r="V490" s="211"/>
      <c r="W490" s="211"/>
      <c r="X490" s="211"/>
      <c r="Y490" s="211"/>
      <c r="Z490" s="211" t="s">
        <v>0</v>
      </c>
      <c r="AA490" s="211"/>
      <c r="AB490" s="211"/>
      <c r="AC490" s="211"/>
      <c r="AD490" s="211"/>
      <c r="AE490" s="211" t="s">
        <v>0</v>
      </c>
      <c r="AF490" s="211"/>
      <c r="AG490" s="211"/>
      <c r="AH490" s="211" t="s">
        <v>0</v>
      </c>
      <c r="AI490" s="211" t="s">
        <v>0</v>
      </c>
      <c r="AJ490" s="211" t="s">
        <v>0</v>
      </c>
      <c r="AK490" s="211" t="s">
        <v>0</v>
      </c>
      <c r="AL490" s="211" t="s">
        <v>0</v>
      </c>
      <c r="AM490" s="652"/>
      <c r="CA490" s="508"/>
      <c r="CB490" s="508"/>
    </row>
    <row r="491" spans="1:80" s="83" customFormat="1">
      <c r="B491" s="95"/>
      <c r="C491" s="96"/>
      <c r="G491" s="92"/>
      <c r="H491" s="92"/>
      <c r="I491" s="92"/>
      <c r="J491" s="92"/>
      <c r="K491" s="92"/>
      <c r="L491" s="99"/>
      <c r="M491" s="99"/>
      <c r="N491" s="99"/>
      <c r="O491" s="99"/>
      <c r="P491" s="92"/>
      <c r="Q491" s="99"/>
      <c r="R491" s="99"/>
      <c r="S491" s="99"/>
      <c r="T491" s="99"/>
      <c r="U491" s="92"/>
      <c r="V491" s="99"/>
      <c r="W491" s="99"/>
      <c r="X491" s="99"/>
      <c r="Y491" s="99"/>
      <c r="Z491" s="92"/>
      <c r="AA491" s="99"/>
      <c r="AB491" s="99"/>
      <c r="AC491" s="99"/>
      <c r="AD491" s="99"/>
      <c r="AE491" s="92"/>
      <c r="AF491" s="92"/>
      <c r="AG491" s="92"/>
      <c r="AH491" s="92"/>
      <c r="AI491" s="92"/>
      <c r="AJ491" s="92"/>
      <c r="AK491" s="92"/>
      <c r="AL491" s="92"/>
      <c r="AM491" s="651"/>
      <c r="CA491" s="509"/>
      <c r="CB491" s="509"/>
    </row>
    <row r="492" spans="1:80" s="83" customFormat="1">
      <c r="B492" s="212"/>
      <c r="C492" s="213"/>
      <c r="G492" s="94"/>
      <c r="H492" s="94"/>
      <c r="I492" s="94"/>
      <c r="J492" s="94"/>
      <c r="K492" s="94"/>
      <c r="L492" s="101"/>
      <c r="M492" s="101"/>
      <c r="N492" s="101"/>
      <c r="O492" s="101"/>
      <c r="P492" s="94"/>
      <c r="Q492" s="101"/>
      <c r="R492" s="101"/>
      <c r="S492" s="101"/>
      <c r="T492" s="101"/>
      <c r="U492" s="94"/>
      <c r="V492" s="101"/>
      <c r="W492" s="101"/>
      <c r="X492" s="101"/>
      <c r="Y492" s="101"/>
      <c r="Z492" s="94"/>
      <c r="AA492" s="101"/>
      <c r="AB492" s="101"/>
      <c r="AC492" s="101"/>
      <c r="AD492" s="101"/>
      <c r="AE492" s="94"/>
      <c r="AF492" s="94"/>
      <c r="AG492" s="94"/>
      <c r="AH492" s="94"/>
      <c r="AI492" s="94"/>
      <c r="AJ492" s="92"/>
      <c r="AK492" s="92"/>
      <c r="AL492" s="92"/>
      <c r="AM492" s="651"/>
      <c r="CA492" s="509"/>
      <c r="CB492" s="509"/>
    </row>
    <row r="493" spans="1:80" s="83" customFormat="1">
      <c r="B493" s="95"/>
      <c r="C493" s="96"/>
      <c r="D493" s="554" t="s">
        <v>641</v>
      </c>
      <c r="E493" s="174"/>
      <c r="F493" s="174"/>
      <c r="G493" s="689"/>
      <c r="H493" s="689"/>
      <c r="I493" s="689"/>
      <c r="J493" s="689"/>
      <c r="K493" s="689"/>
      <c r="L493" s="690"/>
      <c r="M493" s="690"/>
      <c r="N493" s="690"/>
      <c r="O493" s="690"/>
      <c r="P493" s="689"/>
      <c r="Q493" s="690"/>
      <c r="R493" s="690"/>
      <c r="S493" s="690"/>
      <c r="T493" s="690"/>
      <c r="U493" s="689"/>
      <c r="V493" s="690"/>
      <c r="W493" s="690"/>
      <c r="X493" s="1160"/>
      <c r="Y493" s="690"/>
      <c r="Z493" s="689"/>
      <c r="AA493" s="690"/>
      <c r="AB493" s="690"/>
      <c r="AC493" s="690"/>
      <c r="AD493" s="690"/>
      <c r="AE493" s="689"/>
      <c r="AF493" s="689"/>
      <c r="AG493" s="689"/>
      <c r="AH493" s="691"/>
      <c r="AI493" s="691"/>
      <c r="AJ493" s="588"/>
      <c r="AK493" s="588"/>
      <c r="AL493" s="588"/>
      <c r="AM493" s="651"/>
      <c r="CA493" s="509"/>
      <c r="CB493" s="509"/>
    </row>
    <row r="494" spans="1:80" s="83" customFormat="1">
      <c r="B494" s="95" t="s">
        <v>640</v>
      </c>
      <c r="C494" s="96" t="s">
        <v>699</v>
      </c>
      <c r="D494" s="163" t="s">
        <v>169</v>
      </c>
      <c r="G494" s="94">
        <f t="shared" ref="G494:AG494" si="470">G158+G238+G338+G459</f>
        <v>302.55085425999999</v>
      </c>
      <c r="H494" s="94">
        <f t="shared" si="470"/>
        <v>280.51033050000001</v>
      </c>
      <c r="I494" s="94">
        <f t="shared" si="470"/>
        <v>313.82498902000003</v>
      </c>
      <c r="J494" s="94">
        <f t="shared" si="470"/>
        <v>286.12148350000001</v>
      </c>
      <c r="K494" s="94">
        <f t="shared" si="470"/>
        <v>260.88612704000002</v>
      </c>
      <c r="L494" s="101">
        <f t="shared" si="470"/>
        <v>67.245000000000005</v>
      </c>
      <c r="M494" s="101">
        <f t="shared" si="470"/>
        <v>66.717500000000001</v>
      </c>
      <c r="N494" s="101">
        <f t="shared" si="470"/>
        <v>64.36</v>
      </c>
      <c r="O494" s="101">
        <f t="shared" si="470"/>
        <v>66.349999999999994</v>
      </c>
      <c r="P494" s="94">
        <f t="shared" si="470"/>
        <v>264.3</v>
      </c>
      <c r="Q494" s="101">
        <f t="shared" si="470"/>
        <v>63.894999999999996</v>
      </c>
      <c r="R494" s="101">
        <f t="shared" si="470"/>
        <v>70.897499999999994</v>
      </c>
      <c r="S494" s="101">
        <f t="shared" si="470"/>
        <v>73.555000000000007</v>
      </c>
      <c r="T494" s="101">
        <f t="shared" si="470"/>
        <v>65.465000000000003</v>
      </c>
      <c r="U494" s="94">
        <f t="shared" si="470"/>
        <v>273.8125</v>
      </c>
      <c r="V494" s="101">
        <f t="shared" si="470"/>
        <v>66.570000000000007</v>
      </c>
      <c r="W494" s="101">
        <f t="shared" si="470"/>
        <v>55.284999999999997</v>
      </c>
      <c r="X494" s="101">
        <f t="shared" si="470"/>
        <v>64.14</v>
      </c>
      <c r="Y494" s="101">
        <f t="shared" si="470"/>
        <v>74.362499999999997</v>
      </c>
      <c r="Z494" s="94">
        <f t="shared" si="470"/>
        <v>260.35749999999996</v>
      </c>
      <c r="AA494" s="101">
        <f t="shared" si="470"/>
        <v>68.507500000000007</v>
      </c>
      <c r="AB494" s="101">
        <f t="shared" si="470"/>
        <v>68.73</v>
      </c>
      <c r="AC494" s="101">
        <f t="shared" si="470"/>
        <v>68.23</v>
      </c>
      <c r="AD494" s="101">
        <f t="shared" si="470"/>
        <v>65.532499999999985</v>
      </c>
      <c r="AE494" s="94">
        <f t="shared" si="470"/>
        <v>271</v>
      </c>
      <c r="AF494" s="94">
        <f t="shared" si="470"/>
        <v>271</v>
      </c>
      <c r="AG494" s="94">
        <f t="shared" si="470"/>
        <v>271</v>
      </c>
      <c r="AH494" s="94">
        <f>AH158+AH238+AH338+AH459</f>
        <v>291</v>
      </c>
      <c r="AI494" s="94">
        <f>AI158+AI238+AI338+AI459</f>
        <v>291</v>
      </c>
      <c r="AJ494" s="94">
        <f>AJ158+AJ238+AJ338+AJ459</f>
        <v>291</v>
      </c>
      <c r="AK494" s="94">
        <f>AK158+AK238+AK338+AK459</f>
        <v>291</v>
      </c>
      <c r="AL494" s="94">
        <f>AL158+AL238+AL338+AL459</f>
        <v>291</v>
      </c>
      <c r="AM494" s="651"/>
      <c r="CA494" s="509"/>
      <c r="CB494" s="509"/>
    </row>
    <row r="495" spans="1:80" s="83" customFormat="1">
      <c r="B495" s="95" t="s">
        <v>656</v>
      </c>
      <c r="C495" s="96" t="s">
        <v>699</v>
      </c>
      <c r="D495" s="163" t="s">
        <v>690</v>
      </c>
      <c r="G495" s="94">
        <f t="shared" ref="G495:AG495" si="471">G410+G339</f>
        <v>60.4</v>
      </c>
      <c r="H495" s="94">
        <f t="shared" si="471"/>
        <v>52.3</v>
      </c>
      <c r="I495" s="94">
        <f t="shared" si="471"/>
        <v>43.7</v>
      </c>
      <c r="J495" s="94">
        <f t="shared" si="471"/>
        <v>38.700000000000003</v>
      </c>
      <c r="K495" s="94">
        <f t="shared" si="471"/>
        <v>26.5</v>
      </c>
      <c r="L495" s="101">
        <f t="shared" si="471"/>
        <v>7.1999999999999993</v>
      </c>
      <c r="M495" s="101">
        <f t="shared" si="471"/>
        <v>7.8000000000000007</v>
      </c>
      <c r="N495" s="101">
        <f t="shared" si="471"/>
        <v>7.4</v>
      </c>
      <c r="O495" s="101">
        <f t="shared" si="471"/>
        <v>6.8</v>
      </c>
      <c r="P495" s="94">
        <f t="shared" si="471"/>
        <v>29.2</v>
      </c>
      <c r="Q495" s="101">
        <f t="shared" si="471"/>
        <v>6.3</v>
      </c>
      <c r="R495" s="101">
        <f t="shared" si="471"/>
        <v>6</v>
      </c>
      <c r="S495" s="101">
        <f t="shared" si="471"/>
        <v>5.6</v>
      </c>
      <c r="T495" s="101">
        <f t="shared" si="471"/>
        <v>5.6000000000000005</v>
      </c>
      <c r="U495" s="94">
        <f t="shared" si="471"/>
        <v>23.5</v>
      </c>
      <c r="V495" s="101">
        <f t="shared" si="471"/>
        <v>4</v>
      </c>
      <c r="W495" s="101">
        <f t="shared" si="471"/>
        <v>3.9</v>
      </c>
      <c r="X495" s="101">
        <f t="shared" si="471"/>
        <v>3.6999999999999997</v>
      </c>
      <c r="Y495" s="101">
        <f t="shared" si="471"/>
        <v>3.8</v>
      </c>
      <c r="Z495" s="94">
        <f t="shared" si="471"/>
        <v>15.4</v>
      </c>
      <c r="AA495" s="101">
        <f t="shared" si="471"/>
        <v>3.1999999999999997</v>
      </c>
      <c r="AB495" s="101">
        <f t="shared" si="471"/>
        <v>3.4</v>
      </c>
      <c r="AC495" s="101">
        <f t="shared" si="471"/>
        <v>2.6680000000000001</v>
      </c>
      <c r="AD495" s="101">
        <f t="shared" si="471"/>
        <v>2.3957499999999996</v>
      </c>
      <c r="AE495" s="94">
        <f t="shared" si="471"/>
        <v>11.8</v>
      </c>
      <c r="AF495" s="94">
        <f t="shared" si="471"/>
        <v>35.799999999999997</v>
      </c>
      <c r="AG495" s="94">
        <f t="shared" si="471"/>
        <v>85.8</v>
      </c>
      <c r="AH495" s="94">
        <f>AH410+AH339</f>
        <v>143.80000000000001</v>
      </c>
      <c r="AI495" s="94">
        <f>AI410+AI339</f>
        <v>201.8</v>
      </c>
      <c r="AJ495" s="94">
        <f>AJ410+AJ339</f>
        <v>221.8</v>
      </c>
      <c r="AK495" s="94">
        <f>AK410+AK339</f>
        <v>221.8</v>
      </c>
      <c r="AL495" s="94">
        <f>AL410+AL339</f>
        <v>221.8</v>
      </c>
      <c r="AM495" s="651"/>
      <c r="CA495" s="509"/>
      <c r="CB495" s="509"/>
    </row>
    <row r="496" spans="1:80" s="83" customFormat="1">
      <c r="B496" s="95" t="s">
        <v>656</v>
      </c>
      <c r="C496" s="96" t="s">
        <v>699</v>
      </c>
      <c r="D496" s="163" t="s">
        <v>694</v>
      </c>
      <c r="G496" s="94">
        <f t="shared" ref="G496:AF496" si="472">SUM(G494:G495)</f>
        <v>362.95085425999997</v>
      </c>
      <c r="H496" s="94">
        <f t="shared" si="472"/>
        <v>332.81033050000002</v>
      </c>
      <c r="I496" s="94">
        <f t="shared" si="472"/>
        <v>357.52498902000002</v>
      </c>
      <c r="J496" s="94">
        <f t="shared" si="472"/>
        <v>324.8214835</v>
      </c>
      <c r="K496" s="94">
        <f t="shared" si="472"/>
        <v>287.38612704000002</v>
      </c>
      <c r="L496" s="101">
        <f t="shared" si="472"/>
        <v>74.445000000000007</v>
      </c>
      <c r="M496" s="101">
        <f t="shared" si="472"/>
        <v>74.517499999999998</v>
      </c>
      <c r="N496" s="101">
        <f t="shared" si="472"/>
        <v>71.760000000000005</v>
      </c>
      <c r="O496" s="101">
        <f t="shared" si="472"/>
        <v>73.149999999999991</v>
      </c>
      <c r="P496" s="94">
        <f t="shared" si="472"/>
        <v>293.5</v>
      </c>
      <c r="Q496" s="101">
        <f t="shared" si="472"/>
        <v>70.194999999999993</v>
      </c>
      <c r="R496" s="101">
        <f t="shared" si="472"/>
        <v>76.897499999999994</v>
      </c>
      <c r="S496" s="101">
        <f t="shared" si="472"/>
        <v>79.155000000000001</v>
      </c>
      <c r="T496" s="101">
        <f t="shared" si="472"/>
        <v>71.064999999999998</v>
      </c>
      <c r="U496" s="94">
        <f t="shared" si="472"/>
        <v>297.3125</v>
      </c>
      <c r="V496" s="101">
        <f t="shared" si="472"/>
        <v>70.570000000000007</v>
      </c>
      <c r="W496" s="101">
        <f t="shared" si="472"/>
        <v>59.184999999999995</v>
      </c>
      <c r="X496" s="101">
        <f t="shared" si="472"/>
        <v>67.84</v>
      </c>
      <c r="Y496" s="101">
        <f t="shared" si="472"/>
        <v>78.162499999999994</v>
      </c>
      <c r="Z496" s="94">
        <f t="shared" si="472"/>
        <v>275.75749999999994</v>
      </c>
      <c r="AA496" s="101">
        <f t="shared" si="472"/>
        <v>71.70750000000001</v>
      </c>
      <c r="AB496" s="101">
        <f t="shared" si="472"/>
        <v>72.13000000000001</v>
      </c>
      <c r="AC496" s="101">
        <f t="shared" si="472"/>
        <v>70.89800000000001</v>
      </c>
      <c r="AD496" s="101">
        <f t="shared" si="472"/>
        <v>67.928249999999991</v>
      </c>
      <c r="AE496" s="94">
        <f t="shared" si="472"/>
        <v>282.8</v>
      </c>
      <c r="AF496" s="94">
        <f t="shared" si="472"/>
        <v>306.8</v>
      </c>
      <c r="AG496" s="94">
        <f t="shared" ref="AG496:AL496" si="473">SUM(AG494:AG495)</f>
        <v>356.8</v>
      </c>
      <c r="AH496" s="94">
        <f t="shared" si="473"/>
        <v>434.8</v>
      </c>
      <c r="AI496" s="94">
        <f t="shared" si="473"/>
        <v>492.8</v>
      </c>
      <c r="AJ496" s="94">
        <f t="shared" si="473"/>
        <v>512.79999999999995</v>
      </c>
      <c r="AK496" s="94">
        <f t="shared" si="473"/>
        <v>512.79999999999995</v>
      </c>
      <c r="AL496" s="94">
        <f t="shared" si="473"/>
        <v>512.79999999999995</v>
      </c>
      <c r="AM496" s="651"/>
      <c r="CA496" s="509"/>
      <c r="CB496" s="509"/>
    </row>
    <row r="497" spans="2:80" s="83" customFormat="1">
      <c r="B497" s="212"/>
      <c r="C497" s="213"/>
      <c r="G497" s="94"/>
      <c r="H497" s="94"/>
      <c r="I497" s="94"/>
      <c r="J497" s="94"/>
      <c r="K497" s="94"/>
      <c r="L497" s="101"/>
      <c r="M497" s="101"/>
      <c r="N497" s="101"/>
      <c r="O497" s="101"/>
      <c r="P497" s="94"/>
      <c r="Q497" s="101"/>
      <c r="R497" s="101"/>
      <c r="S497" s="101"/>
      <c r="T497" s="101"/>
      <c r="U497" s="94"/>
      <c r="V497" s="101"/>
      <c r="W497" s="101"/>
      <c r="X497" s="101"/>
      <c r="Y497" s="101"/>
      <c r="Z497" s="94"/>
      <c r="AA497" s="101"/>
      <c r="AB497" s="101"/>
      <c r="AC497" s="101"/>
      <c r="AD497" s="101"/>
      <c r="AE497" s="94"/>
      <c r="AF497" s="94"/>
      <c r="AG497" s="94"/>
      <c r="AH497" s="94"/>
      <c r="AI497" s="94"/>
      <c r="AJ497" s="94"/>
      <c r="AK497" s="94"/>
      <c r="AL497" s="94"/>
      <c r="AM497" s="651"/>
      <c r="CA497" s="509"/>
      <c r="CB497" s="509"/>
    </row>
    <row r="498" spans="2:80" s="83" customFormat="1">
      <c r="B498" s="212"/>
      <c r="C498" s="213"/>
      <c r="G498" s="94"/>
      <c r="H498" s="94"/>
      <c r="I498" s="94"/>
      <c r="J498" s="94"/>
      <c r="K498" s="94"/>
      <c r="L498" s="101"/>
      <c r="M498" s="101"/>
      <c r="N498" s="101"/>
      <c r="O498" s="101"/>
      <c r="P498" s="94"/>
      <c r="Q498" s="101"/>
      <c r="R498" s="101"/>
      <c r="S498" s="101"/>
      <c r="T498" s="101"/>
      <c r="U498" s="94"/>
      <c r="V498" s="101"/>
      <c r="W498" s="101"/>
      <c r="X498" s="101"/>
      <c r="Y498" s="101"/>
      <c r="Z498" s="94"/>
      <c r="AA498" s="101"/>
      <c r="AB498" s="101"/>
      <c r="AC498" s="101"/>
      <c r="AD498" s="101"/>
      <c r="AE498" s="94"/>
      <c r="AF498" s="94"/>
      <c r="AG498" s="94"/>
      <c r="AH498" s="94"/>
      <c r="AI498" s="94"/>
      <c r="AJ498" s="94"/>
      <c r="AK498" s="94"/>
      <c r="AL498" s="94"/>
      <c r="AM498" s="651"/>
      <c r="CA498" s="509"/>
      <c r="CB498" s="509"/>
    </row>
    <row r="499" spans="2:80" s="83" customFormat="1">
      <c r="B499" s="95"/>
      <c r="C499" s="96"/>
      <c r="D499" s="554" t="s">
        <v>617</v>
      </c>
      <c r="E499" s="586"/>
      <c r="F499" s="586"/>
      <c r="G499" s="691"/>
      <c r="H499" s="691"/>
      <c r="I499" s="691"/>
      <c r="J499" s="691"/>
      <c r="K499" s="691"/>
      <c r="L499" s="313"/>
      <c r="M499" s="313"/>
      <c r="N499" s="313"/>
      <c r="O499" s="313"/>
      <c r="P499" s="691"/>
      <c r="Q499" s="313"/>
      <c r="R499" s="313"/>
      <c r="S499" s="313"/>
      <c r="T499" s="313"/>
      <c r="U499" s="691"/>
      <c r="V499" s="313"/>
      <c r="W499" s="313"/>
      <c r="X499" s="313"/>
      <c r="Y499" s="313"/>
      <c r="Z499" s="691"/>
      <c r="AA499" s="313"/>
      <c r="AB499" s="313"/>
      <c r="AC499" s="313"/>
      <c r="AD499" s="313"/>
      <c r="AE499" s="691"/>
      <c r="AF499" s="691"/>
      <c r="AG499" s="689"/>
      <c r="AH499" s="689"/>
      <c r="AI499" s="689"/>
      <c r="AJ499" s="689"/>
      <c r="AK499" s="689"/>
      <c r="AL499" s="689"/>
      <c r="AM499" s="651"/>
      <c r="CA499" s="509"/>
      <c r="CB499" s="509"/>
    </row>
    <row r="500" spans="2:80" s="83" customFormat="1">
      <c r="B500" s="95" t="s">
        <v>656</v>
      </c>
      <c r="C500" s="96" t="s">
        <v>699</v>
      </c>
      <c r="D500" s="163" t="s">
        <v>700</v>
      </c>
      <c r="G500" s="216">
        <f t="shared" ref="G500:AG500" si="474">G162+G251+G343+G463</f>
        <v>302.8</v>
      </c>
      <c r="H500" s="216">
        <f t="shared" si="474"/>
        <v>284.39999999999998</v>
      </c>
      <c r="I500" s="216">
        <f t="shared" si="474"/>
        <v>311.89999999999998</v>
      </c>
      <c r="J500" s="216">
        <f t="shared" si="474"/>
        <v>286.60000000000002</v>
      </c>
      <c r="K500" s="216">
        <f t="shared" si="474"/>
        <v>256.89999999999998</v>
      </c>
      <c r="L500" s="217">
        <f t="shared" si="474"/>
        <v>70.362499999999997</v>
      </c>
      <c r="M500" s="217">
        <f t="shared" si="474"/>
        <v>65.45750000000001</v>
      </c>
      <c r="N500" s="217">
        <f t="shared" si="474"/>
        <v>61.865000000000002</v>
      </c>
      <c r="O500" s="217">
        <f t="shared" si="474"/>
        <v>64.792500000000004</v>
      </c>
      <c r="P500" s="216">
        <f t="shared" si="474"/>
        <v>261.7</v>
      </c>
      <c r="Q500" s="217">
        <f t="shared" si="474"/>
        <v>67.784999999999997</v>
      </c>
      <c r="R500" s="217">
        <f t="shared" si="474"/>
        <v>70.685000000000002</v>
      </c>
      <c r="S500" s="217">
        <f t="shared" si="474"/>
        <v>70.204999999999998</v>
      </c>
      <c r="T500" s="217">
        <f t="shared" si="474"/>
        <v>68.652499999999975</v>
      </c>
      <c r="U500" s="216">
        <f t="shared" si="474"/>
        <v>277.32749999999999</v>
      </c>
      <c r="V500" s="217">
        <f t="shared" si="474"/>
        <v>68.83</v>
      </c>
      <c r="W500" s="217">
        <f t="shared" si="474"/>
        <v>50.522500000000001</v>
      </c>
      <c r="X500" s="217">
        <f t="shared" si="474"/>
        <v>64.977500000000006</v>
      </c>
      <c r="Y500" s="217">
        <f t="shared" si="474"/>
        <v>77.325000000000003</v>
      </c>
      <c r="Z500" s="216">
        <f t="shared" si="474"/>
        <v>261.65500000000003</v>
      </c>
      <c r="AA500" s="217">
        <f t="shared" si="474"/>
        <v>64.092500000000001</v>
      </c>
      <c r="AB500" s="217">
        <f t="shared" si="474"/>
        <v>62.929999999999993</v>
      </c>
      <c r="AC500" s="217">
        <f t="shared" si="474"/>
        <v>68.23</v>
      </c>
      <c r="AD500" s="217">
        <f t="shared" si="474"/>
        <v>65.532499999999985</v>
      </c>
      <c r="AE500" s="216">
        <f t="shared" si="474"/>
        <v>262</v>
      </c>
      <c r="AF500" s="216">
        <f t="shared" si="474"/>
        <v>271</v>
      </c>
      <c r="AG500" s="216">
        <f t="shared" si="474"/>
        <v>271</v>
      </c>
      <c r="AH500" s="216">
        <f>AH162+AH251+AH343+AH463</f>
        <v>291</v>
      </c>
      <c r="AI500" s="216">
        <f>AI162+AI251+AI343+AI463</f>
        <v>291</v>
      </c>
      <c r="AJ500" s="216">
        <f>AJ162+AJ251+AJ343+AJ463</f>
        <v>291</v>
      </c>
      <c r="AK500" s="216">
        <f>AK162+AK251+AK343+AK463</f>
        <v>291</v>
      </c>
      <c r="AL500" s="216">
        <f>AL162+AL251+AL343+AL463</f>
        <v>291</v>
      </c>
      <c r="AM500" s="651"/>
      <c r="CA500" s="509"/>
      <c r="CB500" s="509"/>
    </row>
    <row r="501" spans="2:80" s="83" customFormat="1">
      <c r="B501" s="95" t="s">
        <v>656</v>
      </c>
      <c r="C501" s="96" t="s">
        <v>699</v>
      </c>
      <c r="D501" s="163" t="s">
        <v>690</v>
      </c>
      <c r="G501" s="94">
        <f t="shared" ref="G501:AG501" si="475">G413+G344</f>
        <v>59.1</v>
      </c>
      <c r="H501" s="94">
        <f t="shared" si="475"/>
        <v>53.4</v>
      </c>
      <c r="I501" s="94">
        <f t="shared" si="475"/>
        <v>44.7</v>
      </c>
      <c r="J501" s="94">
        <f t="shared" si="475"/>
        <v>38.6</v>
      </c>
      <c r="K501" s="94">
        <f t="shared" si="475"/>
        <v>26.5</v>
      </c>
      <c r="L501" s="101">
        <f t="shared" si="475"/>
        <v>7.1</v>
      </c>
      <c r="M501" s="101">
        <f t="shared" si="475"/>
        <v>8.4</v>
      </c>
      <c r="N501" s="101">
        <f t="shared" si="475"/>
        <v>7.9</v>
      </c>
      <c r="O501" s="101">
        <f t="shared" si="475"/>
        <v>6.6000000000000005</v>
      </c>
      <c r="P501" s="94">
        <f t="shared" si="475"/>
        <v>30</v>
      </c>
      <c r="Q501" s="101">
        <f t="shared" si="475"/>
        <v>6.5</v>
      </c>
      <c r="R501" s="101">
        <f t="shared" si="475"/>
        <v>5.6</v>
      </c>
      <c r="S501" s="101">
        <f t="shared" si="475"/>
        <v>5.7</v>
      </c>
      <c r="T501" s="101">
        <f t="shared" si="475"/>
        <v>5.6</v>
      </c>
      <c r="U501" s="94">
        <f t="shared" si="475"/>
        <v>23.400000000000002</v>
      </c>
      <c r="V501" s="101">
        <f t="shared" si="475"/>
        <v>4.2</v>
      </c>
      <c r="W501" s="101">
        <f t="shared" si="475"/>
        <v>4.0999999999999996</v>
      </c>
      <c r="X501" s="101">
        <f t="shared" si="475"/>
        <v>3.9</v>
      </c>
      <c r="Y501" s="101">
        <f t="shared" si="475"/>
        <v>3.6</v>
      </c>
      <c r="Z501" s="94">
        <f t="shared" si="475"/>
        <v>15.8</v>
      </c>
      <c r="AA501" s="101">
        <f t="shared" si="475"/>
        <v>3.2</v>
      </c>
      <c r="AB501" s="101">
        <f t="shared" si="475"/>
        <v>3.0999999999999996</v>
      </c>
      <c r="AC501" s="101">
        <f t="shared" si="475"/>
        <v>2.6680000000000001</v>
      </c>
      <c r="AD501" s="101">
        <f t="shared" si="475"/>
        <v>2.3957499999999996</v>
      </c>
      <c r="AE501" s="94">
        <f t="shared" si="475"/>
        <v>11.76375</v>
      </c>
      <c r="AF501" s="94">
        <f t="shared" si="475"/>
        <v>35.799999999999997</v>
      </c>
      <c r="AG501" s="94">
        <f t="shared" si="475"/>
        <v>85.8</v>
      </c>
      <c r="AH501" s="94">
        <f>AH413+AH344</f>
        <v>143.80000000000001</v>
      </c>
      <c r="AI501" s="94">
        <f>AI413+AI344</f>
        <v>201.8</v>
      </c>
      <c r="AJ501" s="94">
        <f>AJ413+AJ344</f>
        <v>221.8</v>
      </c>
      <c r="AK501" s="94">
        <f>AK413+AK344</f>
        <v>221.8</v>
      </c>
      <c r="AL501" s="94">
        <f>AL413+AL344</f>
        <v>221.8</v>
      </c>
      <c r="AM501" s="651"/>
      <c r="CA501" s="509"/>
      <c r="CB501" s="509"/>
    </row>
    <row r="502" spans="2:80" s="83" customFormat="1">
      <c r="B502" s="95" t="s">
        <v>656</v>
      </c>
      <c r="C502" s="96" t="s">
        <v>699</v>
      </c>
      <c r="D502" s="163" t="s">
        <v>694</v>
      </c>
      <c r="G502" s="94">
        <f>SUM(G500:G501)</f>
        <v>361.90000000000003</v>
      </c>
      <c r="H502" s="94">
        <f t="shared" ref="H502:U502" si="476">SUM(H500:H501)</f>
        <v>337.79999999999995</v>
      </c>
      <c r="I502" s="94">
        <f t="shared" si="476"/>
        <v>356.59999999999997</v>
      </c>
      <c r="J502" s="94">
        <f t="shared" si="476"/>
        <v>325.20000000000005</v>
      </c>
      <c r="K502" s="94">
        <f t="shared" si="476"/>
        <v>283.39999999999998</v>
      </c>
      <c r="L502" s="101">
        <f t="shared" si="476"/>
        <v>77.462499999999991</v>
      </c>
      <c r="M502" s="101">
        <f t="shared" si="476"/>
        <v>73.857500000000016</v>
      </c>
      <c r="N502" s="101">
        <f t="shared" si="476"/>
        <v>69.765000000000001</v>
      </c>
      <c r="O502" s="101">
        <f t="shared" si="476"/>
        <v>71.392499999999998</v>
      </c>
      <c r="P502" s="94">
        <f t="shared" si="476"/>
        <v>291.7</v>
      </c>
      <c r="Q502" s="101">
        <f t="shared" si="476"/>
        <v>74.284999999999997</v>
      </c>
      <c r="R502" s="101">
        <f t="shared" si="476"/>
        <v>76.284999999999997</v>
      </c>
      <c r="S502" s="101">
        <f t="shared" si="476"/>
        <v>75.905000000000001</v>
      </c>
      <c r="T502" s="101">
        <f t="shared" si="476"/>
        <v>74.252499999999969</v>
      </c>
      <c r="U502" s="94">
        <f t="shared" si="476"/>
        <v>300.72749999999996</v>
      </c>
      <c r="V502" s="101">
        <f t="shared" ref="V502:AF502" si="477">SUM(V500:V501)</f>
        <v>73.03</v>
      </c>
      <c r="W502" s="101">
        <f t="shared" si="477"/>
        <v>54.622500000000002</v>
      </c>
      <c r="X502" s="101">
        <f t="shared" si="477"/>
        <v>68.877500000000012</v>
      </c>
      <c r="Y502" s="101">
        <f t="shared" si="477"/>
        <v>80.924999999999997</v>
      </c>
      <c r="Z502" s="94">
        <f t="shared" si="477"/>
        <v>277.45500000000004</v>
      </c>
      <c r="AA502" s="101">
        <f t="shared" si="477"/>
        <v>67.292500000000004</v>
      </c>
      <c r="AB502" s="101">
        <f t="shared" si="477"/>
        <v>66.029999999999987</v>
      </c>
      <c r="AC502" s="101">
        <f t="shared" si="477"/>
        <v>70.89800000000001</v>
      </c>
      <c r="AD502" s="101">
        <f t="shared" si="477"/>
        <v>67.928249999999991</v>
      </c>
      <c r="AE502" s="94">
        <f t="shared" si="477"/>
        <v>273.76375000000002</v>
      </c>
      <c r="AF502" s="94">
        <f t="shared" si="477"/>
        <v>306.8</v>
      </c>
      <c r="AG502" s="94">
        <f t="shared" ref="AG502:AL502" si="478">SUM(AG500:AG501)</f>
        <v>356.8</v>
      </c>
      <c r="AH502" s="94">
        <f t="shared" si="478"/>
        <v>434.8</v>
      </c>
      <c r="AI502" s="94">
        <f t="shared" si="478"/>
        <v>492.8</v>
      </c>
      <c r="AJ502" s="94">
        <f t="shared" si="478"/>
        <v>512.79999999999995</v>
      </c>
      <c r="AK502" s="94">
        <f t="shared" si="478"/>
        <v>512.79999999999995</v>
      </c>
      <c r="AL502" s="94">
        <f t="shared" si="478"/>
        <v>512.79999999999995</v>
      </c>
      <c r="AM502" s="651"/>
      <c r="CA502" s="509"/>
      <c r="CB502" s="509"/>
    </row>
    <row r="503" spans="2:80" s="83" customFormat="1">
      <c r="B503" s="212"/>
      <c r="C503" s="213"/>
      <c r="G503" s="94"/>
      <c r="H503" s="94"/>
      <c r="I503" s="94"/>
      <c r="J503" s="94"/>
      <c r="K503" s="94"/>
      <c r="L503" s="101"/>
      <c r="M503" s="101"/>
      <c r="N503" s="101"/>
      <c r="O503" s="101"/>
      <c r="P503" s="94"/>
      <c r="Q503" s="101"/>
      <c r="R503" s="101"/>
      <c r="S503" s="101"/>
      <c r="T503" s="101"/>
      <c r="U503" s="94"/>
      <c r="V503" s="101"/>
      <c r="W503" s="101"/>
      <c r="X503" s="101"/>
      <c r="Y503" s="101"/>
      <c r="Z503" s="94"/>
      <c r="AA503" s="101"/>
      <c r="AB503" s="101"/>
      <c r="AC503" s="101"/>
      <c r="AD503" s="101"/>
      <c r="AE503" s="94"/>
      <c r="AF503" s="94"/>
      <c r="AG503" s="94"/>
      <c r="AH503" s="94"/>
      <c r="AI503" s="94"/>
      <c r="AJ503" s="94"/>
      <c r="AK503" s="94"/>
      <c r="AL503" s="94"/>
      <c r="AM503" s="651"/>
      <c r="CA503" s="509"/>
      <c r="CB503" s="509"/>
    </row>
    <row r="504" spans="2:80" s="83" customFormat="1">
      <c r="B504" s="212"/>
      <c r="C504" s="213"/>
      <c r="G504" s="94"/>
      <c r="H504" s="94"/>
      <c r="I504" s="94"/>
      <c r="J504" s="94"/>
      <c r="K504" s="94"/>
      <c r="L504" s="101"/>
      <c r="M504" s="101"/>
      <c r="N504" s="101"/>
      <c r="O504" s="101"/>
      <c r="P504" s="94"/>
      <c r="Q504" s="101"/>
      <c r="R504" s="101"/>
      <c r="S504" s="101"/>
      <c r="T504" s="101"/>
      <c r="U504" s="94"/>
      <c r="V504" s="101"/>
      <c r="W504" s="101"/>
      <c r="X504" s="101"/>
      <c r="Y504" s="101"/>
      <c r="Z504" s="94"/>
      <c r="AA504" s="101"/>
      <c r="AB504" s="101"/>
      <c r="AC504" s="101"/>
      <c r="AD504" s="101"/>
      <c r="AE504" s="94"/>
      <c r="AF504" s="94"/>
      <c r="AG504" s="94"/>
      <c r="AH504" s="94"/>
      <c r="AI504" s="94"/>
      <c r="AJ504" s="94"/>
      <c r="AK504" s="94"/>
      <c r="AL504" s="94"/>
      <c r="AM504" s="651"/>
      <c r="CA504" s="509"/>
      <c r="CB504" s="509"/>
    </row>
    <row r="505" spans="2:80" s="83" customFormat="1">
      <c r="B505" s="95" t="s">
        <v>633</v>
      </c>
      <c r="C505" s="96" t="s">
        <v>225</v>
      </c>
      <c r="D505" s="164" t="s">
        <v>636</v>
      </c>
      <c r="E505" s="162"/>
      <c r="G505" s="224">
        <f t="shared" ref="G505:AG505" si="479">G289+G366+G428+G466+G479+G183</f>
        <v>2763.2270312199389</v>
      </c>
      <c r="H505" s="224">
        <f>H289+H366+H428+H466+H479+H183</f>
        <v>2543.8393988451508</v>
      </c>
      <c r="I505" s="224">
        <f t="shared" si="479"/>
        <v>2373.3669159175784</v>
      </c>
      <c r="J505" s="224">
        <f t="shared" si="479"/>
        <v>1999.83058158327</v>
      </c>
      <c r="K505" s="224">
        <f t="shared" si="479"/>
        <v>2409.8280705409552</v>
      </c>
      <c r="L505" s="692">
        <f t="shared" si="479"/>
        <v>746.2995300892477</v>
      </c>
      <c r="M505" s="692">
        <f t="shared" si="479"/>
        <v>725.64276809280591</v>
      </c>
      <c r="N505" s="692">
        <f t="shared" si="479"/>
        <v>608.3274620900138</v>
      </c>
      <c r="O505" s="692">
        <f t="shared" si="479"/>
        <v>642.45317588280011</v>
      </c>
      <c r="P505" s="224">
        <f t="shared" si="479"/>
        <v>2714.7854686629789</v>
      </c>
      <c r="Q505" s="692">
        <f t="shared" si="479"/>
        <v>629.41541134361034</v>
      </c>
      <c r="R505" s="692">
        <f t="shared" si="479"/>
        <v>651.2290799859187</v>
      </c>
      <c r="S505" s="692">
        <f t="shared" si="479"/>
        <v>600.33600523241898</v>
      </c>
      <c r="T505" s="692">
        <f t="shared" si="479"/>
        <v>594.23877331686663</v>
      </c>
      <c r="U505" s="224">
        <f t="shared" si="479"/>
        <v>2473.3752399022169</v>
      </c>
      <c r="V505" s="692">
        <f t="shared" si="479"/>
        <v>590.01332370567536</v>
      </c>
      <c r="W505" s="692">
        <f t="shared" si="479"/>
        <v>402.42742842982466</v>
      </c>
      <c r="X505" s="692">
        <f t="shared" si="479"/>
        <v>627.59915961457068</v>
      </c>
      <c r="Y505" s="692">
        <f t="shared" si="479"/>
        <v>808.7754031100028</v>
      </c>
      <c r="Z505" s="224">
        <f>Z289+Z366+Z428+Z466+Z479+Z183</f>
        <v>2428.8153148600736</v>
      </c>
      <c r="AA505" s="692">
        <f t="shared" si="479"/>
        <v>758.24831110028288</v>
      </c>
      <c r="AB505" s="692">
        <f t="shared" si="479"/>
        <v>823.31043376379239</v>
      </c>
      <c r="AC505" s="692">
        <f t="shared" si="479"/>
        <v>838.33688614029484</v>
      </c>
      <c r="AD505" s="692">
        <f t="shared" si="479"/>
        <v>798.30892088988094</v>
      </c>
      <c r="AE505" s="224">
        <f t="shared" si="479"/>
        <v>3218.2045518942514</v>
      </c>
      <c r="AF505" s="224">
        <f t="shared" si="479"/>
        <v>3704.3560255252837</v>
      </c>
      <c r="AG505" s="224">
        <f t="shared" si="479"/>
        <v>4304.3323142470699</v>
      </c>
      <c r="AH505" s="224">
        <f>AH289+AH366+AH428+AH466+AH479+AH183</f>
        <v>5225.3882407566471</v>
      </c>
      <c r="AI505" s="224">
        <f>AI289+AI366+AI428+AI466+AI479+AI183</f>
        <v>5300.4661640634749</v>
      </c>
      <c r="AJ505" s="224">
        <f>AJ289+AJ366+AJ428+AJ466+AJ479+AJ183</f>
        <v>5465.527332284164</v>
      </c>
      <c r="AK505" s="224">
        <f>AK289+AK366+AK428+AK466+AK479+AK183</f>
        <v>5465.527332284164</v>
      </c>
      <c r="AL505" s="224">
        <f>AL289+AL366+AL428+AL466+AL479+AL183</f>
        <v>5465.527332284164</v>
      </c>
      <c r="AM505" s="651"/>
      <c r="CA505" s="509"/>
      <c r="CB505" s="509"/>
    </row>
    <row r="506" spans="2:80" s="83" customFormat="1">
      <c r="B506" s="95" t="s">
        <v>633</v>
      </c>
      <c r="C506" s="96" t="s">
        <v>225</v>
      </c>
      <c r="D506" s="599" t="s">
        <v>682</v>
      </c>
      <c r="E506" s="566"/>
      <c r="F506" s="134"/>
      <c r="G506" s="310">
        <f t="shared" ref="G506:AL506" si="480">G507-G505</f>
        <v>89.772968780061092</v>
      </c>
      <c r="H506" s="310">
        <f t="shared" si="480"/>
        <v>42.160601154849246</v>
      </c>
      <c r="I506" s="310">
        <f t="shared" si="480"/>
        <v>48.633084082421647</v>
      </c>
      <c r="J506" s="310">
        <f t="shared" si="480"/>
        <v>7.1694184167299682</v>
      </c>
      <c r="K506" s="310">
        <f t="shared" si="480"/>
        <v>-9.8280705409551956</v>
      </c>
      <c r="L506" s="311">
        <f t="shared" si="480"/>
        <v>-7.2995300892476962</v>
      </c>
      <c r="M506" s="311">
        <f t="shared" si="480"/>
        <v>5.357231907194091</v>
      </c>
      <c r="N506" s="311">
        <f t="shared" si="480"/>
        <v>2.6725379099862039</v>
      </c>
      <c r="O506" s="311">
        <f t="shared" si="480"/>
        <v>-9.4531758828001102</v>
      </c>
      <c r="P506" s="310">
        <f t="shared" si="480"/>
        <v>-0.78546866297892848</v>
      </c>
      <c r="Q506" s="311">
        <f t="shared" si="480"/>
        <v>0.58458865638965563</v>
      </c>
      <c r="R506" s="311">
        <f t="shared" si="480"/>
        <v>-5.2290799859187018</v>
      </c>
      <c r="S506" s="311">
        <f t="shared" si="480"/>
        <v>0.66399476758101628</v>
      </c>
      <c r="T506" s="311">
        <f t="shared" si="480"/>
        <v>-2.2387733168666273</v>
      </c>
      <c r="U506" s="310">
        <f t="shared" si="480"/>
        <v>-4.3752399022168902</v>
      </c>
      <c r="V506" s="311">
        <f t="shared" si="480"/>
        <v>-20.013323705675361</v>
      </c>
      <c r="W506" s="311">
        <f t="shared" si="480"/>
        <v>2.5725715701753415</v>
      </c>
      <c r="X506" s="311">
        <f t="shared" si="480"/>
        <v>-3.5991596145706808</v>
      </c>
      <c r="Y506" s="311">
        <f t="shared" si="480"/>
        <v>11.224596889997201</v>
      </c>
      <c r="Z506" s="310">
        <f>Z507-Z505</f>
        <v>-9.8153148600736131</v>
      </c>
      <c r="AA506" s="311">
        <f t="shared" si="480"/>
        <v>8.7516888997171236</v>
      </c>
      <c r="AB506" s="311">
        <f t="shared" si="480"/>
        <v>-2.3104337637923891</v>
      </c>
      <c r="AC506" s="311">
        <f t="shared" si="480"/>
        <v>0</v>
      </c>
      <c r="AD506" s="311">
        <f t="shared" si="480"/>
        <v>0</v>
      </c>
      <c r="AE506" s="310">
        <f t="shared" si="480"/>
        <v>6.4412551359246208</v>
      </c>
      <c r="AF506" s="310">
        <f t="shared" si="480"/>
        <v>0</v>
      </c>
      <c r="AG506" s="310">
        <f t="shared" si="480"/>
        <v>0</v>
      </c>
      <c r="AH506" s="310">
        <f t="shared" si="480"/>
        <v>0</v>
      </c>
      <c r="AI506" s="310">
        <f t="shared" si="480"/>
        <v>0</v>
      </c>
      <c r="AJ506" s="310">
        <f t="shared" si="480"/>
        <v>0</v>
      </c>
      <c r="AK506" s="310">
        <f t="shared" si="480"/>
        <v>0</v>
      </c>
      <c r="AL506" s="310">
        <f t="shared" si="480"/>
        <v>0</v>
      </c>
      <c r="AM506" s="651"/>
      <c r="CA506" s="509"/>
      <c r="CB506" s="509"/>
    </row>
    <row r="507" spans="2:80" s="83" customFormat="1">
      <c r="B507" s="95" t="s">
        <v>633</v>
      </c>
      <c r="C507" s="96" t="s">
        <v>225</v>
      </c>
      <c r="D507" s="173" t="s">
        <v>638</v>
      </c>
      <c r="E507" s="653"/>
      <c r="F507" s="653"/>
      <c r="G507" s="226">
        <f t="shared" ref="G507:AG507" si="481">G291+G368+G430+G466+G479+G185</f>
        <v>2853</v>
      </c>
      <c r="H507" s="226">
        <f t="shared" si="481"/>
        <v>2586</v>
      </c>
      <c r="I507" s="226">
        <f t="shared" si="481"/>
        <v>2422</v>
      </c>
      <c r="J507" s="226">
        <f t="shared" si="481"/>
        <v>2007</v>
      </c>
      <c r="K507" s="226">
        <f t="shared" si="481"/>
        <v>2400</v>
      </c>
      <c r="L507" s="227">
        <f t="shared" si="481"/>
        <v>739</v>
      </c>
      <c r="M507" s="227">
        <f t="shared" si="481"/>
        <v>731</v>
      </c>
      <c r="N507" s="227">
        <f t="shared" si="481"/>
        <v>611</v>
      </c>
      <c r="O507" s="227">
        <f t="shared" si="481"/>
        <v>633</v>
      </c>
      <c r="P507" s="226">
        <f t="shared" si="481"/>
        <v>2714</v>
      </c>
      <c r="Q507" s="227">
        <f t="shared" si="481"/>
        <v>630</v>
      </c>
      <c r="R507" s="227">
        <f t="shared" si="481"/>
        <v>646</v>
      </c>
      <c r="S507" s="227">
        <f t="shared" si="481"/>
        <v>601</v>
      </c>
      <c r="T507" s="227">
        <f t="shared" si="481"/>
        <v>592</v>
      </c>
      <c r="U507" s="226">
        <f t="shared" si="481"/>
        <v>2469</v>
      </c>
      <c r="V507" s="227">
        <f t="shared" si="481"/>
        <v>570</v>
      </c>
      <c r="W507" s="227">
        <f t="shared" si="481"/>
        <v>405</v>
      </c>
      <c r="X507" s="227">
        <f t="shared" si="481"/>
        <v>624</v>
      </c>
      <c r="Y507" s="227">
        <f t="shared" si="481"/>
        <v>820</v>
      </c>
      <c r="Z507" s="226">
        <f t="shared" si="481"/>
        <v>2419</v>
      </c>
      <c r="AA507" s="227">
        <f t="shared" si="481"/>
        <v>767</v>
      </c>
      <c r="AB507" s="227">
        <f t="shared" si="481"/>
        <v>821</v>
      </c>
      <c r="AC507" s="227">
        <f t="shared" si="481"/>
        <v>838.33688614029484</v>
      </c>
      <c r="AD507" s="227">
        <f>AD291+AD368+AD430+AD466+AD479+AD185</f>
        <v>798.30892088988094</v>
      </c>
      <c r="AE507" s="226">
        <f t="shared" si="481"/>
        <v>3224.645807030176</v>
      </c>
      <c r="AF507" s="226">
        <f t="shared" si="481"/>
        <v>3704.3560255252837</v>
      </c>
      <c r="AG507" s="226">
        <f t="shared" si="481"/>
        <v>4304.3323142470699</v>
      </c>
      <c r="AH507" s="226">
        <f>AH291+AH368+AH430+AH466+AH479+AH185</f>
        <v>5225.3882407566471</v>
      </c>
      <c r="AI507" s="226">
        <f>AI291+AI368+AI430+AI466+AI479+AI185</f>
        <v>5300.4661640634749</v>
      </c>
      <c r="AJ507" s="226">
        <f>AJ291+AJ368+AJ430+AJ466+AJ479+AJ185</f>
        <v>5465.527332284164</v>
      </c>
      <c r="AK507" s="226">
        <f>AK291+AK368+AK430+AK466+AK479+AK185</f>
        <v>5465.527332284164</v>
      </c>
      <c r="AL507" s="226">
        <f>AL291+AL368+AL430+AL466+AL479+AL185</f>
        <v>5465.527332284164</v>
      </c>
      <c r="AM507" s="651"/>
      <c r="CA507" s="509"/>
      <c r="CB507" s="509"/>
    </row>
    <row r="508" spans="2:80" s="83" customFormat="1">
      <c r="B508" s="95" t="s">
        <v>633</v>
      </c>
      <c r="C508" s="96" t="s">
        <v>225</v>
      </c>
      <c r="D508" s="599" t="s">
        <v>642</v>
      </c>
      <c r="G508" s="94">
        <f t="shared" ref="G508:AG508" si="482">G186+G292+G369+G431+G467+G480</f>
        <v>-1337</v>
      </c>
      <c r="H508" s="94">
        <f t="shared" si="482"/>
        <v>-1289</v>
      </c>
      <c r="I508" s="94">
        <f t="shared" si="482"/>
        <v>-1396</v>
      </c>
      <c r="J508" s="94">
        <f t="shared" si="482"/>
        <v>-1127</v>
      </c>
      <c r="K508" s="94">
        <f t="shared" si="482"/>
        <v>-1134</v>
      </c>
      <c r="L508" s="101">
        <f t="shared" si="482"/>
        <v>-293</v>
      </c>
      <c r="M508" s="101">
        <f t="shared" si="482"/>
        <v>-312</v>
      </c>
      <c r="N508" s="101">
        <f t="shared" si="482"/>
        <v>-292</v>
      </c>
      <c r="O508" s="101">
        <f t="shared" si="482"/>
        <v>-342</v>
      </c>
      <c r="P508" s="94">
        <f t="shared" si="482"/>
        <v>-1240</v>
      </c>
      <c r="Q508" s="101">
        <f t="shared" si="482"/>
        <v>-318</v>
      </c>
      <c r="R508" s="101">
        <f t="shared" si="482"/>
        <v>-326</v>
      </c>
      <c r="S508" s="101">
        <f t="shared" si="482"/>
        <v>-304</v>
      </c>
      <c r="T508" s="101">
        <f t="shared" si="482"/>
        <v>-328</v>
      </c>
      <c r="U508" s="94">
        <f t="shared" si="482"/>
        <v>-1276</v>
      </c>
      <c r="V508" s="101">
        <f t="shared" si="482"/>
        <v>-276</v>
      </c>
      <c r="W508" s="101">
        <f t="shared" si="482"/>
        <v>-218</v>
      </c>
      <c r="X508" s="101">
        <f t="shared" si="482"/>
        <v>-259</v>
      </c>
      <c r="Y508" s="101">
        <f t="shared" si="482"/>
        <v>-309</v>
      </c>
      <c r="Z508" s="94">
        <f t="shared" si="482"/>
        <v>-1062</v>
      </c>
      <c r="AA508" s="101">
        <f t="shared" si="482"/>
        <v>-268</v>
      </c>
      <c r="AB508" s="101">
        <f t="shared" si="482"/>
        <v>-269</v>
      </c>
      <c r="AC508" s="101">
        <f t="shared" si="482"/>
        <v>-266.48728547997291</v>
      </c>
      <c r="AD508" s="101">
        <f t="shared" si="482"/>
        <v>-257.18533894028621</v>
      </c>
      <c r="AE508" s="94">
        <f t="shared" si="482"/>
        <v>-1060.6726244202591</v>
      </c>
      <c r="AF508" s="94">
        <f t="shared" si="482"/>
        <v>-1184.2099675140505</v>
      </c>
      <c r="AG508" s="94">
        <f t="shared" si="482"/>
        <v>-1434.2099675140505</v>
      </c>
      <c r="AH508" s="94">
        <f>AH186+AH292+AH369+AH431+AH467+AH480</f>
        <v>-1813.3265544182905</v>
      </c>
      <c r="AI508" s="94">
        <f>AI186+AI292+AI369+AI431+AI467+AI480</f>
        <v>-2103.3265544182905</v>
      </c>
      <c r="AJ508" s="94">
        <f>AJ186+AJ292+AJ369+AJ431+AJ467+AJ480</f>
        <v>-2203.3265544182905</v>
      </c>
      <c r="AK508" s="94">
        <f>AK186+AK292+AK369+AK431+AK467+AK480</f>
        <v>-2203.3265544182905</v>
      </c>
      <c r="AL508" s="94">
        <f>AL186+AL292+AL369+AL431+AL467+AL480</f>
        <v>-2203.3265544182905</v>
      </c>
      <c r="AM508" s="651"/>
      <c r="CA508" s="509"/>
      <c r="CB508" s="509"/>
    </row>
    <row r="509" spans="2:80" s="83" customFormat="1">
      <c r="B509" s="95" t="s">
        <v>633</v>
      </c>
      <c r="C509" s="96" t="s">
        <v>225</v>
      </c>
      <c r="D509" s="599" t="s">
        <v>643</v>
      </c>
      <c r="G509" s="94">
        <f t="shared" ref="G509:AG509" si="483">G187+G293+G370+G432+G481+G468</f>
        <v>-102</v>
      </c>
      <c r="H509" s="94">
        <f t="shared" si="483"/>
        <v>-99</v>
      </c>
      <c r="I509" s="94">
        <f t="shared" si="483"/>
        <v>-83</v>
      </c>
      <c r="J509" s="94">
        <f t="shared" si="483"/>
        <v>-75</v>
      </c>
      <c r="K509" s="94">
        <f t="shared" si="483"/>
        <v>-84</v>
      </c>
      <c r="L509" s="101">
        <f t="shared" si="483"/>
        <v>-24</v>
      </c>
      <c r="M509" s="101">
        <f t="shared" si="483"/>
        <v>-23</v>
      </c>
      <c r="N509" s="101">
        <f t="shared" si="483"/>
        <v>-23</v>
      </c>
      <c r="O509" s="101">
        <f t="shared" si="483"/>
        <v>-24</v>
      </c>
      <c r="P509" s="94">
        <f t="shared" si="483"/>
        <v>-94</v>
      </c>
      <c r="Q509" s="101">
        <f t="shared" si="483"/>
        <v>-24</v>
      </c>
      <c r="R509" s="101">
        <f t="shared" si="483"/>
        <v>-23</v>
      </c>
      <c r="S509" s="101">
        <f t="shared" si="483"/>
        <v>-27</v>
      </c>
      <c r="T509" s="101">
        <f t="shared" si="483"/>
        <v>-23</v>
      </c>
      <c r="U509" s="94">
        <f t="shared" si="483"/>
        <v>-97</v>
      </c>
      <c r="V509" s="101">
        <f t="shared" si="483"/>
        <v>-26</v>
      </c>
      <c r="W509" s="101">
        <f t="shared" si="483"/>
        <v>-14</v>
      </c>
      <c r="X509" s="101">
        <f t="shared" si="483"/>
        <v>-23</v>
      </c>
      <c r="Y509" s="101">
        <f t="shared" si="483"/>
        <v>-25</v>
      </c>
      <c r="Z509" s="94">
        <f t="shared" si="483"/>
        <v>-88</v>
      </c>
      <c r="AA509" s="101">
        <f t="shared" si="483"/>
        <v>-22</v>
      </c>
      <c r="AB509" s="101">
        <f t="shared" si="483"/>
        <v>-24</v>
      </c>
      <c r="AC509" s="101">
        <f t="shared" si="483"/>
        <v>-22.888500061612962</v>
      </c>
      <c r="AD509" s="101">
        <f t="shared" si="483"/>
        <v>-22.13072021565835</v>
      </c>
      <c r="AE509" s="94">
        <f t="shared" si="483"/>
        <v>-91.019220277271302</v>
      </c>
      <c r="AF509" s="94">
        <f t="shared" si="483"/>
        <v>-92.489235601025342</v>
      </c>
      <c r="AG509" s="94">
        <f t="shared" si="483"/>
        <v>-96.086357903183611</v>
      </c>
      <c r="AH509" s="94">
        <f>AH187+AH293+AH370+AH432+AH481+AH468</f>
        <v>-106.16121201652025</v>
      </c>
      <c r="AI509" s="94">
        <f>AI187+AI293+AI370+AI432+AI481+AI468</f>
        <v>-110.33387388702384</v>
      </c>
      <c r="AJ509" s="94">
        <f>AJ187+AJ293+AJ370+AJ432+AJ481+AJ468</f>
        <v>-111.77272280788715</v>
      </c>
      <c r="AK509" s="94">
        <f>AK187+AK293+AK370+AK432+AK481+AK468</f>
        <v>-111.77272280788715</v>
      </c>
      <c r="AL509" s="94">
        <f>AL187+AL293+AL370+AL432+AL481+AL468</f>
        <v>-111.77272280788715</v>
      </c>
      <c r="AM509" s="651"/>
      <c r="CA509" s="509"/>
      <c r="CB509" s="509"/>
    </row>
    <row r="510" spans="2:80" s="83" customFormat="1">
      <c r="B510" s="95" t="s">
        <v>633</v>
      </c>
      <c r="C510" s="96" t="s">
        <v>225</v>
      </c>
      <c r="D510" s="599" t="s">
        <v>527</v>
      </c>
      <c r="G510" s="94">
        <f t="shared" ref="G510:AG510" si="484">G294+G469</f>
        <v>-21</v>
      </c>
      <c r="H510" s="94">
        <f t="shared" si="484"/>
        <v>-21</v>
      </c>
      <c r="I510" s="94">
        <f t="shared" si="484"/>
        <v>-12</v>
      </c>
      <c r="J510" s="94">
        <f t="shared" si="484"/>
        <v>-17</v>
      </c>
      <c r="K510" s="94">
        <f t="shared" si="484"/>
        <v>-28</v>
      </c>
      <c r="L510" s="101">
        <f t="shared" si="484"/>
        <v>-6</v>
      </c>
      <c r="M510" s="101">
        <f t="shared" si="484"/>
        <v>-6</v>
      </c>
      <c r="N510" s="101">
        <f t="shared" si="484"/>
        <v>-6</v>
      </c>
      <c r="O510" s="101">
        <f t="shared" si="484"/>
        <v>-7</v>
      </c>
      <c r="P510" s="94">
        <f t="shared" si="484"/>
        <v>-25</v>
      </c>
      <c r="Q510" s="101">
        <f t="shared" si="484"/>
        <v>-4</v>
      </c>
      <c r="R510" s="101">
        <f t="shared" si="484"/>
        <v>-7</v>
      </c>
      <c r="S510" s="101">
        <f t="shared" si="484"/>
        <v>-3</v>
      </c>
      <c r="T510" s="101">
        <f t="shared" si="484"/>
        <v>-2</v>
      </c>
      <c r="U510" s="94">
        <f t="shared" si="484"/>
        <v>-16</v>
      </c>
      <c r="V510" s="101">
        <f t="shared" si="484"/>
        <v>-5</v>
      </c>
      <c r="W510" s="101">
        <f t="shared" si="484"/>
        <v>0</v>
      </c>
      <c r="X510" s="101">
        <f t="shared" si="484"/>
        <v>-6</v>
      </c>
      <c r="Y510" s="101">
        <f t="shared" si="484"/>
        <v>-16</v>
      </c>
      <c r="Z510" s="94">
        <f t="shared" si="484"/>
        <v>-27</v>
      </c>
      <c r="AA510" s="101">
        <f t="shared" si="484"/>
        <v>-15</v>
      </c>
      <c r="AB510" s="101">
        <f t="shared" si="484"/>
        <v>-10</v>
      </c>
      <c r="AC510" s="101">
        <f t="shared" si="484"/>
        <v>-9.9642857142857153</v>
      </c>
      <c r="AD510" s="101">
        <f t="shared" si="484"/>
        <v>-8.9196428571428577</v>
      </c>
      <c r="AE510" s="94">
        <f t="shared" si="484"/>
        <v>-43.883928571428569</v>
      </c>
      <c r="AF510" s="94">
        <f t="shared" si="484"/>
        <v>-39.857142857142861</v>
      </c>
      <c r="AG510" s="94">
        <f t="shared" si="484"/>
        <v>-39.857142857142861</v>
      </c>
      <c r="AH510" s="94">
        <f>AH294+AH469</f>
        <v>-39.857142857142861</v>
      </c>
      <c r="AI510" s="94">
        <f>AI294+AI469</f>
        <v>-39.857142857142861</v>
      </c>
      <c r="AJ510" s="94">
        <f>AJ294+AJ469</f>
        <v>-39.857142857142861</v>
      </c>
      <c r="AK510" s="94">
        <f>AK294+AK469</f>
        <v>-39.857142857142861</v>
      </c>
      <c r="AL510" s="94">
        <f>AL294+AL469</f>
        <v>-39.857142857142861</v>
      </c>
      <c r="AM510" s="651"/>
      <c r="CA510" s="509"/>
      <c r="CB510" s="509"/>
    </row>
    <row r="511" spans="2:80" s="83" customFormat="1">
      <c r="B511" s="95" t="s">
        <v>633</v>
      </c>
      <c r="C511" s="96" t="s">
        <v>225</v>
      </c>
      <c r="D511" s="599" t="s">
        <v>644</v>
      </c>
      <c r="G511" s="94">
        <f t="shared" ref="G511:AG511" si="485">G188+G295+G371+G433+G472+G485</f>
        <v>-403</v>
      </c>
      <c r="H511" s="94">
        <f t="shared" si="485"/>
        <v>-499</v>
      </c>
      <c r="I511" s="94">
        <f t="shared" si="485"/>
        <v>-505</v>
      </c>
      <c r="J511" s="94">
        <f t="shared" si="485"/>
        <v>-598</v>
      </c>
      <c r="K511" s="94">
        <f t="shared" si="485"/>
        <v>-568</v>
      </c>
      <c r="L511" s="101">
        <f t="shared" si="485"/>
        <v>-122</v>
      </c>
      <c r="M511" s="101">
        <f t="shared" si="485"/>
        <v>-115</v>
      </c>
      <c r="N511" s="101">
        <f t="shared" si="485"/>
        <v>-120</v>
      </c>
      <c r="O511" s="101">
        <f t="shared" si="485"/>
        <v>-121</v>
      </c>
      <c r="P511" s="94">
        <f t="shared" si="485"/>
        <v>-478</v>
      </c>
      <c r="Q511" s="101">
        <f t="shared" si="485"/>
        <v>-113</v>
      </c>
      <c r="R511" s="101">
        <f t="shared" si="485"/>
        <v>-115</v>
      </c>
      <c r="S511" s="101">
        <f t="shared" si="485"/>
        <v>-126</v>
      </c>
      <c r="T511" s="101">
        <f t="shared" si="485"/>
        <v>-109</v>
      </c>
      <c r="U511" s="94">
        <f t="shared" si="485"/>
        <v>-463</v>
      </c>
      <c r="V511" s="101">
        <f t="shared" si="485"/>
        <v>-106</v>
      </c>
      <c r="W511" s="101">
        <f t="shared" si="485"/>
        <v>-71</v>
      </c>
      <c r="X511" s="101">
        <f t="shared" si="485"/>
        <v>-104</v>
      </c>
      <c r="Y511" s="101">
        <f t="shared" si="485"/>
        <v>-102</v>
      </c>
      <c r="Z511" s="94">
        <f>Z188+Z295+Z371+Z433+Z472+Z485</f>
        <v>-383</v>
      </c>
      <c r="AA511" s="101">
        <f t="shared" si="485"/>
        <v>-96</v>
      </c>
      <c r="AB511" s="101">
        <f t="shared" si="485"/>
        <v>-89</v>
      </c>
      <c r="AC511" s="101">
        <f t="shared" si="485"/>
        <v>-99.080507718321513</v>
      </c>
      <c r="AD511" s="101">
        <f t="shared" si="485"/>
        <v>-94.248427112369683</v>
      </c>
      <c r="AE511" s="94">
        <f t="shared" si="485"/>
        <v>-378.32893483069125</v>
      </c>
      <c r="AF511" s="94">
        <f t="shared" si="485"/>
        <v>-413.76447691645154</v>
      </c>
      <c r="AG511" s="94">
        <f t="shared" si="485"/>
        <v>-453.33282224019251</v>
      </c>
      <c r="AH511" s="94">
        <f>AH188+AH295+AH371+AH433+AH472+AH485</f>
        <v>-523.68404210746894</v>
      </c>
      <c r="AI511" s="94">
        <f>AI188+AI295+AI371+AI433+AI472+AI485</f>
        <v>-569.58332268300853</v>
      </c>
      <c r="AJ511" s="94">
        <f>AJ188+AJ295+AJ371+AJ433+AJ472+AJ485</f>
        <v>-585.41066081250494</v>
      </c>
      <c r="AK511" s="94">
        <f>AK188+AK295+AK371+AK433+AK472+AK485</f>
        <v>-585.41066081250494</v>
      </c>
      <c r="AL511" s="94">
        <f>AL188+AL295+AL371+AL433+AL472+AL485</f>
        <v>-585.41066081250494</v>
      </c>
      <c r="AM511" s="651"/>
      <c r="CA511" s="509"/>
      <c r="CB511" s="509"/>
    </row>
    <row r="512" spans="2:80" s="83" customFormat="1">
      <c r="B512" s="95" t="s">
        <v>633</v>
      </c>
      <c r="C512" s="96" t="s">
        <v>225</v>
      </c>
      <c r="D512" s="134" t="s">
        <v>645</v>
      </c>
      <c r="G512" s="94">
        <f t="shared" ref="G512:AG512" si="486">G189+G296+G372+G434+G470+G483</f>
        <v>-1830</v>
      </c>
      <c r="H512" s="94">
        <f t="shared" si="486"/>
        <v>-1871</v>
      </c>
      <c r="I512" s="94">
        <f t="shared" si="486"/>
        <v>-1982</v>
      </c>
      <c r="J512" s="94">
        <f t="shared" si="486"/>
        <v>-1817</v>
      </c>
      <c r="K512" s="94">
        <f t="shared" si="486"/>
        <v>-1814</v>
      </c>
      <c r="L512" s="101">
        <f t="shared" si="486"/>
        <v>-446</v>
      </c>
      <c r="M512" s="101">
        <f t="shared" si="486"/>
        <v>-456</v>
      </c>
      <c r="N512" s="101">
        <f t="shared" si="486"/>
        <v>-440</v>
      </c>
      <c r="O512" s="101">
        <f t="shared" si="486"/>
        <v>-494</v>
      </c>
      <c r="P512" s="94">
        <f t="shared" si="486"/>
        <v>-1837</v>
      </c>
      <c r="Q512" s="101">
        <f t="shared" si="486"/>
        <v>-460</v>
      </c>
      <c r="R512" s="101">
        <f t="shared" si="486"/>
        <v>-472</v>
      </c>
      <c r="S512" s="101">
        <f t="shared" si="486"/>
        <v>-458</v>
      </c>
      <c r="T512" s="101">
        <f t="shared" si="486"/>
        <v>-462</v>
      </c>
      <c r="U512" s="94">
        <f t="shared" si="486"/>
        <v>-1852</v>
      </c>
      <c r="V512" s="101">
        <f t="shared" si="486"/>
        <v>-413</v>
      </c>
      <c r="W512" s="101">
        <f t="shared" si="486"/>
        <v>-303</v>
      </c>
      <c r="X512" s="101">
        <f t="shared" si="486"/>
        <v>-392</v>
      </c>
      <c r="Y512" s="101">
        <f t="shared" si="486"/>
        <v>-452</v>
      </c>
      <c r="Z512" s="94">
        <f t="shared" si="486"/>
        <v>-1560</v>
      </c>
      <c r="AA512" s="101">
        <f t="shared" si="486"/>
        <v>-401</v>
      </c>
      <c r="AB512" s="101">
        <f t="shared" si="486"/>
        <v>-392</v>
      </c>
      <c r="AC512" s="101">
        <f t="shared" si="486"/>
        <v>-398.42057897419318</v>
      </c>
      <c r="AD512" s="101">
        <f t="shared" si="486"/>
        <v>-382.48412912545712</v>
      </c>
      <c r="AE512" s="94">
        <f t="shared" si="486"/>
        <v>-1573.9047080996504</v>
      </c>
      <c r="AF512" s="94">
        <f t="shared" si="486"/>
        <v>-1730.3208228886704</v>
      </c>
      <c r="AG512" s="94">
        <f t="shared" si="486"/>
        <v>-2023.4862905145696</v>
      </c>
      <c r="AH512" s="94">
        <f>AH189+AH296+AH372+AH434+AH470+AH483</f>
        <v>-2483.028951399423</v>
      </c>
      <c r="AI512" s="94">
        <f>AI189+AI296+AI372+AI434+AI470+AI483</f>
        <v>-2823.1008938454661</v>
      </c>
      <c r="AJ512" s="94">
        <f>AJ189+AJ296+AJ372+AJ434+AJ470+AJ483</f>
        <v>-2940.3670808958259</v>
      </c>
      <c r="AK512" s="94">
        <f>AK189+AK296+AK372+AK434+AK470+AK483</f>
        <v>-2940.3670808958259</v>
      </c>
      <c r="AL512" s="94">
        <f>AL189+AL296+AL372+AL434+AL470+AL483</f>
        <v>-2940.3670808958259</v>
      </c>
      <c r="AM512" s="651"/>
      <c r="CA512" s="509"/>
      <c r="CB512" s="509"/>
    </row>
    <row r="513" spans="2:80" s="83" customFormat="1">
      <c r="B513" s="95" t="s">
        <v>633</v>
      </c>
      <c r="C513" s="96" t="s">
        <v>225</v>
      </c>
      <c r="D513" s="203" t="s">
        <v>226</v>
      </c>
      <c r="G513" s="94">
        <f>G507+G508+G509+G510</f>
        <v>1393</v>
      </c>
      <c r="H513" s="94">
        <f t="shared" ref="H513:V513" si="487">H507+H508+H509+H510</f>
        <v>1177</v>
      </c>
      <c r="I513" s="94">
        <f t="shared" si="487"/>
        <v>931</v>
      </c>
      <c r="J513" s="94">
        <f t="shared" si="487"/>
        <v>788</v>
      </c>
      <c r="K513" s="94">
        <f t="shared" si="487"/>
        <v>1154</v>
      </c>
      <c r="L513" s="101">
        <f t="shared" si="487"/>
        <v>416</v>
      </c>
      <c r="M513" s="101">
        <f t="shared" si="487"/>
        <v>390</v>
      </c>
      <c r="N513" s="101">
        <f t="shared" si="487"/>
        <v>290</v>
      </c>
      <c r="O513" s="101">
        <f t="shared" si="487"/>
        <v>260</v>
      </c>
      <c r="P513" s="94">
        <f t="shared" si="487"/>
        <v>1355</v>
      </c>
      <c r="Q513" s="101">
        <f t="shared" si="487"/>
        <v>284</v>
      </c>
      <c r="R513" s="101">
        <f t="shared" si="487"/>
        <v>290</v>
      </c>
      <c r="S513" s="101">
        <f t="shared" si="487"/>
        <v>267</v>
      </c>
      <c r="T513" s="101">
        <f t="shared" si="487"/>
        <v>239</v>
      </c>
      <c r="U513" s="94">
        <f>U507+U508+U509+U510</f>
        <v>1080</v>
      </c>
      <c r="V513" s="101">
        <f t="shared" si="487"/>
        <v>263</v>
      </c>
      <c r="W513" s="101">
        <f t="shared" ref="W513:AL513" si="488">W507+W508+W509+W510</f>
        <v>173</v>
      </c>
      <c r="X513" s="101">
        <f t="shared" si="488"/>
        <v>336</v>
      </c>
      <c r="Y513" s="101">
        <f t="shared" si="488"/>
        <v>470</v>
      </c>
      <c r="Z513" s="94">
        <f t="shared" si="488"/>
        <v>1242</v>
      </c>
      <c r="AA513" s="101">
        <f t="shared" si="488"/>
        <v>462</v>
      </c>
      <c r="AB513" s="101">
        <f t="shared" si="488"/>
        <v>518</v>
      </c>
      <c r="AC513" s="101">
        <f t="shared" si="488"/>
        <v>538.99681488442332</v>
      </c>
      <c r="AD513" s="101">
        <f t="shared" si="488"/>
        <v>510.07321887679353</v>
      </c>
      <c r="AE513" s="94">
        <f t="shared" si="488"/>
        <v>2029.0700337612168</v>
      </c>
      <c r="AF513" s="94">
        <f t="shared" si="488"/>
        <v>2387.7996795530653</v>
      </c>
      <c r="AG513" s="94">
        <f t="shared" si="488"/>
        <v>2734.1788459726931</v>
      </c>
      <c r="AH513" s="94">
        <f t="shared" si="488"/>
        <v>3266.0433314646939</v>
      </c>
      <c r="AI513" s="94">
        <f t="shared" si="488"/>
        <v>3046.9485929010179</v>
      </c>
      <c r="AJ513" s="94">
        <f t="shared" si="488"/>
        <v>3110.5709122008438</v>
      </c>
      <c r="AK513" s="94">
        <f t="shared" si="488"/>
        <v>3110.5709122008438</v>
      </c>
      <c r="AL513" s="94">
        <f t="shared" si="488"/>
        <v>3110.5709122008438</v>
      </c>
      <c r="AM513" s="651"/>
      <c r="CA513" s="509"/>
      <c r="CB513" s="509"/>
    </row>
    <row r="514" spans="2:80" s="83" customFormat="1">
      <c r="B514" s="95" t="s">
        <v>633</v>
      </c>
      <c r="C514" s="96" t="s">
        <v>225</v>
      </c>
      <c r="D514" s="183" t="s">
        <v>178</v>
      </c>
      <c r="E514" s="103"/>
      <c r="F514" s="103"/>
      <c r="G514" s="116">
        <f>G513+G511</f>
        <v>990</v>
      </c>
      <c r="H514" s="116">
        <f t="shared" ref="H514:V514" si="489">H513+H511</f>
        <v>678</v>
      </c>
      <c r="I514" s="116">
        <f t="shared" si="489"/>
        <v>426</v>
      </c>
      <c r="J514" s="116">
        <f t="shared" si="489"/>
        <v>190</v>
      </c>
      <c r="K514" s="116">
        <f t="shared" si="489"/>
        <v>586</v>
      </c>
      <c r="L514" s="117">
        <f t="shared" si="489"/>
        <v>294</v>
      </c>
      <c r="M514" s="117">
        <f t="shared" si="489"/>
        <v>275</v>
      </c>
      <c r="N514" s="117">
        <f t="shared" si="489"/>
        <v>170</v>
      </c>
      <c r="O514" s="117">
        <f t="shared" si="489"/>
        <v>139</v>
      </c>
      <c r="P514" s="116">
        <f t="shared" si="489"/>
        <v>877</v>
      </c>
      <c r="Q514" s="117">
        <f t="shared" si="489"/>
        <v>171</v>
      </c>
      <c r="R514" s="117">
        <f t="shared" si="489"/>
        <v>175</v>
      </c>
      <c r="S514" s="117">
        <f t="shared" si="489"/>
        <v>141</v>
      </c>
      <c r="T514" s="117">
        <f t="shared" si="489"/>
        <v>130</v>
      </c>
      <c r="U514" s="116">
        <f t="shared" si="489"/>
        <v>617</v>
      </c>
      <c r="V514" s="117">
        <f t="shared" si="489"/>
        <v>157</v>
      </c>
      <c r="W514" s="117">
        <f>W513+W511</f>
        <v>102</v>
      </c>
      <c r="X514" s="117">
        <f>X513+X511</f>
        <v>232</v>
      </c>
      <c r="Y514" s="117">
        <f t="shared" ref="Y514:AE514" si="490">Y513+Y511</f>
        <v>368</v>
      </c>
      <c r="Z514" s="116">
        <f>Z513+Z511</f>
        <v>859</v>
      </c>
      <c r="AA514" s="117">
        <f>AA513+AA511</f>
        <v>366</v>
      </c>
      <c r="AB514" s="117">
        <f>AB513+AB511</f>
        <v>429</v>
      </c>
      <c r="AC514" s="117">
        <f>AC513+AC511</f>
        <v>439.91630716610177</v>
      </c>
      <c r="AD514" s="117">
        <f t="shared" si="490"/>
        <v>415.82479176442382</v>
      </c>
      <c r="AE514" s="116">
        <f t="shared" si="490"/>
        <v>1650.7410989305256</v>
      </c>
      <c r="AF514" s="116">
        <f t="shared" ref="AF514:AL514" si="491">AF513+AF511</f>
        <v>1974.0352026366138</v>
      </c>
      <c r="AG514" s="116">
        <f t="shared" si="491"/>
        <v>2280.8460237325007</v>
      </c>
      <c r="AH514" s="116">
        <f t="shared" si="491"/>
        <v>2742.359289357225</v>
      </c>
      <c r="AI514" s="116">
        <f t="shared" si="491"/>
        <v>2477.3652702180093</v>
      </c>
      <c r="AJ514" s="116">
        <f t="shared" si="491"/>
        <v>2525.160251388339</v>
      </c>
      <c r="AK514" s="116">
        <f t="shared" si="491"/>
        <v>2525.160251388339</v>
      </c>
      <c r="AL514" s="116">
        <f t="shared" si="491"/>
        <v>2525.160251388339</v>
      </c>
      <c r="AM514" s="651"/>
      <c r="CA514" s="509"/>
      <c r="CB514" s="509"/>
    </row>
    <row r="515" spans="2:80" s="83" customFormat="1">
      <c r="B515" s="228" t="s">
        <v>64</v>
      </c>
      <c r="C515" s="229" t="s">
        <v>65</v>
      </c>
      <c r="D515" s="83" t="s">
        <v>162</v>
      </c>
      <c r="G515" s="230">
        <v>-113</v>
      </c>
      <c r="H515" s="214">
        <v>-132</v>
      </c>
      <c r="I515" s="214">
        <v>-230</v>
      </c>
      <c r="J515" s="214">
        <v>35</v>
      </c>
      <c r="K515" s="214">
        <v>63</v>
      </c>
      <c r="L515" s="215">
        <v>-61</v>
      </c>
      <c r="M515" s="215">
        <v>-65</v>
      </c>
      <c r="N515" s="215">
        <v>-102</v>
      </c>
      <c r="O515" s="215">
        <f>P515-L515-M515-N515</f>
        <v>-19</v>
      </c>
      <c r="P515" s="214">
        <v>-247</v>
      </c>
      <c r="Q515" s="215">
        <v>-5</v>
      </c>
      <c r="R515" s="215">
        <v>-92</v>
      </c>
      <c r="S515" s="215">
        <v>-66</v>
      </c>
      <c r="T515" s="215">
        <f>U515-Q515-R515-S515</f>
        <v>-20</v>
      </c>
      <c r="U515" s="214">
        <v>-183</v>
      </c>
      <c r="V515" s="215">
        <v>-149</v>
      </c>
      <c r="W515" s="215">
        <v>-99</v>
      </c>
      <c r="X515" s="215">
        <v>-104</v>
      </c>
      <c r="Y515" s="215">
        <v>29</v>
      </c>
      <c r="Z515" s="214">
        <f>SUM(V515:Y515)</f>
        <v>-323</v>
      </c>
      <c r="AA515" s="215">
        <v>16</v>
      </c>
      <c r="AB515" s="215">
        <v>41</v>
      </c>
      <c r="AC515" s="217">
        <f>(AE515-AA515-AB515)/2</f>
        <v>-190</v>
      </c>
      <c r="AD515" s="217">
        <f>AE515-AA515-AB515-AC515</f>
        <v>-190</v>
      </c>
      <c r="AE515" s="312">
        <f>Z515</f>
        <v>-323</v>
      </c>
      <c r="AF515" s="312">
        <f>Z515</f>
        <v>-323</v>
      </c>
      <c r="AG515" s="312">
        <f>AA515</f>
        <v>16</v>
      </c>
      <c r="AH515" s="312">
        <f t="shared" ref="AH515:AL516" si="492">AB515</f>
        <v>41</v>
      </c>
      <c r="AI515" s="312">
        <f t="shared" si="492"/>
        <v>-190</v>
      </c>
      <c r="AJ515" s="312">
        <f t="shared" si="492"/>
        <v>-190</v>
      </c>
      <c r="AK515" s="312">
        <f t="shared" si="492"/>
        <v>-323</v>
      </c>
      <c r="AL515" s="312">
        <f t="shared" si="492"/>
        <v>-323</v>
      </c>
      <c r="AM515" s="651"/>
      <c r="CA515" s="509"/>
      <c r="CB515" s="509"/>
    </row>
    <row r="516" spans="2:80" s="83" customFormat="1">
      <c r="B516" s="228" t="s">
        <v>64</v>
      </c>
      <c r="C516" s="229" t="s">
        <v>65</v>
      </c>
      <c r="D516" s="83" t="s">
        <v>190</v>
      </c>
      <c r="E516" s="586"/>
      <c r="F516" s="586"/>
      <c r="G516" s="230"/>
      <c r="H516" s="214">
        <v>-12</v>
      </c>
      <c r="I516" s="214">
        <v>-506</v>
      </c>
      <c r="J516" s="214"/>
      <c r="K516" s="214">
        <v>-44</v>
      </c>
      <c r="L516" s="215"/>
      <c r="M516" s="215"/>
      <c r="N516" s="215"/>
      <c r="O516" s="215">
        <f>P516-L516-M516-N516</f>
        <v>-10</v>
      </c>
      <c r="P516" s="214">
        <v>-10</v>
      </c>
      <c r="Q516" s="215">
        <v>0</v>
      </c>
      <c r="R516" s="215">
        <f>(U516-Q516)/3</f>
        <v>-10.333333333333334</v>
      </c>
      <c r="S516" s="215">
        <f>(U516-Q516-R516)/2</f>
        <v>-10.333333333333332</v>
      </c>
      <c r="T516" s="215">
        <f>U516-Q516-R516-S516</f>
        <v>-10.333333333333332</v>
      </c>
      <c r="U516" s="214">
        <v>-31</v>
      </c>
      <c r="V516" s="215">
        <v>0</v>
      </c>
      <c r="W516" s="215">
        <v>0</v>
      </c>
      <c r="X516" s="215">
        <v>0</v>
      </c>
      <c r="Y516" s="215">
        <v>0</v>
      </c>
      <c r="Z516" s="214">
        <f>SUM(V516:Y516)</f>
        <v>0</v>
      </c>
      <c r="AA516" s="215">
        <v>0</v>
      </c>
      <c r="AB516" s="215">
        <v>0</v>
      </c>
      <c r="AC516" s="215">
        <v>0</v>
      </c>
      <c r="AD516" s="215">
        <f>AE516-AA516-AB516-AC516</f>
        <v>0</v>
      </c>
      <c r="AE516" s="312">
        <f>Z516</f>
        <v>0</v>
      </c>
      <c r="AF516" s="312">
        <f>Z516</f>
        <v>0</v>
      </c>
      <c r="AG516" s="312">
        <f>AA516</f>
        <v>0</v>
      </c>
      <c r="AH516" s="312">
        <f t="shared" si="492"/>
        <v>0</v>
      </c>
      <c r="AI516" s="312">
        <f t="shared" si="492"/>
        <v>0</v>
      </c>
      <c r="AJ516" s="312">
        <f t="shared" si="492"/>
        <v>0</v>
      </c>
      <c r="AK516" s="312">
        <f t="shared" si="492"/>
        <v>0</v>
      </c>
      <c r="AL516" s="312">
        <f t="shared" si="492"/>
        <v>0</v>
      </c>
      <c r="AM516" s="651"/>
      <c r="CA516" s="509"/>
      <c r="CB516" s="509"/>
    </row>
    <row r="517" spans="2:80" s="83" customFormat="1">
      <c r="B517" s="228" t="s">
        <v>64</v>
      </c>
      <c r="C517" s="229" t="s">
        <v>65</v>
      </c>
      <c r="D517" s="103" t="s">
        <v>164</v>
      </c>
      <c r="G517" s="109">
        <f>G514+G515+G516</f>
        <v>877</v>
      </c>
      <c r="H517" s="109">
        <f t="shared" ref="H517:U517" si="493">H514+H515+H516</f>
        <v>534</v>
      </c>
      <c r="I517" s="109">
        <f t="shared" si="493"/>
        <v>-310</v>
      </c>
      <c r="J517" s="109">
        <f t="shared" si="493"/>
        <v>225</v>
      </c>
      <c r="K517" s="109">
        <f t="shared" si="493"/>
        <v>605</v>
      </c>
      <c r="L517" s="110">
        <f t="shared" si="493"/>
        <v>233</v>
      </c>
      <c r="M517" s="110">
        <f t="shared" si="493"/>
        <v>210</v>
      </c>
      <c r="N517" s="110">
        <f t="shared" si="493"/>
        <v>68</v>
      </c>
      <c r="O517" s="110">
        <f t="shared" si="493"/>
        <v>110</v>
      </c>
      <c r="P517" s="109">
        <f t="shared" si="493"/>
        <v>620</v>
      </c>
      <c r="Q517" s="110">
        <f t="shared" si="493"/>
        <v>166</v>
      </c>
      <c r="R517" s="110">
        <f t="shared" si="493"/>
        <v>72.666666666666671</v>
      </c>
      <c r="S517" s="110">
        <f t="shared" si="493"/>
        <v>64.666666666666671</v>
      </c>
      <c r="T517" s="110">
        <f t="shared" si="493"/>
        <v>99.666666666666671</v>
      </c>
      <c r="U517" s="109">
        <f t="shared" si="493"/>
        <v>403</v>
      </c>
      <c r="V517" s="110">
        <f t="shared" ref="V517:AL517" si="494">V514+V515+V516</f>
        <v>8</v>
      </c>
      <c r="W517" s="110">
        <f t="shared" si="494"/>
        <v>3</v>
      </c>
      <c r="X517" s="110">
        <f>X514+X515+X516</f>
        <v>128</v>
      </c>
      <c r="Y517" s="110">
        <f t="shared" si="494"/>
        <v>397</v>
      </c>
      <c r="Z517" s="109">
        <f>Z514+Z515+Z516</f>
        <v>536</v>
      </c>
      <c r="AA517" s="110">
        <f t="shared" si="494"/>
        <v>382</v>
      </c>
      <c r="AB517" s="110">
        <f t="shared" si="494"/>
        <v>470</v>
      </c>
      <c r="AC517" s="110">
        <f t="shared" si="494"/>
        <v>249.91630716610177</v>
      </c>
      <c r="AD517" s="110">
        <f t="shared" si="494"/>
        <v>225.82479176442382</v>
      </c>
      <c r="AE517" s="116">
        <f t="shared" si="494"/>
        <v>1327.7410989305256</v>
      </c>
      <c r="AF517" s="109">
        <f t="shared" si="494"/>
        <v>1651.0352026366138</v>
      </c>
      <c r="AG517" s="109">
        <f t="shared" si="494"/>
        <v>2296.8460237325007</v>
      </c>
      <c r="AH517" s="109">
        <f t="shared" si="494"/>
        <v>2783.359289357225</v>
      </c>
      <c r="AI517" s="109">
        <f t="shared" si="494"/>
        <v>2287.3652702180093</v>
      </c>
      <c r="AJ517" s="109">
        <f t="shared" si="494"/>
        <v>2335.160251388339</v>
      </c>
      <c r="AK517" s="109">
        <f t="shared" si="494"/>
        <v>2202.160251388339</v>
      </c>
      <c r="AL517" s="109">
        <f t="shared" si="494"/>
        <v>2202.160251388339</v>
      </c>
      <c r="AM517" s="651"/>
      <c r="CA517" s="509"/>
      <c r="CB517" s="509"/>
    </row>
    <row r="518" spans="2:80" s="83" customFormat="1">
      <c r="B518" s="228" t="s">
        <v>64</v>
      </c>
      <c r="C518" s="229" t="s">
        <v>65</v>
      </c>
      <c r="D518" s="83" t="s">
        <v>165</v>
      </c>
      <c r="G518" s="111">
        <v>-22</v>
      </c>
      <c r="H518" s="214">
        <v>-23</v>
      </c>
      <c r="I518" s="214">
        <v>-15</v>
      </c>
      <c r="J518" s="214">
        <v>-42</v>
      </c>
      <c r="K518" s="214">
        <v>-45</v>
      </c>
      <c r="L518" s="215">
        <v>-10</v>
      </c>
      <c r="M518" s="215">
        <v>-10</v>
      </c>
      <c r="N518" s="215">
        <v>-12</v>
      </c>
      <c r="O518" s="215">
        <f>P518-L518-M518-N518</f>
        <v>-15</v>
      </c>
      <c r="P518" s="214">
        <v>-47</v>
      </c>
      <c r="Q518" s="215">
        <v>-12</v>
      </c>
      <c r="R518" s="215">
        <v>-33</v>
      </c>
      <c r="S518" s="215">
        <v>-36</v>
      </c>
      <c r="T518" s="215">
        <v>-38</v>
      </c>
      <c r="U518" s="214">
        <v>-119</v>
      </c>
      <c r="V518" s="215">
        <v>-38</v>
      </c>
      <c r="W518" s="215">
        <v>-50</v>
      </c>
      <c r="X518" s="215">
        <v>-34</v>
      </c>
      <c r="Y518" s="215">
        <v>-29</v>
      </c>
      <c r="Z518" s="214">
        <f>SUM(V518:Y518)</f>
        <v>-151</v>
      </c>
      <c r="AA518" s="215">
        <v>-27</v>
      </c>
      <c r="AB518" s="215">
        <v>-27</v>
      </c>
      <c r="AC518" s="217">
        <f>(AE518-AA518-AB518)/2</f>
        <v>-48.5</v>
      </c>
      <c r="AD518" s="217">
        <f>AE518-AA518-AB518-AC518</f>
        <v>-48.5</v>
      </c>
      <c r="AE518" s="312">
        <f>Z518</f>
        <v>-151</v>
      </c>
      <c r="AF518" s="312">
        <f t="shared" ref="AF518:AG520" si="495">Z518</f>
        <v>-151</v>
      </c>
      <c r="AG518" s="312">
        <f t="shared" si="495"/>
        <v>-27</v>
      </c>
      <c r="AH518" s="312">
        <f t="shared" ref="AH518:AL520" si="496">AB518</f>
        <v>-27</v>
      </c>
      <c r="AI518" s="312">
        <f t="shared" si="496"/>
        <v>-48.5</v>
      </c>
      <c r="AJ518" s="312">
        <f t="shared" si="496"/>
        <v>-48.5</v>
      </c>
      <c r="AK518" s="312">
        <f t="shared" si="496"/>
        <v>-151</v>
      </c>
      <c r="AL518" s="312">
        <f t="shared" si="496"/>
        <v>-151</v>
      </c>
      <c r="AM518" s="651"/>
      <c r="CA518" s="509"/>
      <c r="CB518" s="509"/>
    </row>
    <row r="519" spans="2:80" s="83" customFormat="1">
      <c r="B519" s="228" t="s">
        <v>64</v>
      </c>
      <c r="C519" s="229" t="s">
        <v>65</v>
      </c>
      <c r="D519" s="83" t="s">
        <v>175</v>
      </c>
      <c r="G519" s="111">
        <v>-2</v>
      </c>
      <c r="H519" s="214">
        <v>-9</v>
      </c>
      <c r="I519" s="214">
        <v>-13</v>
      </c>
      <c r="J519" s="214">
        <v>-5</v>
      </c>
      <c r="K519" s="214">
        <v>5</v>
      </c>
      <c r="L519" s="215">
        <v>1</v>
      </c>
      <c r="M519" s="215">
        <v>3</v>
      </c>
      <c r="N519" s="215">
        <v>2</v>
      </c>
      <c r="O519" s="215">
        <f>P519-L519-M519-N519</f>
        <v>-2</v>
      </c>
      <c r="P519" s="214">
        <v>4</v>
      </c>
      <c r="Q519" s="215">
        <v>4</v>
      </c>
      <c r="R519" s="215">
        <v>37</v>
      </c>
      <c r="S519" s="215">
        <v>6</v>
      </c>
      <c r="T519" s="215">
        <v>3</v>
      </c>
      <c r="U519" s="214">
        <v>50</v>
      </c>
      <c r="V519" s="215">
        <v>28</v>
      </c>
      <c r="W519" s="215">
        <v>33</v>
      </c>
      <c r="X519" s="215">
        <v>-9</v>
      </c>
      <c r="Y519" s="215">
        <v>-14</v>
      </c>
      <c r="Z519" s="214">
        <f>SUM(V519:Y519)</f>
        <v>38</v>
      </c>
      <c r="AA519" s="215">
        <v>-60</v>
      </c>
      <c r="AB519" s="215">
        <v>-25</v>
      </c>
      <c r="AC519" s="217">
        <f>(AE519-AA519-AB519)/2</f>
        <v>61.5</v>
      </c>
      <c r="AD519" s="217">
        <f>AE519-AA519-AB519-AC519</f>
        <v>61.5</v>
      </c>
      <c r="AE519" s="312">
        <f>Z519</f>
        <v>38</v>
      </c>
      <c r="AF519" s="312">
        <f t="shared" si="495"/>
        <v>38</v>
      </c>
      <c r="AG519" s="312">
        <f t="shared" si="495"/>
        <v>-60</v>
      </c>
      <c r="AH519" s="312">
        <f t="shared" si="496"/>
        <v>-25</v>
      </c>
      <c r="AI519" s="312">
        <f t="shared" si="496"/>
        <v>61.5</v>
      </c>
      <c r="AJ519" s="312">
        <f t="shared" si="496"/>
        <v>61.5</v>
      </c>
      <c r="AK519" s="312">
        <f t="shared" si="496"/>
        <v>38</v>
      </c>
      <c r="AL519" s="312">
        <f t="shared" si="496"/>
        <v>38</v>
      </c>
      <c r="AM519" s="651"/>
      <c r="CA519" s="509"/>
      <c r="CB519" s="509"/>
    </row>
    <row r="520" spans="2:80" s="83" customFormat="1">
      <c r="B520" s="228" t="s">
        <v>64</v>
      </c>
      <c r="C520" s="229" t="s">
        <v>65</v>
      </c>
      <c r="D520" s="83" t="s">
        <v>191</v>
      </c>
      <c r="G520" s="111"/>
      <c r="H520" s="214"/>
      <c r="I520" s="214"/>
      <c r="J520" s="214">
        <v>2</v>
      </c>
      <c r="K520" s="214">
        <v>3</v>
      </c>
      <c r="L520" s="215"/>
      <c r="M520" s="215">
        <v>-1</v>
      </c>
      <c r="N520" s="215">
        <v>-1</v>
      </c>
      <c r="O520" s="215">
        <f>P520-L520-M520-N520</f>
        <v>0</v>
      </c>
      <c r="P520" s="214">
        <v>-2</v>
      </c>
      <c r="Q520" s="215">
        <v>0</v>
      </c>
      <c r="R520" s="215">
        <v>0</v>
      </c>
      <c r="S520" s="215">
        <f>(U520-Q520-R520)/2</f>
        <v>-1</v>
      </c>
      <c r="T520" s="215">
        <v>-1</v>
      </c>
      <c r="U520" s="214">
        <f>P520</f>
        <v>-2</v>
      </c>
      <c r="V520" s="215">
        <v>-4</v>
      </c>
      <c r="W520" s="215">
        <v>2</v>
      </c>
      <c r="X520" s="215">
        <v>-1</v>
      </c>
      <c r="Y520" s="215">
        <v>4</v>
      </c>
      <c r="Z520" s="214">
        <f>SUM(V520:Y520)</f>
        <v>1</v>
      </c>
      <c r="AA520" s="215">
        <v>0</v>
      </c>
      <c r="AB520" s="215">
        <v>0</v>
      </c>
      <c r="AC520" s="217">
        <f>(AE520-AA520-AB520)/2</f>
        <v>0.5</v>
      </c>
      <c r="AD520" s="217">
        <f>AE520-AA520-AB520-AC520</f>
        <v>0.5</v>
      </c>
      <c r="AE520" s="312">
        <f>Z520</f>
        <v>1</v>
      </c>
      <c r="AF520" s="312">
        <f t="shared" si="495"/>
        <v>1</v>
      </c>
      <c r="AG520" s="312">
        <f t="shared" si="495"/>
        <v>0</v>
      </c>
      <c r="AH520" s="312">
        <f t="shared" si="496"/>
        <v>0</v>
      </c>
      <c r="AI520" s="312">
        <f t="shared" si="496"/>
        <v>0.5</v>
      </c>
      <c r="AJ520" s="312">
        <f t="shared" si="496"/>
        <v>0.5</v>
      </c>
      <c r="AK520" s="312">
        <f t="shared" si="496"/>
        <v>1</v>
      </c>
      <c r="AL520" s="312">
        <f t="shared" si="496"/>
        <v>1</v>
      </c>
      <c r="AM520" s="651"/>
      <c r="CA520" s="509"/>
      <c r="CB520" s="509"/>
    </row>
    <row r="521" spans="2:80" s="83" customFormat="1">
      <c r="B521" s="228" t="s">
        <v>64</v>
      </c>
      <c r="C521" s="229" t="s">
        <v>65</v>
      </c>
      <c r="D521" s="103" t="s">
        <v>166</v>
      </c>
      <c r="E521" s="103"/>
      <c r="F521" s="103"/>
      <c r="G521" s="109">
        <f>G517+G518+G519</f>
        <v>853</v>
      </c>
      <c r="H521" s="109">
        <f>H517+H518+H519</f>
        <v>502</v>
      </c>
      <c r="I521" s="109">
        <f>I517+I518+I519</f>
        <v>-338</v>
      </c>
      <c r="J521" s="109">
        <f t="shared" ref="J521:AD521" si="497">J517+J518+J519+J520</f>
        <v>180</v>
      </c>
      <c r="K521" s="109">
        <f t="shared" si="497"/>
        <v>568</v>
      </c>
      <c r="L521" s="110">
        <f t="shared" si="497"/>
        <v>224</v>
      </c>
      <c r="M521" s="110">
        <f t="shared" si="497"/>
        <v>202</v>
      </c>
      <c r="N521" s="110">
        <f t="shared" si="497"/>
        <v>57</v>
      </c>
      <c r="O521" s="110">
        <f t="shared" si="497"/>
        <v>93</v>
      </c>
      <c r="P521" s="109">
        <f t="shared" si="497"/>
        <v>575</v>
      </c>
      <c r="Q521" s="110">
        <f t="shared" si="497"/>
        <v>158</v>
      </c>
      <c r="R521" s="110">
        <f t="shared" si="497"/>
        <v>76.666666666666671</v>
      </c>
      <c r="S521" s="110">
        <f t="shared" si="497"/>
        <v>33.666666666666671</v>
      </c>
      <c r="T521" s="110">
        <f t="shared" si="497"/>
        <v>63.666666666666671</v>
      </c>
      <c r="U521" s="109">
        <f t="shared" si="497"/>
        <v>332</v>
      </c>
      <c r="V521" s="110">
        <f t="shared" si="497"/>
        <v>-6</v>
      </c>
      <c r="W521" s="110">
        <f t="shared" si="497"/>
        <v>-12</v>
      </c>
      <c r="X521" s="110">
        <f t="shared" si="497"/>
        <v>84</v>
      </c>
      <c r="Y521" s="110">
        <f t="shared" si="497"/>
        <v>358</v>
      </c>
      <c r="Z521" s="109">
        <f>Z517+Z518+Z519+Z520</f>
        <v>424</v>
      </c>
      <c r="AA521" s="110">
        <f t="shared" si="497"/>
        <v>295</v>
      </c>
      <c r="AB521" s="110">
        <f t="shared" si="497"/>
        <v>418</v>
      </c>
      <c r="AC521" s="110">
        <f t="shared" si="497"/>
        <v>263.41630716610177</v>
      </c>
      <c r="AD521" s="110">
        <f t="shared" si="497"/>
        <v>239.32479176442382</v>
      </c>
      <c r="AE521" s="109">
        <f t="shared" ref="AE521:AL521" si="498">AE517+AE518+AE519+AE520</f>
        <v>1215.7410989305256</v>
      </c>
      <c r="AF521" s="109">
        <f t="shared" si="498"/>
        <v>1539.0352026366138</v>
      </c>
      <c r="AG521" s="109">
        <f t="shared" si="498"/>
        <v>2209.8460237325007</v>
      </c>
      <c r="AH521" s="109">
        <f t="shared" si="498"/>
        <v>2731.359289357225</v>
      </c>
      <c r="AI521" s="109">
        <f t="shared" si="498"/>
        <v>2300.8652702180093</v>
      </c>
      <c r="AJ521" s="109">
        <f t="shared" si="498"/>
        <v>2348.660251388339</v>
      </c>
      <c r="AK521" s="109">
        <f t="shared" si="498"/>
        <v>2090.160251388339</v>
      </c>
      <c r="AL521" s="109">
        <f t="shared" si="498"/>
        <v>2090.160251388339</v>
      </c>
      <c r="AM521" s="651"/>
      <c r="CA521" s="509"/>
      <c r="CB521" s="509"/>
    </row>
    <row r="522" spans="2:80" s="83" customFormat="1">
      <c r="B522" s="228" t="s">
        <v>221</v>
      </c>
      <c r="C522" s="229" t="s">
        <v>103</v>
      </c>
      <c r="D522" s="83" t="s">
        <v>173</v>
      </c>
      <c r="G522" s="114">
        <v>0.3</v>
      </c>
      <c r="H522" s="114">
        <v>0.3</v>
      </c>
      <c r="I522" s="114">
        <v>0.3</v>
      </c>
      <c r="J522" s="114">
        <v>0.3</v>
      </c>
      <c r="K522" s="114">
        <v>0.3</v>
      </c>
      <c r="L522" s="115">
        <v>0.3</v>
      </c>
      <c r="M522" s="115">
        <v>0.3</v>
      </c>
      <c r="N522" s="115">
        <v>0.3</v>
      </c>
      <c r="O522" s="115">
        <v>0.3</v>
      </c>
      <c r="P522" s="114">
        <v>0.3</v>
      </c>
      <c r="Q522" s="115">
        <v>0.3</v>
      </c>
      <c r="R522" s="115">
        <f>Q522</f>
        <v>0.3</v>
      </c>
      <c r="S522" s="115">
        <f>R522</f>
        <v>0.3</v>
      </c>
      <c r="T522" s="115">
        <f>S522</f>
        <v>0.3</v>
      </c>
      <c r="U522" s="114">
        <v>0.3</v>
      </c>
      <c r="V522" s="115">
        <v>0.3</v>
      </c>
      <c r="W522" s="115">
        <v>0.3</v>
      </c>
      <c r="X522" s="115">
        <v>0.3</v>
      </c>
      <c r="Y522" s="115">
        <v>0.3</v>
      </c>
      <c r="Z522" s="114">
        <v>0.3</v>
      </c>
      <c r="AA522" s="115">
        <v>0.3</v>
      </c>
      <c r="AB522" s="115">
        <v>0.3</v>
      </c>
      <c r="AC522" s="1009">
        <f>AE522</f>
        <v>0.3</v>
      </c>
      <c r="AD522" s="1009">
        <f>AE522</f>
        <v>0.3</v>
      </c>
      <c r="AE522" s="1010">
        <f>Z522</f>
        <v>0.3</v>
      </c>
      <c r="AF522" s="1010">
        <f t="shared" ref="AF522:AL522" si="499">Z522</f>
        <v>0.3</v>
      </c>
      <c r="AG522" s="1010">
        <f t="shared" si="499"/>
        <v>0.3</v>
      </c>
      <c r="AH522" s="1010">
        <f t="shared" si="499"/>
        <v>0.3</v>
      </c>
      <c r="AI522" s="1010">
        <f t="shared" si="499"/>
        <v>0.3</v>
      </c>
      <c r="AJ522" s="1010">
        <f t="shared" si="499"/>
        <v>0.3</v>
      </c>
      <c r="AK522" s="1010">
        <f t="shared" si="499"/>
        <v>0.3</v>
      </c>
      <c r="AL522" s="1010">
        <f t="shared" si="499"/>
        <v>0.3</v>
      </c>
      <c r="AM522" s="651"/>
      <c r="CA522" s="509"/>
      <c r="CB522" s="509"/>
    </row>
    <row r="523" spans="2:80" s="83" customFormat="1">
      <c r="B523" s="228" t="s">
        <v>64</v>
      </c>
      <c r="C523" s="229" t="s">
        <v>65</v>
      </c>
      <c r="D523" s="83" t="s">
        <v>167</v>
      </c>
      <c r="G523" s="231">
        <f t="shared" ref="G523:Q523" si="500">IF(G521*G522&lt;0,0,(G521*G522))</f>
        <v>255.89999999999998</v>
      </c>
      <c r="H523" s="231">
        <f t="shared" si="500"/>
        <v>150.6</v>
      </c>
      <c r="I523" s="231">
        <f t="shared" si="500"/>
        <v>0</v>
      </c>
      <c r="J523" s="231">
        <f t="shared" si="500"/>
        <v>54</v>
      </c>
      <c r="K523" s="231">
        <f t="shared" si="500"/>
        <v>170.4</v>
      </c>
      <c r="L523" s="232">
        <f t="shared" si="500"/>
        <v>67.2</v>
      </c>
      <c r="M523" s="232">
        <f t="shared" si="500"/>
        <v>60.599999999999994</v>
      </c>
      <c r="N523" s="232">
        <f t="shared" si="500"/>
        <v>17.099999999999998</v>
      </c>
      <c r="O523" s="232">
        <f t="shared" si="500"/>
        <v>27.9</v>
      </c>
      <c r="P523" s="231">
        <f t="shared" si="500"/>
        <v>172.5</v>
      </c>
      <c r="Q523" s="232">
        <f t="shared" si="500"/>
        <v>47.4</v>
      </c>
      <c r="R523" s="232">
        <f>(U523-Q523)/3</f>
        <v>17.399999999999999</v>
      </c>
      <c r="S523" s="232">
        <f>(U523-Q523-R523)/2</f>
        <v>17.399999999999999</v>
      </c>
      <c r="T523" s="232">
        <f>U523-Q523-R523-S523</f>
        <v>17.399999999999999</v>
      </c>
      <c r="U523" s="231">
        <f>IF(U521*U522&lt;0,0,(U521*U522))</f>
        <v>99.6</v>
      </c>
      <c r="V523" s="232">
        <f>IF(V521*V522&lt;0,0,(V521*V522))</f>
        <v>0</v>
      </c>
      <c r="W523" s="232">
        <f>IF(W521*W522&lt;0,0,(W521*W522))</f>
        <v>0</v>
      </c>
      <c r="X523" s="232">
        <f>IF(X521*X522&lt;0,0,(X521*X522))</f>
        <v>25.2</v>
      </c>
      <c r="Y523" s="232">
        <f>IF(Y521*Y522&lt;0,0,(Y521*Y522))</f>
        <v>107.39999999999999</v>
      </c>
      <c r="Z523" s="231">
        <f>SUM(V523:Y523)</f>
        <v>132.6</v>
      </c>
      <c r="AA523" s="232">
        <f>IF(AA521*AA522&lt;0,0,(AA521*AA522))</f>
        <v>88.5</v>
      </c>
      <c r="AB523" s="232">
        <f>IF(AB521*AB522&lt;0,0,(AB521*AB522))</f>
        <v>125.39999999999999</v>
      </c>
      <c r="AC523" s="232">
        <f>IF(AC521*AC522&lt;0,0,(AC521*AC522))</f>
        <v>79.024892149830535</v>
      </c>
      <c r="AD523" s="232">
        <f>IF(AD521*AD522&lt;0,0,(AD521*AD522))</f>
        <v>71.797437529327141</v>
      </c>
      <c r="AE523" s="231">
        <f>SUM(AA523:AD523)</f>
        <v>364.72232967915761</v>
      </c>
      <c r="AF523" s="231">
        <f t="shared" ref="AF523:AL523" si="501">IF(AF521*AF522&lt;0,0,(AF521*AF522))</f>
        <v>461.71056079098412</v>
      </c>
      <c r="AG523" s="231">
        <f t="shared" si="501"/>
        <v>662.95380711975019</v>
      </c>
      <c r="AH523" s="231">
        <f t="shared" si="501"/>
        <v>819.40778680716744</v>
      </c>
      <c r="AI523" s="231">
        <f t="shared" si="501"/>
        <v>690.25958106540281</v>
      </c>
      <c r="AJ523" s="231">
        <f t="shared" si="501"/>
        <v>704.59807541650173</v>
      </c>
      <c r="AK523" s="231">
        <f t="shared" si="501"/>
        <v>627.04807541650166</v>
      </c>
      <c r="AL523" s="231">
        <f t="shared" si="501"/>
        <v>627.04807541650166</v>
      </c>
      <c r="AM523" s="651"/>
      <c r="CA523" s="509"/>
      <c r="CB523" s="509"/>
    </row>
    <row r="524" spans="2:80" s="83" customFormat="1">
      <c r="B524" s="228" t="s">
        <v>64</v>
      </c>
      <c r="C524" s="229" t="s">
        <v>65</v>
      </c>
      <c r="D524" s="103" t="s">
        <v>262</v>
      </c>
      <c r="E524" s="103"/>
      <c r="F524" s="103"/>
      <c r="G524" s="109">
        <f t="shared" ref="G524:V524" si="502">G521-G523</f>
        <v>597.1</v>
      </c>
      <c r="H524" s="109">
        <f t="shared" si="502"/>
        <v>351.4</v>
      </c>
      <c r="I524" s="109">
        <f t="shared" si="502"/>
        <v>-338</v>
      </c>
      <c r="J524" s="109">
        <f t="shared" si="502"/>
        <v>126</v>
      </c>
      <c r="K524" s="109">
        <f t="shared" si="502"/>
        <v>397.6</v>
      </c>
      <c r="L524" s="110">
        <f t="shared" si="502"/>
        <v>156.80000000000001</v>
      </c>
      <c r="M524" s="110">
        <f t="shared" si="502"/>
        <v>141.4</v>
      </c>
      <c r="N524" s="110">
        <f t="shared" si="502"/>
        <v>39.900000000000006</v>
      </c>
      <c r="O524" s="110">
        <f t="shared" si="502"/>
        <v>65.099999999999994</v>
      </c>
      <c r="P524" s="109">
        <f t="shared" si="502"/>
        <v>402.5</v>
      </c>
      <c r="Q524" s="110">
        <f t="shared" si="502"/>
        <v>110.6</v>
      </c>
      <c r="R524" s="110">
        <f t="shared" si="502"/>
        <v>59.266666666666673</v>
      </c>
      <c r="S524" s="110">
        <f t="shared" si="502"/>
        <v>16.266666666666673</v>
      </c>
      <c r="T524" s="110">
        <f t="shared" si="502"/>
        <v>46.266666666666673</v>
      </c>
      <c r="U524" s="109">
        <f t="shared" si="502"/>
        <v>232.4</v>
      </c>
      <c r="V524" s="110">
        <f t="shared" si="502"/>
        <v>-6</v>
      </c>
      <c r="W524" s="110">
        <f>W521-W523</f>
        <v>-12</v>
      </c>
      <c r="X524" s="110">
        <f>X521-X523</f>
        <v>58.8</v>
      </c>
      <c r="Y524" s="110">
        <f>Y521-Y523</f>
        <v>250.60000000000002</v>
      </c>
      <c r="Z524" s="109">
        <f>SUM(V524:Y524)</f>
        <v>291.40000000000003</v>
      </c>
      <c r="AA524" s="110">
        <f>AA521-AA523</f>
        <v>206.5</v>
      </c>
      <c r="AB524" s="110">
        <f>AB521-AB523</f>
        <v>292.60000000000002</v>
      </c>
      <c r="AC524" s="110">
        <f>AC521-AC523</f>
        <v>184.39141501627125</v>
      </c>
      <c r="AD524" s="110">
        <f>AD521-AD523</f>
        <v>167.52735423509668</v>
      </c>
      <c r="AE524" s="109">
        <f>SUM(AA524:AD524)</f>
        <v>851.01876925136798</v>
      </c>
      <c r="AF524" s="109">
        <f t="shared" ref="AF524:AL524" si="503">AF521-AF523</f>
        <v>1077.3246418456297</v>
      </c>
      <c r="AG524" s="109">
        <f t="shared" si="503"/>
        <v>1546.8922166127504</v>
      </c>
      <c r="AH524" s="109">
        <f t="shared" si="503"/>
        <v>1911.9515025500575</v>
      </c>
      <c r="AI524" s="109">
        <f t="shared" si="503"/>
        <v>1610.6056891526064</v>
      </c>
      <c r="AJ524" s="109">
        <f t="shared" si="503"/>
        <v>1644.0621759718374</v>
      </c>
      <c r="AK524" s="109">
        <f t="shared" si="503"/>
        <v>1463.1121759718374</v>
      </c>
      <c r="AL524" s="109">
        <f t="shared" si="503"/>
        <v>1463.1121759718374</v>
      </c>
      <c r="AM524" s="651"/>
      <c r="AO524" s="1136" t="s">
        <v>935</v>
      </c>
      <c r="AP524" s="525"/>
      <c r="AQ524" s="525"/>
      <c r="AR524" s="525"/>
      <c r="AS524" s="525"/>
      <c r="AT524" s="525"/>
      <c r="AU524" s="525"/>
      <c r="AV524" s="525"/>
      <c r="AW524" s="525"/>
      <c r="AX524" s="525"/>
      <c r="CA524" s="509"/>
      <c r="CB524" s="509"/>
    </row>
    <row r="525" spans="2:80" s="83" customFormat="1">
      <c r="B525" s="95"/>
      <c r="C525" s="96"/>
      <c r="G525" s="111"/>
      <c r="H525" s="214"/>
      <c r="I525" s="214"/>
      <c r="J525" s="214"/>
      <c r="K525" s="214"/>
      <c r="L525" s="215"/>
      <c r="M525" s="215"/>
      <c r="N525" s="215"/>
      <c r="O525" s="215"/>
      <c r="P525" s="214"/>
      <c r="Q525" s="215"/>
      <c r="R525" s="215"/>
      <c r="S525" s="215"/>
      <c r="T525" s="215"/>
      <c r="U525" s="214"/>
      <c r="V525" s="215"/>
      <c r="W525" s="215"/>
      <c r="X525" s="215"/>
      <c r="Y525" s="215"/>
      <c r="Z525" s="92"/>
      <c r="AA525" s="215"/>
      <c r="AB525" s="215"/>
      <c r="AC525" s="215"/>
      <c r="AD525" s="215"/>
      <c r="AE525" s="92"/>
      <c r="AF525" s="92"/>
      <c r="AG525" s="92"/>
      <c r="AH525" s="92"/>
      <c r="AI525" s="92"/>
      <c r="AJ525" s="92"/>
      <c r="AK525" s="92"/>
      <c r="AL525" s="92"/>
      <c r="AM525" s="651"/>
      <c r="CA525" s="509"/>
      <c r="CB525" s="509"/>
    </row>
    <row r="526" spans="2:80" s="83" customFormat="1">
      <c r="B526" s="228" t="s">
        <v>64</v>
      </c>
      <c r="C526" s="229" t="s">
        <v>65</v>
      </c>
      <c r="D526" s="119" t="s">
        <v>228</v>
      </c>
      <c r="E526" s="119"/>
      <c r="F526" s="119"/>
      <c r="G526" s="233">
        <f t="shared" ref="G526:U526" si="504">G517-G511</f>
        <v>1280</v>
      </c>
      <c r="H526" s="233">
        <f t="shared" si="504"/>
        <v>1033</v>
      </c>
      <c r="I526" s="233">
        <f t="shared" si="504"/>
        <v>195</v>
      </c>
      <c r="J526" s="233">
        <f t="shared" si="504"/>
        <v>823</v>
      </c>
      <c r="K526" s="233">
        <f t="shared" si="504"/>
        <v>1173</v>
      </c>
      <c r="L526" s="234">
        <f t="shared" si="504"/>
        <v>355</v>
      </c>
      <c r="M526" s="234">
        <f t="shared" si="504"/>
        <v>325</v>
      </c>
      <c r="N526" s="234">
        <f t="shared" si="504"/>
        <v>188</v>
      </c>
      <c r="O526" s="234">
        <f t="shared" si="504"/>
        <v>231</v>
      </c>
      <c r="P526" s="233">
        <f>P517-P511</f>
        <v>1098</v>
      </c>
      <c r="Q526" s="234">
        <f t="shared" si="504"/>
        <v>279</v>
      </c>
      <c r="R526" s="234">
        <f t="shared" si="504"/>
        <v>187.66666666666669</v>
      </c>
      <c r="S526" s="234">
        <f t="shared" si="504"/>
        <v>190.66666666666669</v>
      </c>
      <c r="T526" s="234">
        <f t="shared" si="504"/>
        <v>208.66666666666669</v>
      </c>
      <c r="U526" s="233">
        <f t="shared" si="504"/>
        <v>866</v>
      </c>
      <c r="V526" s="234">
        <f t="shared" ref="V526:AL526" si="505">V517-V511</f>
        <v>114</v>
      </c>
      <c r="W526" s="234">
        <f t="shared" si="505"/>
        <v>74</v>
      </c>
      <c r="X526" s="234">
        <f t="shared" si="505"/>
        <v>232</v>
      </c>
      <c r="Y526" s="234">
        <f t="shared" si="505"/>
        <v>499</v>
      </c>
      <c r="Z526" s="233">
        <f>Z517-Z511</f>
        <v>919</v>
      </c>
      <c r="AA526" s="234">
        <f t="shared" si="505"/>
        <v>478</v>
      </c>
      <c r="AB526" s="234">
        <f t="shared" si="505"/>
        <v>559</v>
      </c>
      <c r="AC526" s="234">
        <f t="shared" si="505"/>
        <v>348.99681488442332</v>
      </c>
      <c r="AD526" s="234">
        <f t="shared" si="505"/>
        <v>320.07321887679348</v>
      </c>
      <c r="AE526" s="233">
        <f t="shared" si="505"/>
        <v>1706.0700337612168</v>
      </c>
      <c r="AF526" s="233">
        <f t="shared" si="505"/>
        <v>2064.7996795530653</v>
      </c>
      <c r="AG526" s="233">
        <f t="shared" si="505"/>
        <v>2750.1788459726931</v>
      </c>
      <c r="AH526" s="233">
        <f t="shared" si="505"/>
        <v>3307.0433314646939</v>
      </c>
      <c r="AI526" s="233">
        <f t="shared" si="505"/>
        <v>2856.9485929010179</v>
      </c>
      <c r="AJ526" s="233">
        <f t="shared" si="505"/>
        <v>2920.5709122008438</v>
      </c>
      <c r="AK526" s="233">
        <f t="shared" si="505"/>
        <v>2787.5709122008438</v>
      </c>
      <c r="AL526" s="233">
        <f t="shared" si="505"/>
        <v>2787.5709122008438</v>
      </c>
      <c r="AM526" s="651"/>
      <c r="CA526" s="509"/>
      <c r="CB526" s="509"/>
    </row>
    <row r="527" spans="2:80" s="83" customFormat="1">
      <c r="B527" s="228" t="s">
        <v>64</v>
      </c>
      <c r="C527" s="229" t="s">
        <v>65</v>
      </c>
      <c r="D527" s="119" t="s">
        <v>236</v>
      </c>
      <c r="G527" s="233">
        <f>G526-G516</f>
        <v>1280</v>
      </c>
      <c r="H527" s="233">
        <f t="shared" ref="H527:V527" si="506">H526-H516</f>
        <v>1045</v>
      </c>
      <c r="I527" s="233">
        <f t="shared" si="506"/>
        <v>701</v>
      </c>
      <c r="J527" s="233">
        <f t="shared" si="506"/>
        <v>823</v>
      </c>
      <c r="K527" s="233">
        <f t="shared" si="506"/>
        <v>1217</v>
      </c>
      <c r="L527" s="234">
        <f t="shared" si="506"/>
        <v>355</v>
      </c>
      <c r="M527" s="234">
        <f t="shared" si="506"/>
        <v>325</v>
      </c>
      <c r="N527" s="234">
        <f t="shared" si="506"/>
        <v>188</v>
      </c>
      <c r="O527" s="234">
        <f t="shared" si="506"/>
        <v>241</v>
      </c>
      <c r="P527" s="233">
        <f t="shared" si="506"/>
        <v>1108</v>
      </c>
      <c r="Q527" s="234">
        <f t="shared" si="506"/>
        <v>279</v>
      </c>
      <c r="R527" s="234">
        <f t="shared" si="506"/>
        <v>198.00000000000003</v>
      </c>
      <c r="S527" s="234">
        <f t="shared" si="506"/>
        <v>201.00000000000003</v>
      </c>
      <c r="T527" s="234">
        <f t="shared" si="506"/>
        <v>219.00000000000003</v>
      </c>
      <c r="U527" s="233">
        <f t="shared" si="506"/>
        <v>897</v>
      </c>
      <c r="V527" s="234">
        <f t="shared" si="506"/>
        <v>114</v>
      </c>
      <c r="W527" s="234">
        <f t="shared" ref="W527:AL527" si="507">W526-W516</f>
        <v>74</v>
      </c>
      <c r="X527" s="234">
        <f t="shared" si="507"/>
        <v>232</v>
      </c>
      <c r="Y527" s="234">
        <f t="shared" si="507"/>
        <v>499</v>
      </c>
      <c r="Z527" s="233">
        <f t="shared" si="507"/>
        <v>919</v>
      </c>
      <c r="AA527" s="234">
        <f t="shared" si="507"/>
        <v>478</v>
      </c>
      <c r="AB527" s="234">
        <f t="shared" si="507"/>
        <v>559</v>
      </c>
      <c r="AC527" s="234">
        <f t="shared" si="507"/>
        <v>348.99681488442332</v>
      </c>
      <c r="AD527" s="234">
        <f t="shared" si="507"/>
        <v>320.07321887679348</v>
      </c>
      <c r="AE527" s="233">
        <f t="shared" si="507"/>
        <v>1706.0700337612168</v>
      </c>
      <c r="AF527" s="233">
        <f t="shared" si="507"/>
        <v>2064.7996795530653</v>
      </c>
      <c r="AG527" s="233">
        <f t="shared" si="507"/>
        <v>2750.1788459726931</v>
      </c>
      <c r="AH527" s="233">
        <f t="shared" si="507"/>
        <v>3307.0433314646939</v>
      </c>
      <c r="AI527" s="233">
        <f t="shared" si="507"/>
        <v>2856.9485929010179</v>
      </c>
      <c r="AJ527" s="233">
        <f t="shared" si="507"/>
        <v>2920.5709122008438</v>
      </c>
      <c r="AK527" s="233">
        <f t="shared" si="507"/>
        <v>2787.5709122008438</v>
      </c>
      <c r="AL527" s="233">
        <f t="shared" si="507"/>
        <v>2787.5709122008438</v>
      </c>
      <c r="AM527" s="651"/>
      <c r="CA527" s="509"/>
      <c r="CB527" s="509"/>
    </row>
    <row r="528" spans="2:80" s="83" customFormat="1">
      <c r="B528" s="212"/>
      <c r="C528" s="213"/>
      <c r="G528" s="94"/>
      <c r="H528" s="94"/>
      <c r="I528" s="94"/>
      <c r="J528" s="94"/>
      <c r="K528" s="94"/>
      <c r="L528" s="101"/>
      <c r="M528" s="101"/>
      <c r="N528" s="101"/>
      <c r="O528" s="101"/>
      <c r="P528" s="94"/>
      <c r="Q528" s="101"/>
      <c r="R528" s="101"/>
      <c r="S528" s="101"/>
      <c r="T528" s="101"/>
      <c r="U528" s="94"/>
      <c r="V528" s="101"/>
      <c r="W528" s="101"/>
      <c r="X528" s="101"/>
      <c r="Y528" s="101"/>
      <c r="Z528" s="94"/>
      <c r="AA528" s="101"/>
      <c r="AB528" s="101"/>
      <c r="AC528" s="101"/>
      <c r="AD528" s="101"/>
      <c r="AE528" s="94"/>
      <c r="AF528" s="94"/>
      <c r="AG528" s="94"/>
      <c r="AH528" s="94"/>
      <c r="AI528" s="94"/>
      <c r="AJ528" s="92"/>
      <c r="AK528" s="92"/>
      <c r="AL528" s="92"/>
      <c r="AM528" s="651"/>
      <c r="CA528" s="509"/>
      <c r="CB528" s="509"/>
    </row>
    <row r="529" spans="2:80" s="83" customFormat="1">
      <c r="B529" s="212"/>
      <c r="C529" s="213"/>
      <c r="G529" s="94"/>
      <c r="H529" s="94"/>
      <c r="I529" s="94"/>
      <c r="J529" s="94"/>
      <c r="K529" s="94"/>
      <c r="L529" s="101"/>
      <c r="M529" s="101"/>
      <c r="N529" s="101"/>
      <c r="O529" s="101"/>
      <c r="P529" s="94"/>
      <c r="Q529" s="101"/>
      <c r="R529" s="101"/>
      <c r="S529" s="101"/>
      <c r="T529" s="101"/>
      <c r="U529" s="94"/>
      <c r="V529" s="101"/>
      <c r="W529" s="101"/>
      <c r="X529" s="101"/>
      <c r="Y529" s="101"/>
      <c r="Z529" s="94"/>
      <c r="AA529" s="101"/>
      <c r="AB529" s="101"/>
      <c r="AC529" s="101"/>
      <c r="AD529" s="101"/>
      <c r="AE529" s="94"/>
      <c r="AF529" s="94"/>
      <c r="AG529" s="94"/>
      <c r="AH529" s="94"/>
      <c r="AI529" s="94"/>
      <c r="AJ529" s="92"/>
      <c r="AK529" s="92"/>
      <c r="AL529" s="92"/>
      <c r="AM529" s="651"/>
      <c r="CA529" s="509"/>
      <c r="CB529" s="509"/>
    </row>
    <row r="530" spans="2:80" s="83" customFormat="1">
      <c r="B530" s="95"/>
      <c r="C530" s="96"/>
      <c r="D530" s="174" t="s">
        <v>207</v>
      </c>
      <c r="E530" s="174"/>
      <c r="F530" s="586"/>
      <c r="G530" s="693"/>
      <c r="H530" s="694"/>
      <c r="I530" s="694"/>
      <c r="J530" s="694"/>
      <c r="K530" s="694"/>
      <c r="L530" s="695"/>
      <c r="M530" s="695"/>
      <c r="N530" s="695"/>
      <c r="O530" s="695"/>
      <c r="P530" s="694"/>
      <c r="Q530" s="695"/>
      <c r="R530" s="695"/>
      <c r="S530" s="695"/>
      <c r="T530" s="695"/>
      <c r="U530" s="588"/>
      <c r="V530" s="695"/>
      <c r="W530" s="695"/>
      <c r="X530" s="695"/>
      <c r="Y530" s="695"/>
      <c r="Z530" s="588"/>
      <c r="AA530" s="705"/>
      <c r="AB530" s="705"/>
      <c r="AC530" s="705"/>
      <c r="AD530" s="705"/>
      <c r="AE530" s="588"/>
      <c r="AF530" s="306"/>
      <c r="AG530" s="94"/>
      <c r="AH530" s="94"/>
      <c r="AI530" s="94"/>
      <c r="AJ530" s="92"/>
      <c r="AK530" s="92"/>
      <c r="AL530" s="92"/>
      <c r="AM530" s="651"/>
      <c r="CA530" s="509"/>
      <c r="CB530" s="509"/>
    </row>
    <row r="531" spans="2:80" s="83" customFormat="1">
      <c r="B531" s="95"/>
      <c r="C531" s="96"/>
      <c r="D531" s="83" t="s">
        <v>356</v>
      </c>
      <c r="G531" s="94"/>
      <c r="H531" s="120">
        <f>H494/G494-1</f>
        <v>-7.2848988689548477E-2</v>
      </c>
      <c r="I531" s="120">
        <f>I494/H494-1</f>
        <v>0.11876446211666347</v>
      </c>
      <c r="J531" s="120">
        <f>J494/I494-1</f>
        <v>-8.8276926596927208E-2</v>
      </c>
      <c r="K531" s="120">
        <f>K494/J494-1</f>
        <v>-8.8198048434905418E-2</v>
      </c>
      <c r="L531" s="121"/>
      <c r="M531" s="121"/>
      <c r="N531" s="121"/>
      <c r="O531" s="121"/>
      <c r="P531" s="120">
        <f>P494/K494-1</f>
        <v>1.3085682242799157E-2</v>
      </c>
      <c r="Q531" s="121"/>
      <c r="R531" s="121"/>
      <c r="S531" s="121"/>
      <c r="T531" s="121"/>
      <c r="U531" s="120">
        <f>U494/P494-1</f>
        <v>3.5991297767688168E-2</v>
      </c>
      <c r="V531" s="121"/>
      <c r="W531" s="121"/>
      <c r="X531" s="121"/>
      <c r="Y531" s="121"/>
      <c r="Z531" s="120">
        <f>Z494/U494-1</f>
        <v>-4.9139465875371102E-2</v>
      </c>
      <c r="AA531" s="121"/>
      <c r="AB531" s="121"/>
      <c r="AC531" s="121"/>
      <c r="AD531" s="121"/>
      <c r="AE531" s="120">
        <f>AE494/Z494-1</f>
        <v>4.0876487137877948E-2</v>
      </c>
      <c r="AF531" s="1199">
        <f>AF494/AE494-1</f>
        <v>0</v>
      </c>
      <c r="AG531" s="1199">
        <f t="shared" ref="AG531:AL531" si="508">AG494/AF494-1</f>
        <v>0</v>
      </c>
      <c r="AH531" s="1199">
        <f>AH494/AG494-1</f>
        <v>7.3800738007380184E-2</v>
      </c>
      <c r="AI531" s="1199">
        <f t="shared" si="508"/>
        <v>0</v>
      </c>
      <c r="AJ531" s="1199">
        <f t="shared" si="508"/>
        <v>0</v>
      </c>
      <c r="AK531" s="1199">
        <f t="shared" si="508"/>
        <v>0</v>
      </c>
      <c r="AL531" s="1199">
        <f t="shared" si="508"/>
        <v>0</v>
      </c>
      <c r="AM531" s="651"/>
      <c r="CA531" s="509"/>
      <c r="CB531" s="509"/>
    </row>
    <row r="532" spans="2:80" s="83" customFormat="1">
      <c r="B532" s="95"/>
      <c r="C532" s="96"/>
      <c r="D532" s="83" t="s">
        <v>357</v>
      </c>
      <c r="G532" s="94"/>
      <c r="H532" s="120">
        <f>H500/G500-1</f>
        <v>-6.0766182298547022E-2</v>
      </c>
      <c r="I532" s="120">
        <f>I500/H500-1</f>
        <v>9.6694796061884691E-2</v>
      </c>
      <c r="J532" s="120">
        <f>J500/I500-1</f>
        <v>-8.1115742225072007E-2</v>
      </c>
      <c r="K532" s="120">
        <f>K500/J500-1</f>
        <v>-0.10362875087229606</v>
      </c>
      <c r="L532" s="121"/>
      <c r="M532" s="121"/>
      <c r="N532" s="121"/>
      <c r="O532" s="121"/>
      <c r="P532" s="120">
        <f>P500/K500-1</f>
        <v>1.8684312962242267E-2</v>
      </c>
      <c r="Q532" s="121"/>
      <c r="R532" s="121"/>
      <c r="S532" s="121"/>
      <c r="T532" s="121"/>
      <c r="U532" s="120">
        <f>U500/P500-1</f>
        <v>5.9715322888803879E-2</v>
      </c>
      <c r="V532" s="121"/>
      <c r="W532" s="121"/>
      <c r="X532" s="121"/>
      <c r="Y532" s="121"/>
      <c r="Z532" s="120">
        <f>Z500/U500-1</f>
        <v>-5.6512606935842813E-2</v>
      </c>
      <c r="AA532" s="121"/>
      <c r="AB532" s="121"/>
      <c r="AC532" s="121"/>
      <c r="AD532" s="121"/>
      <c r="AE532" s="120">
        <f>AE500/Z500-1</f>
        <v>1.3185301255469462E-3</v>
      </c>
      <c r="AF532" s="120">
        <f>AF500/AE500-1</f>
        <v>3.4351145038167941E-2</v>
      </c>
      <c r="AG532" s="120">
        <f t="shared" ref="AG532:AL532" si="509">AG500/AF500-1</f>
        <v>0</v>
      </c>
      <c r="AH532" s="120">
        <f t="shared" si="509"/>
        <v>7.3800738007380184E-2</v>
      </c>
      <c r="AI532" s="120">
        <f t="shared" si="509"/>
        <v>0</v>
      </c>
      <c r="AJ532" s="120">
        <f t="shared" si="509"/>
        <v>0</v>
      </c>
      <c r="AK532" s="120">
        <f t="shared" si="509"/>
        <v>0</v>
      </c>
      <c r="AL532" s="120">
        <f t="shared" si="509"/>
        <v>0</v>
      </c>
      <c r="AM532" s="651"/>
      <c r="CA532" s="509"/>
      <c r="CB532" s="509"/>
    </row>
    <row r="533" spans="2:80" s="83" customFormat="1">
      <c r="B533" s="95"/>
      <c r="C533" s="96"/>
      <c r="D533" s="83" t="s">
        <v>355</v>
      </c>
      <c r="G533" s="94"/>
      <c r="H533" s="120">
        <f>H507/G507-1</f>
        <v>-9.3585699263932676E-2</v>
      </c>
      <c r="I533" s="120">
        <f>I507/H507-1</f>
        <v>-6.3418406805877847E-2</v>
      </c>
      <c r="J533" s="120">
        <f>J507/I507-1</f>
        <v>-0.17134599504541703</v>
      </c>
      <c r="K533" s="120">
        <f>K507/J507-1</f>
        <v>0.19581464872944698</v>
      </c>
      <c r="L533" s="121"/>
      <c r="M533" s="121"/>
      <c r="N533" s="121"/>
      <c r="O533" s="121"/>
      <c r="P533" s="120">
        <f>P507/K507-1</f>
        <v>0.13083333333333336</v>
      </c>
      <c r="Q533" s="121"/>
      <c r="R533" s="121"/>
      <c r="S533" s="121"/>
      <c r="T533" s="121"/>
      <c r="U533" s="120">
        <f>U507/P507-1</f>
        <v>-9.0272660280029449E-2</v>
      </c>
      <c r="V533" s="121"/>
      <c r="W533" s="121"/>
      <c r="X533" s="121"/>
      <c r="Y533" s="121">
        <f>Y507/T507-1</f>
        <v>0.38513513513513509</v>
      </c>
      <c r="Z533" s="120">
        <f>Z507/U507-1</f>
        <v>-2.0251113811259658E-2</v>
      </c>
      <c r="AA533" s="121"/>
      <c r="AB533" s="121"/>
      <c r="AC533" s="121"/>
      <c r="AD533" s="121"/>
      <c r="AE533" s="120">
        <f>AE507/Z507-1</f>
        <v>0.33304911410920868</v>
      </c>
      <c r="AF533" s="120">
        <f>AF507/AE507-1</f>
        <v>0.14876369288350144</v>
      </c>
      <c r="AG533" s="120">
        <f t="shared" ref="AG533:AL533" si="510">AG507/AF507-1</f>
        <v>0.16196507155024564</v>
      </c>
      <c r="AH533" s="120">
        <f t="shared" si="510"/>
        <v>0.21398346114237965</v>
      </c>
      <c r="AI533" s="120">
        <f t="shared" si="510"/>
        <v>1.4367912937308658E-2</v>
      </c>
      <c r="AJ533" s="120">
        <f t="shared" si="510"/>
        <v>3.1140877634458608E-2</v>
      </c>
      <c r="AK533" s="120">
        <f t="shared" si="510"/>
        <v>0</v>
      </c>
      <c r="AL533" s="120">
        <f t="shared" si="510"/>
        <v>0</v>
      </c>
      <c r="AM533" s="651"/>
      <c r="CA533" s="509"/>
      <c r="CB533" s="509"/>
    </row>
    <row r="534" spans="2:80" s="83" customFormat="1">
      <c r="B534" s="95"/>
      <c r="C534" s="96"/>
      <c r="D534" s="83" t="s">
        <v>358</v>
      </c>
      <c r="G534" s="94"/>
      <c r="H534" s="120">
        <f>H526/G526-1</f>
        <v>-0.19296875000000002</v>
      </c>
      <c r="I534" s="120">
        <f>I526/H526-1</f>
        <v>-0.81122942884801552</v>
      </c>
      <c r="J534" s="120">
        <f>J526/I526-1</f>
        <v>3.2205128205128206</v>
      </c>
      <c r="K534" s="120">
        <f>K526/J526-1</f>
        <v>0.42527339003645204</v>
      </c>
      <c r="L534" s="121"/>
      <c r="M534" s="121"/>
      <c r="N534" s="121"/>
      <c r="O534" s="121"/>
      <c r="P534" s="120">
        <f>P526/K526-1</f>
        <v>-6.3938618925831192E-2</v>
      </c>
      <c r="Q534" s="121"/>
      <c r="R534" s="121"/>
      <c r="S534" s="121"/>
      <c r="T534" s="121"/>
      <c r="U534" s="120">
        <f>U526/P526-1</f>
        <v>-0.21129326047358832</v>
      </c>
      <c r="V534" s="121"/>
      <c r="W534" s="121"/>
      <c r="X534" s="121"/>
      <c r="Y534" s="121">
        <f>Y526/T526-1</f>
        <v>1.3913738019169326</v>
      </c>
      <c r="Z534" s="120">
        <f>Z526/U526-1</f>
        <v>6.1200923787528838E-2</v>
      </c>
      <c r="AA534" s="121"/>
      <c r="AB534" s="121"/>
      <c r="AC534" s="121"/>
      <c r="AD534" s="121"/>
      <c r="AE534" s="120">
        <f>AE526/Z526-1</f>
        <v>0.85644182128532842</v>
      </c>
      <c r="AF534" s="120">
        <f>AF526/AE526-1</f>
        <v>0.2102666588668638</v>
      </c>
      <c r="AG534" s="120">
        <f t="shared" ref="AG534:AL534" si="511">AG526/AF526-1</f>
        <v>0.33193494420145453</v>
      </c>
      <c r="AH534" s="120">
        <f t="shared" si="511"/>
        <v>0.20248300808053332</v>
      </c>
      <c r="AI534" s="120">
        <f t="shared" si="511"/>
        <v>-0.13610185699149224</v>
      </c>
      <c r="AJ534" s="120">
        <f t="shared" si="511"/>
        <v>2.2269325901738357E-2</v>
      </c>
      <c r="AK534" s="120">
        <f t="shared" si="511"/>
        <v>-4.5539041508762979E-2</v>
      </c>
      <c r="AL534" s="120">
        <f t="shared" si="511"/>
        <v>0</v>
      </c>
      <c r="AM534" s="651"/>
      <c r="CA534" s="509"/>
      <c r="CB534" s="509"/>
    </row>
    <row r="535" spans="2:80" s="83" customFormat="1">
      <c r="B535" s="95"/>
      <c r="C535" s="96"/>
      <c r="D535" s="83" t="s">
        <v>204</v>
      </c>
      <c r="G535" s="120"/>
      <c r="H535" s="120">
        <f>H514/H507</f>
        <v>0.26218097447795824</v>
      </c>
      <c r="I535" s="120">
        <f t="shared" ref="I535:AL535" si="512">I514/I507</f>
        <v>0.17588769611891</v>
      </c>
      <c r="J535" s="120">
        <f t="shared" si="512"/>
        <v>9.4668659691081222E-2</v>
      </c>
      <c r="K535" s="120">
        <f t="shared" si="512"/>
        <v>0.24416666666666667</v>
      </c>
      <c r="L535" s="121">
        <f t="shared" si="512"/>
        <v>0.39783491204330174</v>
      </c>
      <c r="M535" s="121">
        <f t="shared" si="512"/>
        <v>0.37619699042407662</v>
      </c>
      <c r="N535" s="121">
        <f t="shared" si="512"/>
        <v>0.27823240589198034</v>
      </c>
      <c r="O535" s="121">
        <f t="shared" si="512"/>
        <v>0.21958925750394945</v>
      </c>
      <c r="P535" s="120">
        <f t="shared" si="512"/>
        <v>0.32313927781871776</v>
      </c>
      <c r="Q535" s="121">
        <f t="shared" si="512"/>
        <v>0.27142857142857141</v>
      </c>
      <c r="R535" s="121">
        <f t="shared" si="512"/>
        <v>0.27089783281733748</v>
      </c>
      <c r="S535" s="121">
        <f t="shared" si="512"/>
        <v>0.23460898502495842</v>
      </c>
      <c r="T535" s="121">
        <f t="shared" si="512"/>
        <v>0.2195945945945946</v>
      </c>
      <c r="U535" s="120">
        <f t="shared" si="512"/>
        <v>0.2498987444309437</v>
      </c>
      <c r="V535" s="121">
        <f t="shared" si="512"/>
        <v>0.27543859649122809</v>
      </c>
      <c r="W535" s="121">
        <f t="shared" si="512"/>
        <v>0.25185185185185183</v>
      </c>
      <c r="X535" s="121">
        <f>X514/X507</f>
        <v>0.37179487179487181</v>
      </c>
      <c r="Y535" s="121">
        <f t="shared" si="512"/>
        <v>0.44878048780487806</v>
      </c>
      <c r="Z535" s="120">
        <f t="shared" si="512"/>
        <v>0.35510541546093427</v>
      </c>
      <c r="AA535" s="121">
        <f>AA514/AA507</f>
        <v>0.47718383311603652</v>
      </c>
      <c r="AB535" s="121">
        <f t="shared" si="512"/>
        <v>0.52253349573690622</v>
      </c>
      <c r="AC535" s="121">
        <f t="shared" si="512"/>
        <v>0.52474883837150188</v>
      </c>
      <c r="AD535" s="121">
        <f t="shared" si="512"/>
        <v>0.52088205565948176</v>
      </c>
      <c r="AE535" s="120">
        <f t="shared" si="512"/>
        <v>0.51191392720765816</v>
      </c>
      <c r="AF535" s="120">
        <f t="shared" si="512"/>
        <v>0.53289564745783102</v>
      </c>
      <c r="AG535" s="120">
        <f t="shared" si="512"/>
        <v>0.52989543028149655</v>
      </c>
      <c r="AH535" s="120">
        <f t="shared" si="512"/>
        <v>0.52481445645847846</v>
      </c>
      <c r="AI535" s="120">
        <f t="shared" si="512"/>
        <v>0.46738630028699152</v>
      </c>
      <c r="AJ535" s="120">
        <f t="shared" si="512"/>
        <v>0.46201584913363136</v>
      </c>
      <c r="AK535" s="120">
        <f t="shared" si="512"/>
        <v>0.46201584913363136</v>
      </c>
      <c r="AL535" s="120">
        <f t="shared" si="512"/>
        <v>0.46201584913363136</v>
      </c>
      <c r="AM535" s="651"/>
      <c r="CA535" s="509"/>
      <c r="CB535" s="509"/>
    </row>
    <row r="536" spans="2:80" s="83" customFormat="1">
      <c r="B536" s="95"/>
      <c r="C536" s="96"/>
      <c r="G536" s="111"/>
      <c r="H536" s="214"/>
      <c r="I536" s="214"/>
      <c r="J536" s="214"/>
      <c r="K536" s="214"/>
      <c r="L536" s="215"/>
      <c r="M536" s="215"/>
      <c r="N536" s="215"/>
      <c r="O536" s="215"/>
      <c r="P536" s="214"/>
      <c r="Q536" s="215"/>
      <c r="R536" s="215"/>
      <c r="S536" s="215"/>
      <c r="T536" s="215"/>
      <c r="U536" s="92"/>
      <c r="V536" s="215"/>
      <c r="W536" s="215"/>
      <c r="X536" s="215"/>
      <c r="Y536" s="215"/>
      <c r="Z536" s="92"/>
      <c r="AA536" s="99"/>
      <c r="AB536" s="99"/>
      <c r="AC536" s="99"/>
      <c r="AD536" s="99"/>
      <c r="AE536" s="92"/>
      <c r="AF536" s="92"/>
      <c r="AG536" s="94"/>
      <c r="AH536" s="94"/>
      <c r="AI536" s="94"/>
      <c r="AJ536" s="92"/>
      <c r="AK536" s="92"/>
      <c r="AL536" s="92"/>
      <c r="AM536" s="651"/>
      <c r="CA536" s="509"/>
      <c r="CB536" s="509"/>
    </row>
    <row r="537" spans="2:80" s="83" customFormat="1">
      <c r="B537" s="95"/>
      <c r="C537" s="96"/>
      <c r="G537" s="111"/>
      <c r="H537" s="214"/>
      <c r="I537" s="214"/>
      <c r="J537" s="214"/>
      <c r="K537" s="214"/>
      <c r="L537" s="215"/>
      <c r="M537" s="215"/>
      <c r="N537" s="215"/>
      <c r="O537" s="215"/>
      <c r="P537" s="214"/>
      <c r="Q537" s="215"/>
      <c r="R537" s="215"/>
      <c r="S537" s="215"/>
      <c r="T537" s="215"/>
      <c r="U537" s="92"/>
      <c r="V537" s="215"/>
      <c r="W537" s="215"/>
      <c r="X537" s="215"/>
      <c r="Y537" s="743"/>
      <c r="Z537" s="92"/>
      <c r="AA537" s="99"/>
      <c r="AB537" s="99"/>
      <c r="AC537" s="99"/>
      <c r="AD537" s="99"/>
      <c r="AE537" s="92"/>
      <c r="AF537" s="92"/>
      <c r="AG537" s="94"/>
      <c r="AH537" s="94"/>
      <c r="AI537" s="94"/>
      <c r="AJ537" s="92"/>
      <c r="AK537" s="92"/>
      <c r="AL537" s="92"/>
      <c r="AM537" s="651"/>
      <c r="CA537" s="509"/>
      <c r="CB537" s="509"/>
    </row>
    <row r="538" spans="2:80" s="83" customFormat="1">
      <c r="B538" s="95"/>
      <c r="C538" s="96"/>
      <c r="G538" s="111"/>
      <c r="H538" s="214"/>
      <c r="I538" s="214"/>
      <c r="J538" s="214"/>
      <c r="K538" s="214"/>
      <c r="L538" s="215"/>
      <c r="M538" s="215"/>
      <c r="N538" s="215"/>
      <c r="O538" s="215"/>
      <c r="P538" s="214"/>
      <c r="Q538" s="215"/>
      <c r="R538" s="215"/>
      <c r="S538" s="215"/>
      <c r="T538" s="215"/>
      <c r="U538" s="92"/>
      <c r="V538" s="215"/>
      <c r="W538" s="215"/>
      <c r="X538" s="215"/>
      <c r="Y538" s="215"/>
      <c r="Z538" s="92"/>
      <c r="AA538" s="99"/>
      <c r="AB538" s="99"/>
      <c r="AC538" s="99"/>
      <c r="AD538" s="99"/>
      <c r="AE538" s="92"/>
      <c r="AF538" s="92"/>
      <c r="AG538" s="94"/>
      <c r="AH538" s="94"/>
      <c r="AI538" s="94"/>
      <c r="AJ538" s="92"/>
      <c r="AK538" s="92"/>
      <c r="AL538" s="92"/>
      <c r="AM538" s="651"/>
      <c r="CA538" s="509"/>
      <c r="CB538" s="509"/>
    </row>
    <row r="539" spans="2:80" s="83" customFormat="1">
      <c r="B539" s="95"/>
      <c r="C539" s="96"/>
      <c r="G539" s="111"/>
      <c r="H539" s="214"/>
      <c r="I539" s="214"/>
      <c r="J539" s="214"/>
      <c r="K539" s="214"/>
      <c r="L539" s="215"/>
      <c r="M539" s="215"/>
      <c r="N539" s="215"/>
      <c r="O539" s="215"/>
      <c r="P539" s="214"/>
      <c r="Q539" s="215"/>
      <c r="R539" s="215"/>
      <c r="S539" s="215"/>
      <c r="T539" s="215"/>
      <c r="U539" s="92"/>
      <c r="V539" s="215"/>
      <c r="W539" s="215"/>
      <c r="X539" s="215"/>
      <c r="Y539" s="215"/>
      <c r="Z539" s="92"/>
      <c r="AA539" s="99"/>
      <c r="AB539" s="99"/>
      <c r="AC539" s="99"/>
      <c r="AD539" s="99"/>
      <c r="AE539" s="92"/>
      <c r="AF539" s="92"/>
      <c r="AG539" s="94"/>
      <c r="AH539" s="94"/>
      <c r="AI539" s="94"/>
      <c r="AJ539" s="92"/>
      <c r="AK539" s="92"/>
      <c r="AL539" s="92"/>
      <c r="AM539" s="651"/>
      <c r="CA539" s="509"/>
      <c r="CB539" s="509"/>
    </row>
    <row r="540" spans="2:80" s="83" customFormat="1">
      <c r="B540" s="95"/>
      <c r="C540" s="96"/>
      <c r="G540" s="111"/>
      <c r="H540" s="214"/>
      <c r="I540" s="214"/>
      <c r="J540" s="214"/>
      <c r="K540" s="214"/>
      <c r="L540" s="215"/>
      <c r="M540" s="215"/>
      <c r="N540" s="215"/>
      <c r="O540" s="215"/>
      <c r="P540" s="214"/>
      <c r="Q540" s="215"/>
      <c r="R540" s="215"/>
      <c r="S540" s="215"/>
      <c r="T540" s="215"/>
      <c r="U540" s="92"/>
      <c r="V540" s="215"/>
      <c r="W540" s="215"/>
      <c r="X540" s="215"/>
      <c r="Y540" s="215"/>
      <c r="Z540" s="92"/>
      <c r="AA540" s="99"/>
      <c r="AB540" s="101"/>
      <c r="AC540" s="99"/>
      <c r="AD540" s="99"/>
      <c r="AE540" s="92"/>
      <c r="AF540" s="92"/>
      <c r="AG540" s="94"/>
      <c r="AH540" s="94"/>
      <c r="AI540" s="94"/>
      <c r="AJ540" s="92"/>
      <c r="AK540" s="92"/>
      <c r="AL540" s="92"/>
      <c r="AM540" s="651"/>
      <c r="CA540" s="509"/>
      <c r="CB540" s="509"/>
    </row>
    <row r="541" spans="2:80" s="83" customFormat="1">
      <c r="B541" s="216"/>
      <c r="C541" s="213"/>
      <c r="D541" s="174" t="s">
        <v>218</v>
      </c>
      <c r="E541" s="174"/>
      <c r="F541" s="174"/>
      <c r="G541" s="696"/>
      <c r="H541" s="696"/>
      <c r="I541" s="696"/>
      <c r="J541" s="696"/>
      <c r="K541" s="696"/>
      <c r="L541" s="697"/>
      <c r="M541" s="697"/>
      <c r="N541" s="697"/>
      <c r="O541" s="697"/>
      <c r="P541" s="696"/>
      <c r="Q541" s="697"/>
      <c r="R541" s="697"/>
      <c r="S541" s="697"/>
      <c r="T541" s="697"/>
      <c r="U541" s="179"/>
      <c r="V541" s="697"/>
      <c r="W541" s="697"/>
      <c r="X541" s="697"/>
      <c r="Y541" s="697"/>
      <c r="Z541" s="179"/>
      <c r="AA541" s="686"/>
      <c r="AB541" s="686"/>
      <c r="AC541" s="686"/>
      <c r="AD541" s="686"/>
      <c r="AE541" s="189"/>
      <c r="AF541" s="189"/>
      <c r="AG541" s="94"/>
      <c r="AH541" s="94"/>
      <c r="AI541" s="94"/>
      <c r="AJ541" s="92"/>
      <c r="AK541" s="92"/>
      <c r="AL541" s="92"/>
      <c r="AM541" s="651"/>
      <c r="CA541" s="509"/>
      <c r="CB541" s="509"/>
    </row>
    <row r="542" spans="2:80" s="83" customFormat="1">
      <c r="B542" s="216"/>
      <c r="C542" s="213"/>
      <c r="D542" s="83" t="s">
        <v>253</v>
      </c>
      <c r="G542" s="214"/>
      <c r="H542" s="214"/>
      <c r="I542" s="214"/>
      <c r="J542" s="214"/>
      <c r="K542" s="214"/>
      <c r="L542" s="215">
        <v>22</v>
      </c>
      <c r="M542" s="215">
        <v>32</v>
      </c>
      <c r="N542" s="215">
        <v>32</v>
      </c>
      <c r="O542" s="215">
        <v>71</v>
      </c>
      <c r="P542" s="214">
        <v>157</v>
      </c>
      <c r="Q542" s="215">
        <v>28</v>
      </c>
      <c r="R542" s="215">
        <v>36</v>
      </c>
      <c r="S542" s="215">
        <v>50</v>
      </c>
      <c r="T542" s="215">
        <f>U542-Q542-R542-S542</f>
        <v>70</v>
      </c>
      <c r="U542" s="214">
        <v>184</v>
      </c>
      <c r="V542" s="215">
        <v>29</v>
      </c>
      <c r="W542" s="215">
        <v>31</v>
      </c>
      <c r="X542" s="1163">
        <f>(Z542-V542-W542)/2</f>
        <v>50.5</v>
      </c>
      <c r="Y542" s="1163">
        <f>Z542-V542-W542-X542</f>
        <v>50.5</v>
      </c>
      <c r="Z542" s="214">
        <v>161</v>
      </c>
      <c r="AA542" s="1200">
        <v>29</v>
      </c>
      <c r="AB542" s="1200">
        <v>40</v>
      </c>
      <c r="AC542" s="1201">
        <f>(AE542-AA542-AB542)/2</f>
        <v>46</v>
      </c>
      <c r="AD542" s="1201">
        <f>AE542-AA542-AB542-AC542</f>
        <v>46</v>
      </c>
      <c r="AE542" s="1179">
        <f>Z542</f>
        <v>161</v>
      </c>
      <c r="AF542" s="1179">
        <f t="shared" ref="AF542:AL542" si="513">AE542</f>
        <v>161</v>
      </c>
      <c r="AG542" s="1179">
        <f t="shared" si="513"/>
        <v>161</v>
      </c>
      <c r="AH542" s="1179">
        <f t="shared" si="513"/>
        <v>161</v>
      </c>
      <c r="AI542" s="1179">
        <f t="shared" si="513"/>
        <v>161</v>
      </c>
      <c r="AJ542" s="1179">
        <f t="shared" si="513"/>
        <v>161</v>
      </c>
      <c r="AK542" s="1179">
        <f t="shared" si="513"/>
        <v>161</v>
      </c>
      <c r="AL542" s="1179">
        <f t="shared" si="513"/>
        <v>161</v>
      </c>
      <c r="AM542" s="651"/>
      <c r="CA542" s="509"/>
      <c r="CB542" s="509"/>
    </row>
    <row r="543" spans="2:80" s="83" customFormat="1">
      <c r="B543" s="216"/>
      <c r="C543" s="213"/>
      <c r="D543" s="83" t="s">
        <v>254</v>
      </c>
      <c r="G543" s="214"/>
      <c r="H543" s="214"/>
      <c r="I543" s="214"/>
      <c r="J543" s="214"/>
      <c r="K543" s="214"/>
      <c r="L543" s="215">
        <v>6</v>
      </c>
      <c r="M543" s="215">
        <v>14</v>
      </c>
      <c r="N543" s="215">
        <v>19</v>
      </c>
      <c r="O543" s="215">
        <v>23</v>
      </c>
      <c r="P543" s="214">
        <v>62</v>
      </c>
      <c r="Q543" s="215">
        <v>13</v>
      </c>
      <c r="R543" s="215">
        <v>12</v>
      </c>
      <c r="S543" s="215">
        <v>5</v>
      </c>
      <c r="T543" s="215">
        <f>U543-Q543-R543-S543</f>
        <v>16</v>
      </c>
      <c r="U543" s="214">
        <v>46</v>
      </c>
      <c r="V543" s="215"/>
      <c r="W543" s="215"/>
      <c r="X543" s="1163"/>
      <c r="Y543" s="1163"/>
      <c r="Z543" s="214"/>
      <c r="AA543" s="215"/>
      <c r="AB543" s="215"/>
      <c r="AC543" s="217">
        <f>(AE543-AA543-AB543)/2</f>
        <v>0</v>
      </c>
      <c r="AD543" s="217">
        <f>AE543-AA543-AB543-AC543</f>
        <v>0</v>
      </c>
      <c r="AE543" s="312">
        <f>Z543</f>
        <v>0</v>
      </c>
      <c r="AF543" s="312">
        <f>Z543</f>
        <v>0</v>
      </c>
      <c r="AG543" s="312">
        <f t="shared" ref="AG543:AL544" si="514">AF543</f>
        <v>0</v>
      </c>
      <c r="AH543" s="312">
        <f t="shared" si="514"/>
        <v>0</v>
      </c>
      <c r="AI543" s="312">
        <f t="shared" si="514"/>
        <v>0</v>
      </c>
      <c r="AJ543" s="312">
        <f t="shared" si="514"/>
        <v>0</v>
      </c>
      <c r="AK543" s="312">
        <f t="shared" si="514"/>
        <v>0</v>
      </c>
      <c r="AL543" s="312">
        <f t="shared" si="514"/>
        <v>0</v>
      </c>
      <c r="AM543" s="651"/>
      <c r="CA543" s="509"/>
      <c r="CB543" s="509"/>
    </row>
    <row r="544" spans="2:80" s="83" customFormat="1">
      <c r="B544" s="216"/>
      <c r="C544" s="213"/>
      <c r="D544" s="83" t="s">
        <v>905</v>
      </c>
      <c r="G544" s="214"/>
      <c r="H544" s="214"/>
      <c r="I544" s="214"/>
      <c r="J544" s="214"/>
      <c r="K544" s="214"/>
      <c r="L544" s="215">
        <v>70</v>
      </c>
      <c r="M544" s="215">
        <v>88</v>
      </c>
      <c r="N544" s="215">
        <v>105</v>
      </c>
      <c r="O544" s="215">
        <v>207</v>
      </c>
      <c r="P544" s="214">
        <v>470</v>
      </c>
      <c r="Q544" s="215">
        <v>12</v>
      </c>
      <c r="R544" s="215">
        <v>37</v>
      </c>
      <c r="S544" s="215">
        <v>27</v>
      </c>
      <c r="T544" s="215">
        <f>U544-Q544-R544-S544</f>
        <v>39</v>
      </c>
      <c r="U544" s="214">
        <v>115</v>
      </c>
      <c r="V544" s="215">
        <v>9</v>
      </c>
      <c r="W544" s="215">
        <v>11</v>
      </c>
      <c r="X544" s="1163">
        <f>(Z544-V544-W544)/2</f>
        <v>10.5</v>
      </c>
      <c r="Y544" s="1163">
        <f>Z544-V544-W544-X544</f>
        <v>10.5</v>
      </c>
      <c r="Z544" s="214">
        <v>41</v>
      </c>
      <c r="AA544" s="215">
        <v>11</v>
      </c>
      <c r="AB544" s="215">
        <v>19</v>
      </c>
      <c r="AC544" s="217">
        <f>(AE544-AA544-AB544)/2</f>
        <v>5.5</v>
      </c>
      <c r="AD544" s="217">
        <f>AE544-AA544-AB544-AC544</f>
        <v>5.5</v>
      </c>
      <c r="AE544" s="312">
        <f>Z544</f>
        <v>41</v>
      </c>
      <c r="AF544" s="312">
        <f>Z544</f>
        <v>41</v>
      </c>
      <c r="AG544" s="312">
        <f t="shared" si="514"/>
        <v>41</v>
      </c>
      <c r="AH544" s="312">
        <f t="shared" si="514"/>
        <v>41</v>
      </c>
      <c r="AI544" s="312">
        <f t="shared" si="514"/>
        <v>41</v>
      </c>
      <c r="AJ544" s="312">
        <f t="shared" si="514"/>
        <v>41</v>
      </c>
      <c r="AK544" s="312">
        <f t="shared" si="514"/>
        <v>41</v>
      </c>
      <c r="AL544" s="312">
        <f t="shared" si="514"/>
        <v>41</v>
      </c>
      <c r="AM544" s="651"/>
      <c r="CA544" s="509"/>
      <c r="CB544" s="509"/>
    </row>
    <row r="545" spans="2:80" s="83" customFormat="1">
      <c r="B545" s="216"/>
      <c r="C545" s="213"/>
      <c r="D545" s="83" t="s">
        <v>351</v>
      </c>
      <c r="G545" s="214"/>
      <c r="H545" s="214"/>
      <c r="I545" s="214"/>
      <c r="J545" s="214"/>
      <c r="K545" s="214"/>
      <c r="L545" s="215">
        <v>0</v>
      </c>
      <c r="M545" s="215">
        <v>0</v>
      </c>
      <c r="N545" s="215"/>
      <c r="O545" s="215"/>
      <c r="P545" s="214"/>
      <c r="Q545" s="215">
        <v>190</v>
      </c>
      <c r="R545" s="215">
        <v>252</v>
      </c>
      <c r="S545" s="215">
        <v>423</v>
      </c>
      <c r="T545" s="215">
        <v>355</v>
      </c>
      <c r="U545" s="214">
        <v>1220</v>
      </c>
      <c r="V545" s="215">
        <v>468</v>
      </c>
      <c r="W545" s="215">
        <v>446</v>
      </c>
      <c r="X545" s="1163">
        <f>(Z545-V545-W545)/2</f>
        <v>364.5</v>
      </c>
      <c r="Y545" s="1163">
        <f>Z545-V545-W545-X545</f>
        <v>364.5</v>
      </c>
      <c r="Z545" s="214">
        <v>1643</v>
      </c>
      <c r="AA545" s="215">
        <v>523</v>
      </c>
      <c r="AB545" s="215">
        <v>663</v>
      </c>
      <c r="AC545" s="217">
        <f>(AE545-AA545-AB545)/2</f>
        <v>457</v>
      </c>
      <c r="AD545" s="217">
        <f>AE545-AA545-AB545-AC545</f>
        <v>457</v>
      </c>
      <c r="AE545" s="957">
        <v>2100</v>
      </c>
      <c r="AF545" s="957">
        <v>500</v>
      </c>
      <c r="AG545" s="312">
        <v>0</v>
      </c>
      <c r="AH545" s="312">
        <f>AG545</f>
        <v>0</v>
      </c>
      <c r="AI545" s="312">
        <f>AH545</f>
        <v>0</v>
      </c>
      <c r="AJ545" s="312">
        <f>AI545</f>
        <v>0</v>
      </c>
      <c r="AK545" s="312">
        <f>AJ545</f>
        <v>0</v>
      </c>
      <c r="AL545" s="312">
        <f>AK545</f>
        <v>0</v>
      </c>
      <c r="AM545" s="651"/>
      <c r="CA545" s="509"/>
      <c r="CB545" s="509"/>
    </row>
    <row r="546" spans="2:80" s="83" customFormat="1">
      <c r="B546" s="216" t="s">
        <v>64</v>
      </c>
      <c r="C546" s="213" t="s">
        <v>65</v>
      </c>
      <c r="D546" s="163" t="s">
        <v>968</v>
      </c>
      <c r="E546" s="163"/>
      <c r="G546" s="214">
        <v>1035</v>
      </c>
      <c r="H546" s="214">
        <v>357</v>
      </c>
      <c r="I546" s="214">
        <v>338</v>
      </c>
      <c r="J546" s="214">
        <v>183</v>
      </c>
      <c r="K546" s="214">
        <v>320</v>
      </c>
      <c r="L546" s="215">
        <v>98</v>
      </c>
      <c r="M546" s="215">
        <f>SUM(M542:M545)</f>
        <v>134</v>
      </c>
      <c r="N546" s="215">
        <f>SUM(N542:N545)</f>
        <v>156</v>
      </c>
      <c r="O546" s="215">
        <v>302</v>
      </c>
      <c r="P546" s="214">
        <v>689</v>
      </c>
      <c r="Q546" s="215">
        <v>243</v>
      </c>
      <c r="R546" s="215">
        <f>SUM(R542:R545)</f>
        <v>337</v>
      </c>
      <c r="S546" s="215">
        <f>SUM(S542:S545)</f>
        <v>505</v>
      </c>
      <c r="T546" s="215">
        <f>SUM(T542:T545)</f>
        <v>480</v>
      </c>
      <c r="U546" s="214">
        <f>SUM(U542:U545)</f>
        <v>1565</v>
      </c>
      <c r="V546" s="215">
        <v>513</v>
      </c>
      <c r="W546" s="215">
        <f t="shared" ref="W546:AL546" si="515">SUM(W542:W545)</f>
        <v>488</v>
      </c>
      <c r="X546" s="1164">
        <f t="shared" si="515"/>
        <v>425.5</v>
      </c>
      <c r="Y546" s="1164">
        <f t="shared" si="515"/>
        <v>425.5</v>
      </c>
      <c r="Z546" s="214">
        <f>SUM(Z542:Z545)</f>
        <v>1845</v>
      </c>
      <c r="AA546" s="215">
        <v>563</v>
      </c>
      <c r="AB546" s="101">
        <f>SUM(AB542:AB545)</f>
        <v>722</v>
      </c>
      <c r="AC546" s="101">
        <f t="shared" si="515"/>
        <v>508.5</v>
      </c>
      <c r="AD546" s="101">
        <f t="shared" si="515"/>
        <v>508.5</v>
      </c>
      <c r="AE546" s="94">
        <f t="shared" si="515"/>
        <v>2302</v>
      </c>
      <c r="AF546" s="94">
        <f t="shared" si="515"/>
        <v>702</v>
      </c>
      <c r="AG546" s="94">
        <f t="shared" si="515"/>
        <v>202</v>
      </c>
      <c r="AH546" s="94">
        <f t="shared" si="515"/>
        <v>202</v>
      </c>
      <c r="AI546" s="94">
        <f t="shared" si="515"/>
        <v>202</v>
      </c>
      <c r="AJ546" s="94">
        <f t="shared" si="515"/>
        <v>202</v>
      </c>
      <c r="AK546" s="94">
        <f t="shared" si="515"/>
        <v>202</v>
      </c>
      <c r="AL546" s="94">
        <f t="shared" si="515"/>
        <v>202</v>
      </c>
      <c r="AM546" s="651"/>
      <c r="CA546" s="509"/>
      <c r="CB546" s="509"/>
    </row>
    <row r="547" spans="2:80" s="83" customFormat="1">
      <c r="B547" s="216" t="s">
        <v>64</v>
      </c>
      <c r="C547" s="213" t="s">
        <v>65</v>
      </c>
      <c r="D547" s="163" t="s">
        <v>229</v>
      </c>
      <c r="E547" s="163"/>
      <c r="G547" s="214">
        <v>231</v>
      </c>
      <c r="H547" s="214">
        <v>225</v>
      </c>
      <c r="I547" s="214">
        <v>201</v>
      </c>
      <c r="J547" s="214">
        <v>156</v>
      </c>
      <c r="K547" s="214">
        <v>147</v>
      </c>
      <c r="L547" s="215">
        <v>43</v>
      </c>
      <c r="M547" s="215">
        <v>41</v>
      </c>
      <c r="N547" s="215">
        <f>N548-N546</f>
        <v>39</v>
      </c>
      <c r="O547" s="215">
        <v>38</v>
      </c>
      <c r="P547" s="214">
        <v>161</v>
      </c>
      <c r="Q547" s="215">
        <v>48</v>
      </c>
      <c r="R547" s="215">
        <v>52</v>
      </c>
      <c r="S547" s="215">
        <f>S548-S546</f>
        <v>47</v>
      </c>
      <c r="T547" s="215">
        <f>U547-Q547-R547-S547</f>
        <v>45</v>
      </c>
      <c r="U547" s="214">
        <v>192</v>
      </c>
      <c r="V547" s="215">
        <v>44</v>
      </c>
      <c r="W547" s="215">
        <v>24</v>
      </c>
      <c r="X547" s="1163">
        <f>X192+X299+X375+X437</f>
        <v>31</v>
      </c>
      <c r="Y547" s="1163">
        <f>Y192+Y299+Y375+Y437</f>
        <v>46</v>
      </c>
      <c r="Z547" s="214">
        <v>145</v>
      </c>
      <c r="AA547" s="215">
        <v>42</v>
      </c>
      <c r="AB547" s="217">
        <f>AB192+AB299+AB375+AB437</f>
        <v>52</v>
      </c>
      <c r="AC547" s="217">
        <f>AC192+AC299+AC375+AC437</f>
        <v>39.171753187456133</v>
      </c>
      <c r="AD547" s="217">
        <f>AD192+AD299+AD375+AD437</f>
        <v>37.054507320352315</v>
      </c>
      <c r="AE547" s="312">
        <f>Z547</f>
        <v>145</v>
      </c>
      <c r="AF547" s="312">
        <f>Z547</f>
        <v>145</v>
      </c>
      <c r="AG547" s="312">
        <f t="shared" ref="AG547:AL547" si="516">AF547</f>
        <v>145</v>
      </c>
      <c r="AH547" s="312">
        <f t="shared" si="516"/>
        <v>145</v>
      </c>
      <c r="AI547" s="312">
        <f t="shared" si="516"/>
        <v>145</v>
      </c>
      <c r="AJ547" s="312">
        <f t="shared" si="516"/>
        <v>145</v>
      </c>
      <c r="AK547" s="312">
        <f t="shared" si="516"/>
        <v>145</v>
      </c>
      <c r="AL547" s="312">
        <f t="shared" si="516"/>
        <v>145</v>
      </c>
      <c r="AM547" s="651"/>
      <c r="CA547" s="509"/>
      <c r="CB547" s="509"/>
    </row>
    <row r="548" spans="2:80" s="83" customFormat="1">
      <c r="B548" s="216" t="s">
        <v>64</v>
      </c>
      <c r="C548" s="213" t="s">
        <v>65</v>
      </c>
      <c r="D548" s="103" t="s">
        <v>170</v>
      </c>
      <c r="E548" s="103"/>
      <c r="F548" s="103"/>
      <c r="G548" s="116">
        <f t="shared" ref="G548:M548" si="517">SUM(G546:G547)</f>
        <v>1266</v>
      </c>
      <c r="H548" s="116">
        <f t="shared" si="517"/>
        <v>582</v>
      </c>
      <c r="I548" s="116">
        <f t="shared" si="517"/>
        <v>539</v>
      </c>
      <c r="J548" s="116">
        <f t="shared" si="517"/>
        <v>339</v>
      </c>
      <c r="K548" s="116">
        <f t="shared" si="517"/>
        <v>467</v>
      </c>
      <c r="L548" s="117">
        <f t="shared" si="517"/>
        <v>141</v>
      </c>
      <c r="M548" s="117">
        <f t="shared" si="517"/>
        <v>175</v>
      </c>
      <c r="N548" s="117">
        <v>195</v>
      </c>
      <c r="O548" s="117">
        <f>SUM(O546:O547)</f>
        <v>340</v>
      </c>
      <c r="P548" s="116">
        <f>SUM(P546:P547)</f>
        <v>850</v>
      </c>
      <c r="Q548" s="117">
        <f>SUM(Q546:Q547)</f>
        <v>291</v>
      </c>
      <c r="R548" s="117">
        <f>SUM(R546:R547)</f>
        <v>389</v>
      </c>
      <c r="S548" s="117">
        <v>552</v>
      </c>
      <c r="T548" s="117">
        <f>SUM(T546:T547)</f>
        <v>525</v>
      </c>
      <c r="U548" s="116">
        <v>1757</v>
      </c>
      <c r="V548" s="117">
        <f t="shared" ref="V548:AA548" si="518">SUM(V546:V547)</f>
        <v>557</v>
      </c>
      <c r="W548" s="117">
        <f t="shared" si="518"/>
        <v>512</v>
      </c>
      <c r="X548" s="1176">
        <f t="shared" si="518"/>
        <v>456.5</v>
      </c>
      <c r="Y548" s="1176">
        <f t="shared" si="518"/>
        <v>471.5</v>
      </c>
      <c r="Z548" s="116">
        <f t="shared" si="518"/>
        <v>1990</v>
      </c>
      <c r="AA548" s="117">
        <f t="shared" si="518"/>
        <v>605</v>
      </c>
      <c r="AB548" s="117">
        <f>SUM(AB546:AB547)</f>
        <v>774</v>
      </c>
      <c r="AC548" s="117">
        <f t="shared" ref="AC548:AL548" si="519">SUM(AC546:AC547)</f>
        <v>547.67175318745615</v>
      </c>
      <c r="AD548" s="117">
        <f t="shared" si="519"/>
        <v>545.55450732035229</v>
      </c>
      <c r="AE548" s="116">
        <f t="shared" si="519"/>
        <v>2447</v>
      </c>
      <c r="AF548" s="116">
        <f t="shared" si="519"/>
        <v>847</v>
      </c>
      <c r="AG548" s="116">
        <f t="shared" si="519"/>
        <v>347</v>
      </c>
      <c r="AH548" s="116">
        <f t="shared" si="519"/>
        <v>347</v>
      </c>
      <c r="AI548" s="116">
        <f t="shared" si="519"/>
        <v>347</v>
      </c>
      <c r="AJ548" s="116">
        <f t="shared" si="519"/>
        <v>347</v>
      </c>
      <c r="AK548" s="116">
        <f t="shared" si="519"/>
        <v>347</v>
      </c>
      <c r="AL548" s="116">
        <f t="shared" si="519"/>
        <v>347</v>
      </c>
      <c r="AM548" s="651"/>
      <c r="CA548" s="509"/>
      <c r="CB548" s="509"/>
    </row>
    <row r="549" spans="2:80" s="83" customFormat="1">
      <c r="B549" s="216"/>
      <c r="C549" s="213"/>
      <c r="D549" s="136"/>
      <c r="E549" s="136"/>
      <c r="F549" s="136"/>
      <c r="G549" s="237"/>
      <c r="H549" s="237"/>
      <c r="I549" s="237"/>
      <c r="J549" s="237"/>
      <c r="K549" s="237"/>
      <c r="L549" s="238"/>
      <c r="M549" s="238"/>
      <c r="N549" s="238"/>
      <c r="O549" s="238"/>
      <c r="P549" s="237"/>
      <c r="Q549" s="238"/>
      <c r="R549" s="238"/>
      <c r="S549" s="238"/>
      <c r="T549" s="238"/>
      <c r="U549" s="189"/>
      <c r="V549" s="238"/>
      <c r="W549" s="238"/>
      <c r="X549" s="238"/>
      <c r="Y549" s="238"/>
      <c r="Z549" s="189"/>
      <c r="AA549" s="238"/>
      <c r="AB549" s="686"/>
      <c r="AC549" s="686"/>
      <c r="AD549" s="686"/>
      <c r="AE549" s="189"/>
      <c r="AF549" s="189"/>
      <c r="AG549" s="94"/>
      <c r="AH549" s="94"/>
      <c r="AI549" s="94"/>
      <c r="AJ549" s="92"/>
      <c r="AK549" s="92"/>
      <c r="AL549" s="92"/>
      <c r="AM549" s="651"/>
      <c r="CA549" s="509"/>
      <c r="CB549" s="509"/>
    </row>
    <row r="550" spans="2:80" s="83" customFormat="1">
      <c r="B550" s="216"/>
      <c r="C550" s="213"/>
      <c r="D550" s="136"/>
      <c r="E550" s="136"/>
      <c r="F550" s="136"/>
      <c r="G550" s="237"/>
      <c r="H550" s="237"/>
      <c r="I550" s="237"/>
      <c r="J550" s="237"/>
      <c r="K550" s="237"/>
      <c r="L550" s="238"/>
      <c r="M550" s="238"/>
      <c r="N550" s="238"/>
      <c r="O550" s="238"/>
      <c r="P550" s="237"/>
      <c r="Q550" s="238"/>
      <c r="R550" s="238"/>
      <c r="S550" s="238"/>
      <c r="T550" s="238"/>
      <c r="U550" s="189"/>
      <c r="V550" s="238"/>
      <c r="W550" s="238"/>
      <c r="X550" s="238"/>
      <c r="Y550" s="238"/>
      <c r="Z550" s="189"/>
      <c r="AA550" s="238"/>
      <c r="AB550" s="686"/>
      <c r="AC550" s="686"/>
      <c r="AD550" s="686"/>
      <c r="AE550" s="189"/>
      <c r="AF550" s="189"/>
      <c r="AG550" s="94"/>
      <c r="AH550" s="94"/>
      <c r="AI550" s="94"/>
      <c r="AJ550" s="92"/>
      <c r="AK550" s="92"/>
      <c r="AL550" s="92"/>
      <c r="AM550" s="651"/>
      <c r="CA550" s="509"/>
      <c r="CB550" s="509"/>
    </row>
    <row r="551" spans="2:80" s="83" customFormat="1">
      <c r="B551" s="216"/>
      <c r="C551" s="213"/>
      <c r="D551" s="119" t="s">
        <v>219</v>
      </c>
      <c r="E551" s="119"/>
      <c r="F551" s="136"/>
      <c r="G551" s="237"/>
      <c r="H551" s="237"/>
      <c r="I551" s="237"/>
      <c r="J551" s="237"/>
      <c r="K551" s="237"/>
      <c r="L551" s="238"/>
      <c r="M551" s="238"/>
      <c r="N551" s="238"/>
      <c r="O551" s="238"/>
      <c r="P551" s="237"/>
      <c r="Q551" s="238"/>
      <c r="R551" s="238"/>
      <c r="S551" s="238"/>
      <c r="T551" s="238"/>
      <c r="U551" s="189"/>
      <c r="V551" s="238"/>
      <c r="W551" s="238"/>
      <c r="X551" s="238"/>
      <c r="Y551" s="238"/>
      <c r="Z551" s="189"/>
      <c r="AA551" s="238"/>
      <c r="AB551" s="686"/>
      <c r="AC551" s="686"/>
      <c r="AD551" s="686"/>
      <c r="AE551" s="189"/>
      <c r="AF551" s="189"/>
      <c r="AG551" s="94"/>
      <c r="AH551" s="94"/>
      <c r="AI551" s="94"/>
      <c r="AJ551" s="92"/>
      <c r="AK551" s="92"/>
      <c r="AL551" s="92"/>
      <c r="AM551" s="651"/>
      <c r="CA551" s="509"/>
      <c r="CB551" s="509"/>
    </row>
    <row r="552" spans="2:80" s="83" customFormat="1">
      <c r="B552" s="216"/>
      <c r="C552" s="213"/>
      <c r="D552" s="83" t="s">
        <v>230</v>
      </c>
      <c r="G552" s="142">
        <f t="shared" ref="G552:AF552" si="520">G517/G1253</f>
        <v>9.3476870603282886E-2</v>
      </c>
      <c r="H552" s="142">
        <f t="shared" si="520"/>
        <v>6.2100244214443538E-2</v>
      </c>
      <c r="I552" s="142">
        <f t="shared" si="520"/>
        <v>-3.7534810509746941E-2</v>
      </c>
      <c r="J552" s="142">
        <f t="shared" si="520"/>
        <v>2.4193548387096774E-2</v>
      </c>
      <c r="K552" s="142">
        <f t="shared" si="520"/>
        <v>5.0797649034424852E-2</v>
      </c>
      <c r="L552" s="143">
        <f t="shared" si="520"/>
        <v>7.5355756791720574E-2</v>
      </c>
      <c r="M552" s="143">
        <f t="shared" si="520"/>
        <v>6.9628647214854109E-2</v>
      </c>
      <c r="N552" s="143">
        <f t="shared" si="520"/>
        <v>2.1190401994390776E-2</v>
      </c>
      <c r="O552" s="143">
        <f t="shared" si="520"/>
        <v>3.3877425315676009E-2</v>
      </c>
      <c r="P552" s="142">
        <f t="shared" si="520"/>
        <v>4.9347341610951924E-2</v>
      </c>
      <c r="Q552" s="143">
        <f t="shared" si="520"/>
        <v>5.3444945267224729E-2</v>
      </c>
      <c r="R552" s="143">
        <f t="shared" si="520"/>
        <v>2.3157000212449545E-2</v>
      </c>
      <c r="S552" s="143">
        <f t="shared" si="520"/>
        <v>2.1306974190005493E-2</v>
      </c>
      <c r="T552" s="143">
        <f t="shared" si="520"/>
        <v>3.753923414940364E-2</v>
      </c>
      <c r="U552" s="142">
        <f t="shared" si="520"/>
        <v>3.3769063180827889E-2</v>
      </c>
      <c r="V552" s="143">
        <f t="shared" si="520"/>
        <v>3.3655868742111907E-3</v>
      </c>
      <c r="W552" s="143">
        <f t="shared" si="520"/>
        <v>1.7441860465116279E-3</v>
      </c>
      <c r="X552" s="143">
        <f t="shared" si="520"/>
        <v>5.5870798777826275E-2</v>
      </c>
      <c r="Y552" s="143">
        <f>Y517/Y1253</f>
        <v>0.15507812500000001</v>
      </c>
      <c r="Z552" s="142">
        <f t="shared" si="520"/>
        <v>5.9901654000894054E-2</v>
      </c>
      <c r="AA552" s="143">
        <f t="shared" si="520"/>
        <v>0.14467557086300983</v>
      </c>
      <c r="AB552" s="143">
        <f t="shared" si="520"/>
        <v>0.17863753660118625</v>
      </c>
      <c r="AC552" s="143">
        <f t="shared" si="520"/>
        <v>8.4996115843540138E-2</v>
      </c>
      <c r="AD552" s="143">
        <f t="shared" si="520"/>
        <v>7.2369195741858836E-2</v>
      </c>
      <c r="AE552" s="142">
        <f t="shared" si="520"/>
        <v>0.11716537083650928</v>
      </c>
      <c r="AF552" s="142">
        <f t="shared" si="520"/>
        <v>0.13822774521424336</v>
      </c>
      <c r="AG552" s="94"/>
      <c r="AH552" s="94"/>
      <c r="AI552" s="94"/>
      <c r="AJ552" s="92"/>
      <c r="AK552" s="92"/>
      <c r="AL552" s="92"/>
      <c r="AM552" s="651"/>
      <c r="CA552" s="509"/>
      <c r="CB552" s="509"/>
    </row>
    <row r="553" spans="2:80" s="83" customFormat="1">
      <c r="B553" s="216"/>
      <c r="C553" s="213"/>
      <c r="D553" s="83" t="s">
        <v>183</v>
      </c>
      <c r="G553" s="239">
        <f t="shared" ref="G553:M553" si="521">(G546/G1545)/(G557/G1493)</f>
        <v>1.7671191979293657</v>
      </c>
      <c r="H553" s="239">
        <f t="shared" si="521"/>
        <v>0.88005090722406665</v>
      </c>
      <c r="I553" s="239">
        <f t="shared" si="521"/>
        <v>0.75014200468516279</v>
      </c>
      <c r="J553" s="239">
        <f t="shared" si="521"/>
        <v>0.47602557003856616</v>
      </c>
      <c r="K553" s="239">
        <f t="shared" si="521"/>
        <v>0.76677443651207255</v>
      </c>
      <c r="L553" s="240">
        <f t="shared" si="521"/>
        <v>0.82269128352363108</v>
      </c>
      <c r="M553" s="240">
        <f t="shared" si="521"/>
        <v>1.4898238153972598</v>
      </c>
      <c r="N553" s="240" t="e">
        <f>(N546/N1545)/(N557/N1492)</f>
        <v>#DIV/0!</v>
      </c>
      <c r="O553" s="240" t="e">
        <f t="shared" ref="O553:AF553" si="522">(O546/O1545)/(O557/O1493)</f>
        <v>#DIV/0!</v>
      </c>
      <c r="P553" s="239">
        <f t="shared" si="522"/>
        <v>1.4017422436058504</v>
      </c>
      <c r="Q553" s="240">
        <f t="shared" si="522"/>
        <v>1.7079180700737031</v>
      </c>
      <c r="R553" s="240">
        <f t="shared" si="522"/>
        <v>1.8615717643299741</v>
      </c>
      <c r="S553" s="240">
        <f t="shared" si="522"/>
        <v>2.0091893820465248</v>
      </c>
      <c r="T553" s="240">
        <f t="shared" si="522"/>
        <v>1.6924367217909293</v>
      </c>
      <c r="U553" s="239">
        <f t="shared" si="522"/>
        <v>1.7375308526330404</v>
      </c>
      <c r="V553" s="240">
        <f t="shared" si="522"/>
        <v>1.785760572188547</v>
      </c>
      <c r="W553" s="240">
        <f t="shared" si="522"/>
        <v>1.8147785438075508</v>
      </c>
      <c r="X553" s="240">
        <f t="shared" si="522"/>
        <v>1.6355816895815725</v>
      </c>
      <c r="Y553" s="240">
        <f t="shared" ca="1" si="522"/>
        <v>1.4701654539301903</v>
      </c>
      <c r="Z553" s="239">
        <f t="shared" ca="1" si="522"/>
        <v>1.6365748923866776</v>
      </c>
      <c r="AA553" s="240">
        <f t="shared" ca="1" si="522"/>
        <v>2.0748734804293063</v>
      </c>
      <c r="AB553" s="240">
        <f ca="1">(AB546/AB1545)/(AB557/AB1493)</f>
        <v>0</v>
      </c>
      <c r="AC553" s="240">
        <f t="shared" ca="1" si="522"/>
        <v>2.0748734804293063</v>
      </c>
      <c r="AD553" s="240">
        <f t="shared" ca="1" si="522"/>
        <v>2.0748734804293063</v>
      </c>
      <c r="AE553" s="239">
        <f t="shared" ca="1" si="522"/>
        <v>2.0748734804293063</v>
      </c>
      <c r="AF553" s="239">
        <f t="shared" ca="1" si="522"/>
        <v>1.2945523165601425</v>
      </c>
      <c r="AG553" s="94"/>
      <c r="AH553" s="94"/>
      <c r="AI553" s="94"/>
      <c r="AJ553" s="92"/>
      <c r="AK553" s="92"/>
      <c r="AL553" s="92"/>
      <c r="AM553" s="651"/>
      <c r="CA553" s="509"/>
      <c r="CB553" s="509"/>
    </row>
    <row r="554" spans="2:80" s="83" customFormat="1">
      <c r="B554" s="216"/>
      <c r="C554" s="213"/>
      <c r="D554" s="103"/>
      <c r="E554" s="103"/>
      <c r="F554" s="103"/>
      <c r="G554" s="241"/>
      <c r="H554" s="241"/>
      <c r="I554" s="241"/>
      <c r="J554" s="241"/>
      <c r="K554" s="241"/>
      <c r="L554" s="242"/>
      <c r="M554" s="243"/>
      <c r="N554" s="243"/>
      <c r="O554" s="243"/>
      <c r="P554" s="241"/>
      <c r="Q554" s="242"/>
      <c r="R554" s="243"/>
      <c r="S554" s="243"/>
      <c r="T554" s="243"/>
      <c r="U554" s="241"/>
      <c r="V554" s="242"/>
      <c r="W554" s="243"/>
      <c r="X554" s="243"/>
      <c r="Y554" s="243"/>
      <c r="Z554" s="241"/>
      <c r="AA554" s="242"/>
      <c r="AB554" s="242"/>
      <c r="AC554" s="242"/>
      <c r="AD554" s="242"/>
      <c r="AE554" s="241"/>
      <c r="AF554" s="241"/>
      <c r="AG554" s="1202"/>
      <c r="AH554" s="1202"/>
      <c r="AI554" s="1202"/>
      <c r="AJ554" s="107"/>
      <c r="AK554" s="107"/>
      <c r="AL554" s="107"/>
      <c r="AM554" s="651"/>
      <c r="CA554" s="509"/>
      <c r="CB554" s="509"/>
    </row>
    <row r="555" spans="2:80" s="83" customFormat="1">
      <c r="B555" s="216"/>
      <c r="C555" s="213"/>
      <c r="D555" s="119"/>
      <c r="E555" s="119"/>
      <c r="F555" s="136"/>
      <c r="G555" s="237"/>
      <c r="H555" s="237"/>
      <c r="I555" s="237"/>
      <c r="J555" s="237"/>
      <c r="K555" s="237"/>
      <c r="L555" s="238"/>
      <c r="M555" s="238"/>
      <c r="N555" s="238"/>
      <c r="O555" s="238"/>
      <c r="P555" s="237"/>
      <c r="Q555" s="238"/>
      <c r="R555" s="238"/>
      <c r="S555" s="238"/>
      <c r="T555" s="238"/>
      <c r="U555" s="189"/>
      <c r="V555" s="238"/>
      <c r="W555" s="238"/>
      <c r="X555" s="238"/>
      <c r="Y555" s="238"/>
      <c r="Z555" s="189"/>
      <c r="AA555" s="238"/>
      <c r="AB555" s="686"/>
      <c r="AC555" s="686"/>
      <c r="AD555" s="686"/>
      <c r="AE555" s="189"/>
      <c r="AF555" s="189"/>
      <c r="AG555" s="94"/>
      <c r="AH555" s="94"/>
      <c r="AI555" s="94"/>
      <c r="AJ555" s="92"/>
      <c r="AK555" s="92"/>
      <c r="AL555" s="92"/>
      <c r="AM555" s="651"/>
      <c r="CA555" s="509"/>
      <c r="CB555" s="509"/>
    </row>
    <row r="556" spans="2:80" s="83" customFormat="1">
      <c r="B556" s="216"/>
      <c r="C556" s="213"/>
      <c r="D556" s="119"/>
      <c r="E556" s="119"/>
      <c r="F556" s="136"/>
      <c r="G556" s="237"/>
      <c r="H556" s="237"/>
      <c r="I556" s="237"/>
      <c r="J556" s="237"/>
      <c r="K556" s="237"/>
      <c r="L556" s="238"/>
      <c r="M556" s="238"/>
      <c r="N556" s="238"/>
      <c r="O556" s="238"/>
      <c r="P556" s="237"/>
      <c r="Q556" s="238"/>
      <c r="R556" s="238"/>
      <c r="S556" s="238"/>
      <c r="T556" s="238"/>
      <c r="U556" s="189"/>
      <c r="V556" s="238"/>
      <c r="W556" s="238"/>
      <c r="X556" s="238"/>
      <c r="Y556" s="238"/>
      <c r="Z556" s="189"/>
      <c r="AA556" s="238"/>
      <c r="AB556" s="686"/>
      <c r="AC556" s="686"/>
      <c r="AD556" s="686"/>
      <c r="AE556" s="189"/>
      <c r="AF556" s="189"/>
      <c r="AG556" s="94"/>
      <c r="AH556" s="94"/>
      <c r="AI556" s="94"/>
      <c r="AJ556" s="92"/>
      <c r="AK556" s="92"/>
      <c r="AL556" s="92"/>
      <c r="AM556" s="651"/>
      <c r="CA556" s="509"/>
      <c r="CB556" s="509"/>
    </row>
    <row r="557" spans="2:80" s="83" customFormat="1">
      <c r="B557" s="216"/>
      <c r="C557" s="213"/>
      <c r="D557" s="83" t="s">
        <v>182</v>
      </c>
      <c r="G557" s="214">
        <v>11406</v>
      </c>
      <c r="H557" s="214">
        <v>9976</v>
      </c>
      <c r="I557" s="214">
        <v>9886</v>
      </c>
      <c r="J557" s="214">
        <v>9673</v>
      </c>
      <c r="K557" s="214">
        <v>9533</v>
      </c>
      <c r="L557" s="215">
        <v>9813</v>
      </c>
      <c r="M557" s="215">
        <v>10043</v>
      </c>
      <c r="N557" s="215"/>
      <c r="O557" s="215"/>
      <c r="P557" s="214">
        <v>10219</v>
      </c>
      <c r="Q557" s="215">
        <v>12429</v>
      </c>
      <c r="R557" s="215">
        <v>12456</v>
      </c>
      <c r="S557" s="215">
        <f>U557</f>
        <v>12740</v>
      </c>
      <c r="T557" s="215">
        <f>U557</f>
        <v>12740</v>
      </c>
      <c r="U557" s="214">
        <v>12740</v>
      </c>
      <c r="V557" s="215">
        <v>13617</v>
      </c>
      <c r="W557" s="215">
        <v>13533</v>
      </c>
      <c r="X557" s="1163">
        <f>Z557</f>
        <v>14546</v>
      </c>
      <c r="Y557" s="215">
        <f>Z557</f>
        <v>14546</v>
      </c>
      <c r="Z557" s="214">
        <v>14546</v>
      </c>
      <c r="AA557" s="215">
        <v>15115</v>
      </c>
      <c r="AB557" s="215">
        <v>15545</v>
      </c>
      <c r="AC557" s="217">
        <f>AE557</f>
        <v>14546</v>
      </c>
      <c r="AD557" s="217">
        <f>AE557</f>
        <v>14546</v>
      </c>
      <c r="AE557" s="312">
        <f>Z557</f>
        <v>14546</v>
      </c>
      <c r="AF557" s="312">
        <f>AE557</f>
        <v>14546</v>
      </c>
      <c r="AG557" s="312">
        <f t="shared" ref="AG557:AL558" si="523">AF557</f>
        <v>14546</v>
      </c>
      <c r="AH557" s="312">
        <f t="shared" si="523"/>
        <v>14546</v>
      </c>
      <c r="AI557" s="312">
        <f t="shared" si="523"/>
        <v>14546</v>
      </c>
      <c r="AJ557" s="312">
        <f t="shared" si="523"/>
        <v>14546</v>
      </c>
      <c r="AK557" s="312">
        <f t="shared" si="523"/>
        <v>14546</v>
      </c>
      <c r="AL557" s="312">
        <f t="shared" si="523"/>
        <v>14546</v>
      </c>
      <c r="AM557" s="651"/>
      <c r="CA557" s="509"/>
      <c r="CB557" s="509"/>
    </row>
    <row r="558" spans="2:80" s="83" customFormat="1">
      <c r="B558" s="216"/>
      <c r="C558" s="213"/>
      <c r="D558" s="83" t="s">
        <v>53</v>
      </c>
      <c r="G558" s="214">
        <v>465</v>
      </c>
      <c r="H558" s="214">
        <v>507</v>
      </c>
      <c r="I558" s="214">
        <v>0</v>
      </c>
      <c r="J558" s="214">
        <v>0</v>
      </c>
      <c r="K558" s="214">
        <v>385</v>
      </c>
      <c r="L558" s="215">
        <v>396</v>
      </c>
      <c r="M558" s="215">
        <v>404</v>
      </c>
      <c r="N558" s="215"/>
      <c r="O558" s="215"/>
      <c r="P558" s="214">
        <v>419</v>
      </c>
      <c r="Q558" s="215">
        <v>410</v>
      </c>
      <c r="R558" s="215">
        <v>402</v>
      </c>
      <c r="S558" s="215">
        <f>U558</f>
        <v>399</v>
      </c>
      <c r="T558" s="215">
        <f>U558</f>
        <v>399</v>
      </c>
      <c r="U558" s="214">
        <v>399</v>
      </c>
      <c r="V558" s="215">
        <v>435</v>
      </c>
      <c r="W558" s="215">
        <v>418</v>
      </c>
      <c r="X558" s="1163">
        <f>Z558</f>
        <v>391</v>
      </c>
      <c r="Y558" s="215">
        <f>Z558</f>
        <v>391</v>
      </c>
      <c r="Z558" s="214">
        <v>391</v>
      </c>
      <c r="AA558" s="215">
        <v>386</v>
      </c>
      <c r="AB558" s="215">
        <v>380</v>
      </c>
      <c r="AC558" s="217">
        <f>AE558</f>
        <v>391</v>
      </c>
      <c r="AD558" s="217">
        <f>AE558</f>
        <v>391</v>
      </c>
      <c r="AE558" s="312">
        <f>Z558</f>
        <v>391</v>
      </c>
      <c r="AF558" s="312">
        <f>AE558</f>
        <v>391</v>
      </c>
      <c r="AG558" s="312">
        <f t="shared" si="523"/>
        <v>391</v>
      </c>
      <c r="AH558" s="312">
        <f t="shared" si="523"/>
        <v>391</v>
      </c>
      <c r="AI558" s="312">
        <f t="shared" si="523"/>
        <v>391</v>
      </c>
      <c r="AJ558" s="312">
        <f t="shared" si="523"/>
        <v>391</v>
      </c>
      <c r="AK558" s="312">
        <f t="shared" si="523"/>
        <v>391</v>
      </c>
      <c r="AL558" s="312">
        <f t="shared" si="523"/>
        <v>391</v>
      </c>
      <c r="AM558" s="651"/>
      <c r="CA558" s="509"/>
      <c r="CB558" s="509"/>
    </row>
    <row r="559" spans="2:80" s="83" customFormat="1">
      <c r="B559" s="216"/>
      <c r="C559" s="213"/>
      <c r="D559" s="83" t="s">
        <v>937</v>
      </c>
      <c r="L559" s="140"/>
      <c r="M559" s="140"/>
      <c r="N559" s="140"/>
      <c r="O559" s="140"/>
      <c r="P559" s="94">
        <f>(P527*(1-P522))+(-P511*P522)-P542-P544-P543</f>
        <v>229.99999999999989</v>
      </c>
      <c r="Q559" s="140"/>
      <c r="R559" s="140"/>
      <c r="S559" s="140"/>
      <c r="T559" s="140"/>
      <c r="U559" s="94">
        <f t="shared" ref="U559:AL559" si="524">(U527*(1-U522))+(-U511*U522)-U542-U544-U543</f>
        <v>421.79999999999995</v>
      </c>
      <c r="V559" s="101">
        <f t="shared" si="524"/>
        <v>73.599999999999994</v>
      </c>
      <c r="W559" s="101">
        <f t="shared" si="524"/>
        <v>31.099999999999994</v>
      </c>
      <c r="X559" s="101">
        <f t="shared" si="524"/>
        <v>132.59999999999997</v>
      </c>
      <c r="Y559" s="101">
        <f>(Y527*(1-Y522))+(-Y511*Y522)-Y542-Y544-Y543</f>
        <v>318.89999999999998</v>
      </c>
      <c r="Z559" s="94">
        <f t="shared" si="524"/>
        <v>556.19999999999993</v>
      </c>
      <c r="AA559" s="101">
        <f t="shared" si="524"/>
        <v>323.39999999999998</v>
      </c>
      <c r="AB559" s="101">
        <f>(AB527*(1-AB522))+(-AB511*AB522)-AB542-AB544-AB543</f>
        <v>358.99999999999994</v>
      </c>
      <c r="AC559" s="101">
        <f t="shared" si="524"/>
        <v>222.52192273459275</v>
      </c>
      <c r="AD559" s="101">
        <f t="shared" si="524"/>
        <v>200.82578134746632</v>
      </c>
      <c r="AE559" s="94">
        <f t="shared" si="524"/>
        <v>1105.747704082059</v>
      </c>
      <c r="AF559" s="94">
        <f t="shared" si="524"/>
        <v>1367.489118762081</v>
      </c>
      <c r="AG559" s="94">
        <f t="shared" si="524"/>
        <v>1859.1250388529429</v>
      </c>
      <c r="AH559" s="94">
        <f t="shared" si="524"/>
        <v>2270.0355446575263</v>
      </c>
      <c r="AI559" s="94">
        <f t="shared" si="524"/>
        <v>1968.7390118356147</v>
      </c>
      <c r="AJ559" s="94">
        <f t="shared" si="524"/>
        <v>2018.022836784342</v>
      </c>
      <c r="AK559" s="94">
        <f t="shared" si="524"/>
        <v>1924.9228367843421</v>
      </c>
      <c r="AL559" s="94">
        <f t="shared" si="524"/>
        <v>1924.9228367843421</v>
      </c>
      <c r="AM559" s="651"/>
      <c r="CA559" s="509"/>
      <c r="CB559" s="509"/>
    </row>
    <row r="560" spans="2:80" s="83" customFormat="1">
      <c r="B560" s="216"/>
      <c r="C560" s="213"/>
      <c r="L560" s="140"/>
      <c r="M560" s="140"/>
      <c r="N560" s="140"/>
      <c r="O560" s="140"/>
      <c r="Q560" s="140"/>
      <c r="R560" s="140"/>
      <c r="S560" s="140"/>
      <c r="T560" s="140"/>
      <c r="V560" s="140"/>
      <c r="W560" s="140"/>
      <c r="X560" s="140"/>
      <c r="Y560" s="140"/>
      <c r="AA560" s="140"/>
      <c r="AB560" s="140"/>
      <c r="AC560" s="140"/>
      <c r="AD560" s="140"/>
      <c r="AM560" s="651"/>
      <c r="CA560" s="509"/>
      <c r="CB560" s="509"/>
    </row>
    <row r="561" spans="2:80" s="83" customFormat="1">
      <c r="B561" s="216"/>
      <c r="C561" s="213"/>
      <c r="G561" s="94"/>
      <c r="H561" s="94"/>
      <c r="I561" s="94"/>
      <c r="J561" s="94"/>
      <c r="K561" s="94"/>
      <c r="L561" s="101"/>
      <c r="M561" s="101"/>
      <c r="N561" s="101"/>
      <c r="O561" s="101"/>
      <c r="P561" s="94"/>
      <c r="Q561" s="101"/>
      <c r="R561" s="101"/>
      <c r="S561" s="101"/>
      <c r="T561" s="101"/>
      <c r="U561" s="92"/>
      <c r="V561" s="101"/>
      <c r="W561" s="101"/>
      <c r="X561" s="101"/>
      <c r="Y561" s="101"/>
      <c r="Z561" s="92"/>
      <c r="AA561" s="101"/>
      <c r="AB561" s="99"/>
      <c r="AC561" s="99"/>
      <c r="AD561" s="99"/>
      <c r="AE561" s="92"/>
      <c r="AF561" s="92"/>
      <c r="AG561" s="92"/>
      <c r="AH561" s="92"/>
      <c r="AI561" s="92"/>
      <c r="AJ561" s="92"/>
      <c r="AK561" s="92"/>
      <c r="AL561" s="92"/>
      <c r="AM561" s="651"/>
      <c r="CA561" s="509"/>
      <c r="CB561" s="509"/>
    </row>
    <row r="562" spans="2:80" s="83" customFormat="1">
      <c r="G562" s="92"/>
      <c r="H562" s="92"/>
      <c r="I562" s="92"/>
      <c r="J562" s="92"/>
      <c r="K562" s="92"/>
      <c r="L562" s="99"/>
      <c r="M562" s="99"/>
      <c r="N562" s="99"/>
      <c r="O562" s="99"/>
      <c r="P562" s="92"/>
      <c r="Q562" s="99"/>
      <c r="R562" s="99"/>
      <c r="S562" s="99"/>
      <c r="T562" s="99"/>
      <c r="U562" s="92"/>
      <c r="V562" s="99"/>
      <c r="W562" s="99"/>
      <c r="X562" s="99"/>
      <c r="Y562" s="99"/>
      <c r="Z562" s="92"/>
      <c r="AA562" s="99"/>
      <c r="AB562" s="99"/>
      <c r="AC562" s="99"/>
      <c r="AD562" s="99"/>
      <c r="AE562" s="92"/>
      <c r="AF562" s="92"/>
      <c r="AG562" s="92"/>
      <c r="AH562" s="92"/>
      <c r="AI562" s="92"/>
      <c r="AJ562" s="92"/>
      <c r="AK562" s="92"/>
      <c r="AL562" s="92"/>
      <c r="AM562" s="651"/>
      <c r="CA562" s="509"/>
      <c r="CB562" s="509"/>
    </row>
    <row r="563" spans="2:80" s="83" customFormat="1">
      <c r="B563" s="218"/>
      <c r="C563" s="219"/>
      <c r="D563" s="173" t="s">
        <v>506</v>
      </c>
      <c r="E563" s="173"/>
      <c r="F563" s="174"/>
      <c r="G563" s="179"/>
      <c r="H563" s="179"/>
      <c r="I563" s="447"/>
      <c r="J563" s="447"/>
      <c r="K563" s="447"/>
      <c r="L563" s="448"/>
      <c r="M563" s="448"/>
      <c r="N563" s="448"/>
      <c r="O563" s="448"/>
      <c r="P563" s="447"/>
      <c r="Q563" s="448"/>
      <c r="R563" s="448"/>
      <c r="S563" s="448"/>
      <c r="T563" s="448"/>
      <c r="U563" s="179"/>
      <c r="V563" s="448"/>
      <c r="W563" s="448"/>
      <c r="X563" s="448"/>
      <c r="Y563" s="448"/>
      <c r="Z563" s="179"/>
      <c r="AA563" s="448"/>
      <c r="AB563" s="995"/>
      <c r="AC563" s="995"/>
      <c r="AD563" s="995"/>
      <c r="AE563" s="179"/>
      <c r="AF563" s="179"/>
      <c r="AG563" s="179"/>
      <c r="AH563" s="179"/>
      <c r="AI563" s="179"/>
      <c r="AJ563" s="179"/>
      <c r="AK563" s="179"/>
      <c r="AL563" s="179"/>
      <c r="AM563" s="651"/>
      <c r="CA563" s="509"/>
      <c r="CB563" s="509"/>
    </row>
    <row r="564" spans="2:80" s="83" customFormat="1">
      <c r="B564" s="224" t="s">
        <v>64</v>
      </c>
      <c r="C564" s="225" t="s">
        <v>65</v>
      </c>
      <c r="D564" s="163" t="s">
        <v>504</v>
      </c>
      <c r="E564" s="163"/>
      <c r="G564" s="92"/>
      <c r="H564" s="92"/>
      <c r="I564" s="218"/>
      <c r="J564" s="218"/>
      <c r="K564" s="216"/>
      <c r="L564" s="217">
        <f t="shared" ref="L564:U564" si="525">L507</f>
        <v>739</v>
      </c>
      <c r="M564" s="217">
        <f t="shared" si="525"/>
        <v>731</v>
      </c>
      <c r="N564" s="217">
        <f t="shared" si="525"/>
        <v>611</v>
      </c>
      <c r="O564" s="217">
        <f t="shared" si="525"/>
        <v>633</v>
      </c>
      <c r="P564" s="216">
        <f t="shared" si="525"/>
        <v>2714</v>
      </c>
      <c r="Q564" s="217">
        <f t="shared" si="525"/>
        <v>630</v>
      </c>
      <c r="R564" s="217">
        <f t="shared" si="525"/>
        <v>646</v>
      </c>
      <c r="S564" s="217">
        <f t="shared" si="525"/>
        <v>601</v>
      </c>
      <c r="T564" s="217">
        <f t="shared" si="525"/>
        <v>592</v>
      </c>
      <c r="U564" s="216">
        <f t="shared" si="525"/>
        <v>2469</v>
      </c>
      <c r="V564" s="217">
        <f>V507</f>
        <v>570</v>
      </c>
      <c r="W564" s="217">
        <f t="shared" ref="W564:AD564" si="526">W507</f>
        <v>405</v>
      </c>
      <c r="X564" s="217">
        <f t="shared" si="526"/>
        <v>624</v>
      </c>
      <c r="Y564" s="217">
        <f t="shared" si="526"/>
        <v>820</v>
      </c>
      <c r="Z564" s="216">
        <f t="shared" si="526"/>
        <v>2419</v>
      </c>
      <c r="AA564" s="217">
        <f>AA507</f>
        <v>767</v>
      </c>
      <c r="AB564" s="217">
        <f t="shared" si="526"/>
        <v>821</v>
      </c>
      <c r="AC564" s="217">
        <f t="shared" si="526"/>
        <v>838.33688614029484</v>
      </c>
      <c r="AD564" s="217">
        <f t="shared" si="526"/>
        <v>798.30892088988094</v>
      </c>
      <c r="AE564" s="216">
        <f>AE507</f>
        <v>3224.645807030176</v>
      </c>
      <c r="AF564" s="216">
        <f>AF507</f>
        <v>3704.3560255252837</v>
      </c>
      <c r="AG564" s="216">
        <f t="shared" ref="AG564:AL564" si="527">AG507</f>
        <v>4304.3323142470699</v>
      </c>
      <c r="AH564" s="216">
        <f t="shared" si="527"/>
        <v>5225.3882407566471</v>
      </c>
      <c r="AI564" s="216">
        <f t="shared" si="527"/>
        <v>5300.4661640634749</v>
      </c>
      <c r="AJ564" s="216">
        <f t="shared" si="527"/>
        <v>5465.527332284164</v>
      </c>
      <c r="AK564" s="216">
        <f t="shared" si="527"/>
        <v>5465.527332284164</v>
      </c>
      <c r="AL564" s="216">
        <f t="shared" si="527"/>
        <v>5465.527332284164</v>
      </c>
      <c r="AM564" s="651"/>
      <c r="CA564" s="509"/>
      <c r="CB564" s="509"/>
    </row>
    <row r="565" spans="2:80" s="83" customFormat="1">
      <c r="B565" s="228" t="s">
        <v>64</v>
      </c>
      <c r="C565" s="229" t="s">
        <v>65</v>
      </c>
      <c r="D565" s="163" t="s">
        <v>515</v>
      </c>
      <c r="E565" s="163"/>
      <c r="G565" s="92"/>
      <c r="H565" s="92"/>
      <c r="I565" s="218"/>
      <c r="J565" s="218"/>
      <c r="K565" s="218"/>
      <c r="L565" s="215">
        <v>-126</v>
      </c>
      <c r="M565" s="215">
        <v>-131</v>
      </c>
      <c r="N565" s="215">
        <v>-104</v>
      </c>
      <c r="O565" s="215">
        <v>-111</v>
      </c>
      <c r="P565" s="214">
        <v>-472</v>
      </c>
      <c r="Q565" s="215">
        <v>-74</v>
      </c>
      <c r="R565" s="215">
        <v>-90</v>
      </c>
      <c r="S565" s="215">
        <v>-79</v>
      </c>
      <c r="T565" s="215">
        <f>U565-Q565-R565-S565</f>
        <v>-68</v>
      </c>
      <c r="U565" s="92">
        <v>-311</v>
      </c>
      <c r="V565" s="215">
        <v>-77</v>
      </c>
      <c r="W565" s="215">
        <v>-41</v>
      </c>
      <c r="X565" s="215">
        <v>-78</v>
      </c>
      <c r="Y565" s="215">
        <v>-104</v>
      </c>
      <c r="Z565" s="113">
        <v>-300</v>
      </c>
      <c r="AA565" s="215">
        <v>-85</v>
      </c>
      <c r="AB565" s="215">
        <v>-94</v>
      </c>
      <c r="AC565" s="215">
        <f t="shared" ref="AC565:AE565" si="528">AC506</f>
        <v>0</v>
      </c>
      <c r="AD565" s="215">
        <f t="shared" si="528"/>
        <v>0</v>
      </c>
      <c r="AE565" s="214">
        <f t="shared" si="528"/>
        <v>6.4412551359246208</v>
      </c>
      <c r="AF565" s="214">
        <f t="shared" ref="AF565:AL565" si="529">AF506</f>
        <v>0</v>
      </c>
      <c r="AG565" s="214">
        <f t="shared" si="529"/>
        <v>0</v>
      </c>
      <c r="AH565" s="214">
        <f t="shared" si="529"/>
        <v>0</v>
      </c>
      <c r="AI565" s="214">
        <f t="shared" si="529"/>
        <v>0</v>
      </c>
      <c r="AJ565" s="214">
        <f t="shared" si="529"/>
        <v>0</v>
      </c>
      <c r="AK565" s="214">
        <f t="shared" si="529"/>
        <v>0</v>
      </c>
      <c r="AL565" s="214">
        <f t="shared" si="529"/>
        <v>0</v>
      </c>
      <c r="AM565" s="651"/>
      <c r="CA565" s="509"/>
      <c r="CB565" s="509"/>
    </row>
    <row r="566" spans="2:80" s="83" customFormat="1">
      <c r="B566" s="224" t="s">
        <v>64</v>
      </c>
      <c r="C566" s="225" t="s">
        <v>65</v>
      </c>
      <c r="D566" s="163" t="s">
        <v>516</v>
      </c>
      <c r="E566" s="163"/>
      <c r="G566" s="92"/>
      <c r="H566" s="92"/>
      <c r="I566" s="218"/>
      <c r="J566" s="218"/>
      <c r="K566" s="218"/>
      <c r="L566" s="215">
        <v>40</v>
      </c>
      <c r="M566" s="215">
        <v>40</v>
      </c>
      <c r="N566" s="215">
        <v>36</v>
      </c>
      <c r="O566" s="215">
        <v>41</v>
      </c>
      <c r="P566" s="214">
        <v>157</v>
      </c>
      <c r="Q566" s="215">
        <v>43</v>
      </c>
      <c r="R566" s="215">
        <v>42</v>
      </c>
      <c r="S566" s="215">
        <v>41</v>
      </c>
      <c r="T566" s="215">
        <f>U566-Q566-R566-S566</f>
        <v>38</v>
      </c>
      <c r="U566" s="92">
        <v>164</v>
      </c>
      <c r="V566" s="215">
        <v>37</v>
      </c>
      <c r="W566" s="215">
        <v>27</v>
      </c>
      <c r="X566" s="215">
        <v>36</v>
      </c>
      <c r="Y566" s="215">
        <v>40</v>
      </c>
      <c r="Z566" s="113">
        <v>140</v>
      </c>
      <c r="AA566" s="215">
        <v>30</v>
      </c>
      <c r="AB566" s="215">
        <v>28</v>
      </c>
      <c r="AC566" s="99"/>
      <c r="AD566" s="99"/>
      <c r="AE566" s="92"/>
      <c r="AF566" s="92"/>
      <c r="AG566" s="92"/>
      <c r="AH566" s="92"/>
      <c r="AI566" s="92"/>
      <c r="AJ566" s="92"/>
      <c r="AK566" s="92"/>
      <c r="AL566" s="92"/>
      <c r="AM566" s="651"/>
      <c r="CA566" s="509"/>
      <c r="CB566" s="509"/>
    </row>
    <row r="567" spans="2:80" s="83" customFormat="1">
      <c r="B567" s="224" t="s">
        <v>64</v>
      </c>
      <c r="C567" s="225" t="s">
        <v>65</v>
      </c>
      <c r="D567" s="163" t="s">
        <v>505</v>
      </c>
      <c r="E567" s="163"/>
      <c r="G567" s="92"/>
      <c r="H567" s="92"/>
      <c r="I567" s="218"/>
      <c r="J567" s="218"/>
      <c r="K567" s="216"/>
      <c r="L567" s="217">
        <f t="shared" ref="L567:U567" si="530">SUM(L564:L566)</f>
        <v>653</v>
      </c>
      <c r="M567" s="217">
        <f t="shared" si="530"/>
        <v>640</v>
      </c>
      <c r="N567" s="217">
        <f t="shared" si="530"/>
        <v>543</v>
      </c>
      <c r="O567" s="217">
        <f>SUM(O564:O566)</f>
        <v>563</v>
      </c>
      <c r="P567" s="216">
        <f t="shared" si="530"/>
        <v>2399</v>
      </c>
      <c r="Q567" s="217">
        <f t="shared" si="530"/>
        <v>599</v>
      </c>
      <c r="R567" s="217">
        <f t="shared" si="530"/>
        <v>598</v>
      </c>
      <c r="S567" s="217">
        <f t="shared" si="530"/>
        <v>563</v>
      </c>
      <c r="T567" s="217">
        <f t="shared" si="530"/>
        <v>562</v>
      </c>
      <c r="U567" s="216">
        <f t="shared" si="530"/>
        <v>2322</v>
      </c>
      <c r="V567" s="217">
        <f>SUM(V564:V566)</f>
        <v>530</v>
      </c>
      <c r="W567" s="217">
        <f t="shared" ref="W567:AF567" si="531">SUM(W564:W566)</f>
        <v>391</v>
      </c>
      <c r="X567" s="217">
        <f t="shared" si="531"/>
        <v>582</v>
      </c>
      <c r="Y567" s="217">
        <f>SUM(Y564:Y566)</f>
        <v>756</v>
      </c>
      <c r="Z567" s="216">
        <f t="shared" si="531"/>
        <v>2259</v>
      </c>
      <c r="AA567" s="217">
        <f>SUM(AA564:AA566)</f>
        <v>712</v>
      </c>
      <c r="AB567" s="217">
        <f t="shared" si="531"/>
        <v>755</v>
      </c>
      <c r="AC567" s="217">
        <f t="shared" si="531"/>
        <v>838.33688614029484</v>
      </c>
      <c r="AD567" s="217">
        <f t="shared" si="531"/>
        <v>798.30892088988094</v>
      </c>
      <c r="AE567" s="216">
        <f t="shared" si="531"/>
        <v>3231.0870621661006</v>
      </c>
      <c r="AF567" s="216">
        <f t="shared" si="531"/>
        <v>3704.3560255252837</v>
      </c>
      <c r="AG567" s="216">
        <f t="shared" ref="AG567:AL567" si="532">SUM(AG564:AG566)</f>
        <v>4304.3323142470699</v>
      </c>
      <c r="AH567" s="216">
        <f t="shared" si="532"/>
        <v>5225.3882407566471</v>
      </c>
      <c r="AI567" s="216">
        <f t="shared" si="532"/>
        <v>5300.4661640634749</v>
      </c>
      <c r="AJ567" s="216">
        <f t="shared" si="532"/>
        <v>5465.527332284164</v>
      </c>
      <c r="AK567" s="216">
        <f t="shared" si="532"/>
        <v>5465.527332284164</v>
      </c>
      <c r="AL567" s="216">
        <f t="shared" si="532"/>
        <v>5465.527332284164</v>
      </c>
      <c r="AM567" s="651"/>
      <c r="CA567" s="509"/>
      <c r="CB567" s="509"/>
    </row>
    <row r="568" spans="2:80" s="83" customFormat="1">
      <c r="B568" s="218"/>
      <c r="C568" s="219"/>
      <c r="D568" s="163"/>
      <c r="E568" s="163"/>
      <c r="G568" s="92"/>
      <c r="H568" s="92"/>
      <c r="I568" s="218"/>
      <c r="J568" s="218"/>
      <c r="K568" s="218"/>
      <c r="L568" s="222"/>
      <c r="M568" s="222"/>
      <c r="N568" s="222"/>
      <c r="O568" s="222"/>
      <c r="P568" s="218"/>
      <c r="Q568" s="222"/>
      <c r="R568" s="222"/>
      <c r="S568" s="222"/>
      <c r="T568" s="222"/>
      <c r="U568" s="92"/>
      <c r="V568" s="222"/>
      <c r="W568" s="222"/>
      <c r="X568" s="222"/>
      <c r="Y568" s="222"/>
      <c r="Z568" s="92"/>
      <c r="AA568" s="222"/>
      <c r="AB568" s="222"/>
      <c r="AC568" s="99"/>
      <c r="AD568" s="99"/>
      <c r="AE568" s="92"/>
      <c r="AF568" s="92"/>
      <c r="AG568" s="92"/>
      <c r="AH568" s="92"/>
      <c r="AI568" s="92"/>
      <c r="AJ568" s="92"/>
      <c r="AK568" s="92"/>
      <c r="AL568" s="92"/>
      <c r="AM568" s="651"/>
      <c r="CA568" s="509"/>
      <c r="CB568" s="509"/>
    </row>
    <row r="569" spans="2:80" s="83" customFormat="1">
      <c r="B569" s="224" t="s">
        <v>64</v>
      </c>
      <c r="C569" s="225" t="s">
        <v>65</v>
      </c>
      <c r="D569" s="163" t="s">
        <v>507</v>
      </c>
      <c r="E569" s="163"/>
      <c r="G569" s="92"/>
      <c r="H569" s="92"/>
      <c r="I569" s="218"/>
      <c r="J569" s="218"/>
      <c r="K569" s="216"/>
      <c r="L569" s="217">
        <f t="shared" ref="L569:V569" si="533">(L512)*-1</f>
        <v>446</v>
      </c>
      <c r="M569" s="217">
        <f t="shared" si="533"/>
        <v>456</v>
      </c>
      <c r="N569" s="217">
        <f t="shared" si="533"/>
        <v>440</v>
      </c>
      <c r="O569" s="217">
        <f t="shared" si="533"/>
        <v>494</v>
      </c>
      <c r="P569" s="216">
        <f t="shared" si="533"/>
        <v>1837</v>
      </c>
      <c r="Q569" s="217">
        <f t="shared" si="533"/>
        <v>460</v>
      </c>
      <c r="R569" s="217">
        <f t="shared" si="533"/>
        <v>472</v>
      </c>
      <c r="S569" s="217">
        <f t="shared" si="533"/>
        <v>458</v>
      </c>
      <c r="T569" s="217">
        <f t="shared" si="533"/>
        <v>462</v>
      </c>
      <c r="U569" s="216">
        <f t="shared" si="533"/>
        <v>1852</v>
      </c>
      <c r="V569" s="217">
        <f t="shared" si="533"/>
        <v>413</v>
      </c>
      <c r="W569" s="217">
        <f t="shared" ref="W569:AE569" si="534">(W512)*-1</f>
        <v>303</v>
      </c>
      <c r="X569" s="217">
        <f t="shared" si="534"/>
        <v>392</v>
      </c>
      <c r="Y569" s="217">
        <f t="shared" si="534"/>
        <v>452</v>
      </c>
      <c r="Z569" s="216">
        <f t="shared" si="534"/>
        <v>1560</v>
      </c>
      <c r="AA569" s="217">
        <f t="shared" si="534"/>
        <v>401</v>
      </c>
      <c r="AB569" s="217">
        <f t="shared" si="534"/>
        <v>392</v>
      </c>
      <c r="AC569" s="217">
        <f t="shared" si="534"/>
        <v>398.42057897419318</v>
      </c>
      <c r="AD569" s="217">
        <f t="shared" si="534"/>
        <v>382.48412912545712</v>
      </c>
      <c r="AE569" s="216">
        <f t="shared" si="534"/>
        <v>1573.9047080996504</v>
      </c>
      <c r="AF569" s="216">
        <f t="shared" ref="AF569:AL569" si="535">(AF512)*-1</f>
        <v>1730.3208228886704</v>
      </c>
      <c r="AG569" s="216">
        <f t="shared" si="535"/>
        <v>2023.4862905145696</v>
      </c>
      <c r="AH569" s="216">
        <f t="shared" si="535"/>
        <v>2483.028951399423</v>
      </c>
      <c r="AI569" s="216">
        <f t="shared" si="535"/>
        <v>2823.1008938454661</v>
      </c>
      <c r="AJ569" s="216">
        <f t="shared" si="535"/>
        <v>2940.3670808958259</v>
      </c>
      <c r="AK569" s="216">
        <f t="shared" si="535"/>
        <v>2940.3670808958259</v>
      </c>
      <c r="AL569" s="216">
        <f t="shared" si="535"/>
        <v>2940.3670808958259</v>
      </c>
      <c r="AM569" s="651"/>
      <c r="CA569" s="509"/>
      <c r="CB569" s="509"/>
    </row>
    <row r="570" spans="2:80" s="83" customFormat="1">
      <c r="B570" s="228" t="s">
        <v>64</v>
      </c>
      <c r="C570" s="229" t="s">
        <v>65</v>
      </c>
      <c r="D570" s="163" t="s">
        <v>386</v>
      </c>
      <c r="E570" s="163"/>
      <c r="G570" s="92"/>
      <c r="H570" s="92"/>
      <c r="I570" s="218"/>
      <c r="J570" s="218"/>
      <c r="K570" s="216"/>
      <c r="L570" s="217">
        <f>-L511</f>
        <v>122</v>
      </c>
      <c r="M570" s="217">
        <f>-M511</f>
        <v>115</v>
      </c>
      <c r="N570" s="217">
        <f>-N511</f>
        <v>120</v>
      </c>
      <c r="O570" s="217">
        <f>-O511</f>
        <v>121</v>
      </c>
      <c r="P570" s="216">
        <f t="shared" ref="P570:V570" si="536">P511</f>
        <v>-478</v>
      </c>
      <c r="Q570" s="217">
        <f t="shared" si="536"/>
        <v>-113</v>
      </c>
      <c r="R570" s="217">
        <f t="shared" si="536"/>
        <v>-115</v>
      </c>
      <c r="S570" s="217">
        <f t="shared" si="536"/>
        <v>-126</v>
      </c>
      <c r="T570" s="217">
        <f t="shared" si="536"/>
        <v>-109</v>
      </c>
      <c r="U570" s="216">
        <f t="shared" si="536"/>
        <v>-463</v>
      </c>
      <c r="V570" s="217">
        <f t="shared" si="536"/>
        <v>-106</v>
      </c>
      <c r="W570" s="217">
        <v>-71</v>
      </c>
      <c r="X570" s="217">
        <f t="shared" ref="X570:AF570" si="537">X511</f>
        <v>-104</v>
      </c>
      <c r="Y570" s="217">
        <f t="shared" si="537"/>
        <v>-102</v>
      </c>
      <c r="Z570" s="216">
        <f t="shared" si="537"/>
        <v>-383</v>
      </c>
      <c r="AA570" s="217">
        <f t="shared" si="537"/>
        <v>-96</v>
      </c>
      <c r="AB570" s="217">
        <f t="shared" si="537"/>
        <v>-89</v>
      </c>
      <c r="AC570" s="217">
        <f t="shared" si="537"/>
        <v>-99.080507718321513</v>
      </c>
      <c r="AD570" s="217">
        <f t="shared" si="537"/>
        <v>-94.248427112369683</v>
      </c>
      <c r="AE570" s="216">
        <f t="shared" si="537"/>
        <v>-378.32893483069125</v>
      </c>
      <c r="AF570" s="216">
        <f t="shared" si="537"/>
        <v>-413.76447691645154</v>
      </c>
      <c r="AG570" s="216">
        <f t="shared" ref="AG570:AL570" si="538">-AG511</f>
        <v>453.33282224019251</v>
      </c>
      <c r="AH570" s="216">
        <f t="shared" si="538"/>
        <v>523.68404210746894</v>
      </c>
      <c r="AI570" s="216">
        <f t="shared" si="538"/>
        <v>569.58332268300853</v>
      </c>
      <c r="AJ570" s="216">
        <f t="shared" si="538"/>
        <v>585.41066081250494</v>
      </c>
      <c r="AK570" s="216">
        <f t="shared" si="538"/>
        <v>585.41066081250494</v>
      </c>
      <c r="AL570" s="216">
        <f t="shared" si="538"/>
        <v>585.41066081250494</v>
      </c>
      <c r="AM570" s="651"/>
      <c r="CA570" s="509"/>
      <c r="CB570" s="509"/>
    </row>
    <row r="571" spans="2:80" s="83" customFormat="1">
      <c r="B571" s="224" t="s">
        <v>64</v>
      </c>
      <c r="C571" s="225" t="s">
        <v>65</v>
      </c>
      <c r="D571" s="163" t="s">
        <v>508</v>
      </c>
      <c r="E571" s="163"/>
      <c r="G571" s="92"/>
      <c r="H571" s="92"/>
      <c r="I571" s="218"/>
      <c r="J571" s="218"/>
      <c r="K571" s="218"/>
      <c r="L571" s="215">
        <v>0</v>
      </c>
      <c r="M571" s="215">
        <v>-3</v>
      </c>
      <c r="N571" s="215">
        <v>0</v>
      </c>
      <c r="O571" s="215">
        <v>-41</v>
      </c>
      <c r="P571" s="214">
        <v>-44</v>
      </c>
      <c r="Q571" s="215">
        <v>11</v>
      </c>
      <c r="R571" s="215">
        <v>-8</v>
      </c>
      <c r="S571" s="215">
        <v>-7</v>
      </c>
      <c r="T571" s="215">
        <f>U571-Q571-R571-S571</f>
        <v>-20</v>
      </c>
      <c r="U571" s="92">
        <v>-24</v>
      </c>
      <c r="V571" s="215">
        <v>0</v>
      </c>
      <c r="W571" s="215"/>
      <c r="X571" s="215"/>
      <c r="Y571" s="215"/>
      <c r="Z571" s="92"/>
      <c r="AA571" s="215"/>
      <c r="AB571" s="215"/>
      <c r="AC571" s="99"/>
      <c r="AD571" s="99"/>
      <c r="AE571" s="92"/>
      <c r="AF571" s="92"/>
      <c r="AG571" s="92"/>
      <c r="AH571" s="92"/>
      <c r="AI571" s="92"/>
      <c r="AJ571" s="92"/>
      <c r="AK571" s="92"/>
      <c r="AL571" s="92"/>
      <c r="AM571" s="651"/>
      <c r="CA571" s="509"/>
      <c r="CB571" s="509"/>
    </row>
    <row r="572" spans="2:80" s="83" customFormat="1">
      <c r="B572" s="224" t="s">
        <v>64</v>
      </c>
      <c r="C572" s="225" t="s">
        <v>65</v>
      </c>
      <c r="D572" s="163" t="s">
        <v>611</v>
      </c>
      <c r="E572" s="163"/>
      <c r="G572" s="92"/>
      <c r="H572" s="92"/>
      <c r="I572" s="218"/>
      <c r="J572" s="218"/>
      <c r="K572" s="218"/>
      <c r="L572" s="215"/>
      <c r="M572" s="215"/>
      <c r="N572" s="215"/>
      <c r="O572" s="215"/>
      <c r="P572" s="214"/>
      <c r="Q572" s="215"/>
      <c r="R572" s="215"/>
      <c r="S572" s="215"/>
      <c r="T572" s="215"/>
      <c r="U572" s="92"/>
      <c r="V572" s="215">
        <v>-2</v>
      </c>
      <c r="W572" s="215"/>
      <c r="X572" s="215"/>
      <c r="Y572" s="215"/>
      <c r="Z572" s="92"/>
      <c r="AA572" s="215"/>
      <c r="AB572" s="215"/>
      <c r="AC572" s="99"/>
      <c r="AD572" s="99"/>
      <c r="AE572" s="92"/>
      <c r="AF572" s="92"/>
      <c r="AG572" s="92"/>
      <c r="AH572" s="92"/>
      <c r="AI572" s="92"/>
      <c r="AJ572" s="92"/>
      <c r="AK572" s="92"/>
      <c r="AL572" s="92"/>
      <c r="AM572" s="651"/>
      <c r="CA572" s="509"/>
      <c r="CB572" s="509"/>
    </row>
    <row r="573" spans="2:80" s="83" customFormat="1">
      <c r="B573" s="224" t="s">
        <v>64</v>
      </c>
      <c r="C573" s="225" t="s">
        <v>65</v>
      </c>
      <c r="D573" s="163" t="s">
        <v>530</v>
      </c>
      <c r="E573" s="163"/>
      <c r="G573" s="92"/>
      <c r="H573" s="92"/>
      <c r="I573" s="218"/>
      <c r="J573" s="218"/>
      <c r="K573" s="218"/>
      <c r="L573" s="215">
        <v>0</v>
      </c>
      <c r="M573" s="215"/>
      <c r="N573" s="215">
        <v>-1</v>
      </c>
      <c r="O573" s="215">
        <v>-4</v>
      </c>
      <c r="P573" s="214">
        <v>-5</v>
      </c>
      <c r="Q573" s="215">
        <v>0</v>
      </c>
      <c r="R573" s="215">
        <v>0</v>
      </c>
      <c r="S573" s="215">
        <v>-8</v>
      </c>
      <c r="T573" s="215">
        <f>U573-Q573-R573-S573</f>
        <v>-27</v>
      </c>
      <c r="U573" s="92">
        <v>-35</v>
      </c>
      <c r="V573" s="215"/>
      <c r="W573" s="215"/>
      <c r="X573" s="215"/>
      <c r="Y573" s="215"/>
      <c r="Z573" s="92"/>
      <c r="AA573" s="215"/>
      <c r="AB573" s="215"/>
      <c r="AC573" s="99"/>
      <c r="AD573" s="99"/>
      <c r="AE573" s="92"/>
      <c r="AF573" s="92"/>
      <c r="AG573" s="92"/>
      <c r="AH573" s="92"/>
      <c r="AI573" s="92"/>
      <c r="AJ573" s="92"/>
      <c r="AK573" s="92"/>
      <c r="AL573" s="92"/>
      <c r="AM573" s="651"/>
      <c r="CA573" s="509"/>
      <c r="CB573" s="509"/>
    </row>
    <row r="574" spans="2:80" s="83" customFormat="1">
      <c r="B574" s="224" t="s">
        <v>64</v>
      </c>
      <c r="C574" s="225" t="s">
        <v>65</v>
      </c>
      <c r="D574" s="163" t="s">
        <v>509</v>
      </c>
      <c r="E574" s="163"/>
      <c r="G574" s="92"/>
      <c r="H574" s="92"/>
      <c r="I574" s="218"/>
      <c r="J574" s="218"/>
      <c r="K574" s="218"/>
      <c r="L574" s="215">
        <v>-13</v>
      </c>
      <c r="M574" s="215">
        <v>-18</v>
      </c>
      <c r="N574" s="215">
        <v>-15</v>
      </c>
      <c r="O574" s="215">
        <v>-15</v>
      </c>
      <c r="P574" s="214">
        <v>-61</v>
      </c>
      <c r="Q574" s="215">
        <v>-11</v>
      </c>
      <c r="R574" s="215">
        <v>-16</v>
      </c>
      <c r="S574" s="215">
        <v>-12</v>
      </c>
      <c r="T574" s="215">
        <f>U574-Q574-R574-S574</f>
        <v>-19</v>
      </c>
      <c r="U574" s="92">
        <v>-58</v>
      </c>
      <c r="V574" s="215">
        <v>-20</v>
      </c>
      <c r="W574" s="215">
        <v>-5</v>
      </c>
      <c r="X574" s="215">
        <v>-17</v>
      </c>
      <c r="Y574" s="215">
        <v>-29</v>
      </c>
      <c r="Z574" s="113">
        <v>-71</v>
      </c>
      <c r="AA574" s="215">
        <v>-20</v>
      </c>
      <c r="AB574" s="215">
        <v>-20</v>
      </c>
      <c r="AC574" s="99"/>
      <c r="AD574" s="99"/>
      <c r="AE574" s="92"/>
      <c r="AF574" s="92"/>
      <c r="AG574" s="92"/>
      <c r="AH574" s="92"/>
      <c r="AI574" s="92"/>
      <c r="AJ574" s="92"/>
      <c r="AK574" s="92"/>
      <c r="AL574" s="92"/>
      <c r="AM574" s="651"/>
      <c r="CA574" s="509"/>
      <c r="CB574" s="509"/>
    </row>
    <row r="575" spans="2:80" s="83" customFormat="1">
      <c r="B575" s="224" t="s">
        <v>64</v>
      </c>
      <c r="C575" s="225" t="s">
        <v>65</v>
      </c>
      <c r="D575" s="163" t="s">
        <v>510</v>
      </c>
      <c r="E575" s="163"/>
      <c r="G575" s="92"/>
      <c r="H575" s="92"/>
      <c r="I575" s="218"/>
      <c r="J575" s="218"/>
      <c r="K575" s="218"/>
      <c r="L575" s="217">
        <f>SUM(L569:L574)</f>
        <v>555</v>
      </c>
      <c r="M575" s="217">
        <f>SUM(M569:M574)</f>
        <v>550</v>
      </c>
      <c r="N575" s="217">
        <f>SUM(N569:N574)</f>
        <v>544</v>
      </c>
      <c r="O575" s="217">
        <f>SUM(O569:O574)</f>
        <v>555</v>
      </c>
      <c r="P575" s="216">
        <f t="shared" ref="P575:AF575" si="539">SUM(P569:P574)</f>
        <v>1249</v>
      </c>
      <c r="Q575" s="217">
        <f>SUM(Q569:Q574)</f>
        <v>347</v>
      </c>
      <c r="R575" s="217">
        <f t="shared" si="539"/>
        <v>333</v>
      </c>
      <c r="S575" s="217">
        <f t="shared" si="539"/>
        <v>305</v>
      </c>
      <c r="T575" s="217">
        <f t="shared" si="539"/>
        <v>287</v>
      </c>
      <c r="U575" s="216">
        <f t="shared" si="539"/>
        <v>1272</v>
      </c>
      <c r="V575" s="217">
        <f t="shared" si="539"/>
        <v>285</v>
      </c>
      <c r="W575" s="217">
        <f t="shared" si="539"/>
        <v>227</v>
      </c>
      <c r="X575" s="217">
        <f t="shared" si="539"/>
        <v>271</v>
      </c>
      <c r="Y575" s="217">
        <f t="shared" si="539"/>
        <v>321</v>
      </c>
      <c r="Z575" s="216">
        <f t="shared" si="539"/>
        <v>1106</v>
      </c>
      <c r="AA575" s="217">
        <f t="shared" si="539"/>
        <v>285</v>
      </c>
      <c r="AB575" s="217">
        <f t="shared" si="539"/>
        <v>283</v>
      </c>
      <c r="AC575" s="217">
        <f t="shared" si="539"/>
        <v>299.34007125587164</v>
      </c>
      <c r="AD575" s="217">
        <f t="shared" si="539"/>
        <v>288.23570201308746</v>
      </c>
      <c r="AE575" s="216">
        <f t="shared" si="539"/>
        <v>1195.5757732689592</v>
      </c>
      <c r="AF575" s="216">
        <f t="shared" si="539"/>
        <v>1316.5563459722189</v>
      </c>
      <c r="AG575" s="216">
        <f t="shared" ref="AG575:AL575" si="540">SUM(AG569:AG574)</f>
        <v>2476.819112754762</v>
      </c>
      <c r="AH575" s="216">
        <f t="shared" si="540"/>
        <v>3006.712993506892</v>
      </c>
      <c r="AI575" s="216">
        <f t="shared" si="540"/>
        <v>3392.6842165284747</v>
      </c>
      <c r="AJ575" s="216">
        <f t="shared" si="540"/>
        <v>3525.7777417083307</v>
      </c>
      <c r="AK575" s="216">
        <f t="shared" si="540"/>
        <v>3525.7777417083307</v>
      </c>
      <c r="AL575" s="216">
        <f t="shared" si="540"/>
        <v>3525.7777417083307</v>
      </c>
      <c r="AM575" s="651"/>
      <c r="CA575" s="509"/>
      <c r="CB575" s="509"/>
    </row>
    <row r="576" spans="2:80" s="83" customFormat="1">
      <c r="B576" s="218"/>
      <c r="C576" s="225"/>
      <c r="D576" s="163"/>
      <c r="E576" s="163"/>
      <c r="G576" s="92"/>
      <c r="H576" s="92"/>
      <c r="I576" s="218"/>
      <c r="J576" s="218"/>
      <c r="K576" s="218"/>
      <c r="L576" s="222"/>
      <c r="M576" s="222"/>
      <c r="N576" s="222"/>
      <c r="O576" s="222"/>
      <c r="P576" s="218"/>
      <c r="Q576" s="222"/>
      <c r="R576" s="222"/>
      <c r="S576" s="222"/>
      <c r="T576" s="222"/>
      <c r="U576" s="92"/>
      <c r="V576" s="222"/>
      <c r="W576" s="222"/>
      <c r="X576" s="222"/>
      <c r="Y576" s="222"/>
      <c r="Z576" s="92"/>
      <c r="AA576" s="222"/>
      <c r="AB576" s="222"/>
      <c r="AC576" s="99"/>
      <c r="AD576" s="99"/>
      <c r="AE576" s="92"/>
      <c r="AF576" s="92"/>
      <c r="AG576" s="92"/>
      <c r="AH576" s="92"/>
      <c r="AI576" s="92"/>
      <c r="AJ576" s="92"/>
      <c r="AK576" s="92"/>
      <c r="AL576" s="92"/>
      <c r="AM576" s="651"/>
      <c r="CA576" s="509"/>
      <c r="CB576" s="509"/>
    </row>
    <row r="577" spans="2:80" s="83" customFormat="1">
      <c r="B577" s="218"/>
      <c r="C577" s="225"/>
      <c r="D577" s="163" t="s">
        <v>529</v>
      </c>
      <c r="E577" s="163"/>
      <c r="G577" s="92"/>
      <c r="H577" s="92"/>
      <c r="I577" s="218"/>
      <c r="J577" s="218"/>
      <c r="K577" s="218"/>
      <c r="L577" s="217">
        <f t="shared" ref="L577:AF577" si="541">L500*2.2046</f>
        <v>155.12116750000001</v>
      </c>
      <c r="M577" s="217">
        <f t="shared" si="541"/>
        <v>144.30760450000002</v>
      </c>
      <c r="N577" s="217">
        <f t="shared" si="541"/>
        <v>136.38757900000002</v>
      </c>
      <c r="O577" s="217">
        <f t="shared" si="541"/>
        <v>142.84154550000002</v>
      </c>
      <c r="P577" s="216">
        <f t="shared" si="541"/>
        <v>576.94381999999996</v>
      </c>
      <c r="Q577" s="217">
        <f t="shared" si="541"/>
        <v>149.43881099999999</v>
      </c>
      <c r="R577" s="217">
        <f t="shared" si="541"/>
        <v>155.83215100000001</v>
      </c>
      <c r="S577" s="217">
        <f t="shared" si="541"/>
        <v>154.773943</v>
      </c>
      <c r="T577" s="217">
        <f t="shared" si="541"/>
        <v>151.35130149999995</v>
      </c>
      <c r="U577" s="216">
        <f t="shared" si="541"/>
        <v>611.39620649999995</v>
      </c>
      <c r="V577" s="217">
        <f t="shared" si="541"/>
        <v>151.74261799999999</v>
      </c>
      <c r="W577" s="217">
        <f>W500*2.2046</f>
        <v>111.38190350000001</v>
      </c>
      <c r="X577" s="217">
        <f t="shared" si="541"/>
        <v>143.24939650000002</v>
      </c>
      <c r="Y577" s="217">
        <f t="shared" si="541"/>
        <v>170.47069500000001</v>
      </c>
      <c r="Z577" s="216">
        <f t="shared" si="541"/>
        <v>576.84461300000009</v>
      </c>
      <c r="AA577" s="217">
        <f t="shared" si="541"/>
        <v>141.2983255</v>
      </c>
      <c r="AB577" s="217">
        <f t="shared" si="541"/>
        <v>138.735478</v>
      </c>
      <c r="AC577" s="217">
        <f t="shared" si="541"/>
        <v>150.419858</v>
      </c>
      <c r="AD577" s="217">
        <f t="shared" si="541"/>
        <v>144.47294949999997</v>
      </c>
      <c r="AE577" s="216">
        <f t="shared" si="541"/>
        <v>577.60520000000008</v>
      </c>
      <c r="AF577" s="216">
        <f t="shared" si="541"/>
        <v>597.44659999999999</v>
      </c>
      <c r="AG577" s="216">
        <f t="shared" ref="AG577:AL577" si="542">AG500*2.2046</f>
        <v>597.44659999999999</v>
      </c>
      <c r="AH577" s="216">
        <f t="shared" si="542"/>
        <v>641.53860000000009</v>
      </c>
      <c r="AI577" s="216">
        <f t="shared" si="542"/>
        <v>641.53860000000009</v>
      </c>
      <c r="AJ577" s="216">
        <f t="shared" si="542"/>
        <v>641.53860000000009</v>
      </c>
      <c r="AK577" s="216">
        <f t="shared" si="542"/>
        <v>641.53860000000009</v>
      </c>
      <c r="AL577" s="216">
        <f t="shared" si="542"/>
        <v>641.53860000000009</v>
      </c>
      <c r="AM577" s="651"/>
      <c r="CA577" s="509"/>
      <c r="CB577" s="509"/>
    </row>
    <row r="578" spans="2:80" s="83" customFormat="1">
      <c r="B578" s="218"/>
      <c r="C578" s="225" t="s">
        <v>65</v>
      </c>
      <c r="D578" s="163" t="s">
        <v>511</v>
      </c>
      <c r="E578" s="163"/>
      <c r="G578" s="92"/>
      <c r="H578" s="92"/>
      <c r="I578" s="218"/>
      <c r="J578" s="218"/>
      <c r="K578" s="218"/>
      <c r="L578" s="449">
        <v>163.69999999999999</v>
      </c>
      <c r="M578" s="449">
        <v>157.9</v>
      </c>
      <c r="N578" s="449">
        <v>148.9</v>
      </c>
      <c r="O578" s="449">
        <v>152.4</v>
      </c>
      <c r="P578" s="220">
        <v>622.9</v>
      </c>
      <c r="Q578" s="449">
        <v>158.4</v>
      </c>
      <c r="R578" s="449">
        <v>162.6</v>
      </c>
      <c r="S578" s="449">
        <v>162.19999999999999</v>
      </c>
      <c r="T578" s="449">
        <f>U578-Q578-R578-S578</f>
        <v>158.50000000000006</v>
      </c>
      <c r="U578" s="220">
        <v>641.70000000000005</v>
      </c>
      <c r="V578" s="449">
        <v>155.80000000000001</v>
      </c>
      <c r="W578" s="449">
        <v>116.4</v>
      </c>
      <c r="X578" s="449">
        <v>146.80000000000001</v>
      </c>
      <c r="Y578" s="449">
        <v>172.7</v>
      </c>
      <c r="Z578" s="113">
        <v>591.70000000000005</v>
      </c>
      <c r="AA578" s="215">
        <v>143.4</v>
      </c>
      <c r="AB578" s="215">
        <v>140.69999999999999</v>
      </c>
      <c r="AC578" s="99"/>
      <c r="AD578" s="99"/>
      <c r="AE578" s="92"/>
      <c r="AF578" s="92"/>
      <c r="AG578" s="92"/>
      <c r="AH578" s="92"/>
      <c r="AI578" s="92"/>
      <c r="AJ578" s="92"/>
      <c r="AK578" s="92"/>
      <c r="AL578" s="92"/>
      <c r="AM578" s="651"/>
      <c r="CA578" s="509"/>
      <c r="CB578" s="509"/>
    </row>
    <row r="579" spans="2:80" s="83" customFormat="1">
      <c r="B579" s="218"/>
      <c r="C579" s="219"/>
      <c r="D579" s="163"/>
      <c r="E579" s="163"/>
      <c r="G579" s="92"/>
      <c r="H579" s="92"/>
      <c r="I579" s="218"/>
      <c r="J579" s="218"/>
      <c r="K579" s="218"/>
      <c r="L579" s="222"/>
      <c r="M579" s="222"/>
      <c r="N579" s="222"/>
      <c r="O579" s="222"/>
      <c r="P579" s="218"/>
      <c r="Q579" s="222"/>
      <c r="R579" s="222"/>
      <c r="S579" s="222"/>
      <c r="T579" s="222"/>
      <c r="U579" s="92"/>
      <c r="V579" s="222"/>
      <c r="W579" s="222"/>
      <c r="X579" s="222"/>
      <c r="Y579" s="222"/>
      <c r="Z579" s="92"/>
      <c r="AA579" s="222"/>
      <c r="AB579" s="99"/>
      <c r="AC579" s="99"/>
      <c r="AD579" s="99"/>
      <c r="AE579" s="92"/>
      <c r="AF579" s="92"/>
      <c r="AG579" s="92"/>
      <c r="AH579" s="92"/>
      <c r="AI579" s="92"/>
      <c r="AJ579" s="92"/>
      <c r="AK579" s="92"/>
      <c r="AL579" s="92"/>
      <c r="AM579" s="651"/>
      <c r="CA579" s="509"/>
      <c r="CB579" s="509"/>
    </row>
    <row r="580" spans="2:80" s="83" customFormat="1">
      <c r="B580" s="224" t="s">
        <v>64</v>
      </c>
      <c r="C580" s="219"/>
      <c r="D580" s="163" t="s">
        <v>512</v>
      </c>
      <c r="E580" s="163"/>
      <c r="G580" s="92"/>
      <c r="H580" s="92"/>
      <c r="I580" s="218"/>
      <c r="J580" s="218"/>
      <c r="K580" s="218"/>
      <c r="L580" s="222"/>
      <c r="M580" s="222"/>
      <c r="N580" s="222"/>
      <c r="O580" s="222"/>
      <c r="P580" s="218"/>
      <c r="Q580" s="222"/>
      <c r="R580" s="222"/>
      <c r="S580" s="222"/>
      <c r="T580" s="222"/>
      <c r="U580" s="92"/>
      <c r="V580" s="222"/>
      <c r="W580" s="222"/>
      <c r="X580" s="222"/>
      <c r="Y580" s="222"/>
      <c r="Z580" s="92"/>
      <c r="AA580" s="222"/>
      <c r="AB580" s="99"/>
      <c r="AC580" s="99"/>
      <c r="AD580" s="99"/>
      <c r="AE580" s="92"/>
      <c r="AF580" s="92"/>
      <c r="AG580" s="92"/>
      <c r="AH580" s="92"/>
      <c r="AI580" s="92"/>
      <c r="AJ580" s="92"/>
      <c r="AK580" s="92"/>
      <c r="AL580" s="92"/>
      <c r="AM580" s="651"/>
      <c r="CA580" s="509"/>
      <c r="CB580" s="509"/>
    </row>
    <row r="581" spans="2:80" s="83" customFormat="1">
      <c r="B581" s="224" t="s">
        <v>64</v>
      </c>
      <c r="C581" s="219"/>
      <c r="D581" s="163" t="s">
        <v>513</v>
      </c>
      <c r="E581" s="163"/>
      <c r="F581" s="83" t="s">
        <v>0</v>
      </c>
      <c r="G581" s="92"/>
      <c r="H581" s="92"/>
      <c r="I581" s="218"/>
      <c r="J581" s="218"/>
      <c r="K581" s="468"/>
      <c r="L581" s="469">
        <f>L575/L578</f>
        <v>3.3903481979230303</v>
      </c>
      <c r="M581" s="469">
        <f>M575/M578</f>
        <v>3.4832172260924636</v>
      </c>
      <c r="N581" s="469">
        <f>N575/N578</f>
        <v>3.6534586971121557</v>
      </c>
      <c r="O581" s="469">
        <f>O575/O578</f>
        <v>3.6417322834645667</v>
      </c>
      <c r="P581" s="468">
        <f t="shared" ref="P581:U581" si="543">P575/P578</f>
        <v>2.0051372611976239</v>
      </c>
      <c r="Q581" s="469">
        <f t="shared" si="543"/>
        <v>2.1906565656565657</v>
      </c>
      <c r="R581" s="469">
        <f t="shared" si="543"/>
        <v>2.0479704797047971</v>
      </c>
      <c r="S581" s="469">
        <f t="shared" si="543"/>
        <v>1.8803945745992603</v>
      </c>
      <c r="T581" s="469">
        <f t="shared" si="543"/>
        <v>1.8107255520504726</v>
      </c>
      <c r="U581" s="468">
        <f t="shared" si="543"/>
        <v>1.9822346891070592</v>
      </c>
      <c r="V581" s="469">
        <f t="shared" ref="V581:AA581" si="544">V575/V578</f>
        <v>1.8292682926829267</v>
      </c>
      <c r="W581" s="469">
        <f t="shared" si="544"/>
        <v>1.9501718213058419</v>
      </c>
      <c r="X581" s="469">
        <f t="shared" si="544"/>
        <v>1.8460490463215258</v>
      </c>
      <c r="Y581" s="469">
        <f t="shared" si="544"/>
        <v>1.8587145338737696</v>
      </c>
      <c r="Z581" s="468">
        <f t="shared" si="544"/>
        <v>1.8691904681426397</v>
      </c>
      <c r="AA581" s="469">
        <f t="shared" si="544"/>
        <v>1.9874476987447698</v>
      </c>
      <c r="AB581" s="469">
        <f t="shared" ref="AB581:AF581" si="545">AB575/AB577</f>
        <v>2.0398531369171482</v>
      </c>
      <c r="AC581" s="469">
        <f t="shared" si="545"/>
        <v>1.9900302741668032</v>
      </c>
      <c r="AD581" s="469">
        <f t="shared" si="545"/>
        <v>1.9950842217219875</v>
      </c>
      <c r="AE581" s="468">
        <f t="shared" si="545"/>
        <v>2.0698840198615924</v>
      </c>
      <c r="AF581" s="468">
        <f t="shared" si="545"/>
        <v>2.2036385276478581</v>
      </c>
      <c r="AG581" s="468">
        <f t="shared" ref="AG581:AL581" si="546">AG575/AG577</f>
        <v>4.1456744632152267</v>
      </c>
      <c r="AH581" s="468">
        <f t="shared" si="546"/>
        <v>4.6867218800347965</v>
      </c>
      <c r="AI581" s="468">
        <f t="shared" si="546"/>
        <v>5.2883555510587739</v>
      </c>
      <c r="AJ581" s="468">
        <f t="shared" si="546"/>
        <v>5.4958154376187656</v>
      </c>
      <c r="AK581" s="468">
        <f t="shared" si="546"/>
        <v>5.4958154376187656</v>
      </c>
      <c r="AL581" s="468">
        <f t="shared" si="546"/>
        <v>5.4958154376187656</v>
      </c>
      <c r="AM581" s="651"/>
      <c r="CA581" s="509"/>
      <c r="CB581" s="509"/>
    </row>
    <row r="582" spans="2:80" s="83" customFormat="1">
      <c r="B582" s="224" t="s">
        <v>64</v>
      </c>
      <c r="C582" s="219"/>
      <c r="D582" s="163" t="s">
        <v>514</v>
      </c>
      <c r="E582" s="163"/>
      <c r="G582" s="92"/>
      <c r="H582" s="92"/>
      <c r="I582" s="218"/>
      <c r="J582" s="218"/>
      <c r="K582" s="468"/>
      <c r="L582" s="469">
        <f>L566/L578</f>
        <v>0.2443494196701283</v>
      </c>
      <c r="M582" s="469">
        <f>M566/M578</f>
        <v>0.253324889170361</v>
      </c>
      <c r="N582" s="469">
        <f>N566/N578</f>
        <v>0.241773002014775</v>
      </c>
      <c r="O582" s="469">
        <f>O566/O578</f>
        <v>0.26902887139107612</v>
      </c>
      <c r="P582" s="468">
        <f t="shared" ref="P582:U582" si="547">P566/P578</f>
        <v>0.2520468775084283</v>
      </c>
      <c r="Q582" s="469">
        <f t="shared" si="547"/>
        <v>0.27146464646464646</v>
      </c>
      <c r="R582" s="469">
        <f t="shared" si="547"/>
        <v>0.25830258302583026</v>
      </c>
      <c r="S582" s="469">
        <f t="shared" si="547"/>
        <v>0.25277435265104808</v>
      </c>
      <c r="T582" s="469">
        <f t="shared" si="547"/>
        <v>0.23974763406940056</v>
      </c>
      <c r="U582" s="468">
        <f t="shared" si="547"/>
        <v>0.25557113916160196</v>
      </c>
      <c r="V582" s="469">
        <f>V566/V578</f>
        <v>0.23748395378690626</v>
      </c>
      <c r="W582" s="469">
        <f>W566/W578</f>
        <v>0.23195876288659792</v>
      </c>
      <c r="X582" s="469">
        <f>X566/X578</f>
        <v>0.24523160762942778</v>
      </c>
      <c r="Y582" s="469">
        <f>Y566/Y578</f>
        <v>0.23161551823972207</v>
      </c>
      <c r="Z582" s="468">
        <f t="shared" ref="Z582" si="548">Z566/Z578</f>
        <v>0.23660638837248604</v>
      </c>
      <c r="AA582" s="469">
        <f>AA566/AA578</f>
        <v>0.20920502092050208</v>
      </c>
      <c r="AB582" s="469">
        <f t="shared" ref="AB582:AF582" si="549">AB566/AB577</f>
        <v>0.20182292520735035</v>
      </c>
      <c r="AC582" s="469">
        <f t="shared" si="549"/>
        <v>0</v>
      </c>
      <c r="AD582" s="469">
        <f t="shared" si="549"/>
        <v>0</v>
      </c>
      <c r="AE582" s="468">
        <f t="shared" si="549"/>
        <v>0</v>
      </c>
      <c r="AF582" s="468">
        <f t="shared" si="549"/>
        <v>0</v>
      </c>
      <c r="AG582" s="468">
        <f t="shared" ref="AG582:AL582" si="550">AG566/AG577</f>
        <v>0</v>
      </c>
      <c r="AH582" s="468">
        <f t="shared" si="550"/>
        <v>0</v>
      </c>
      <c r="AI582" s="468">
        <f t="shared" si="550"/>
        <v>0</v>
      </c>
      <c r="AJ582" s="468">
        <f t="shared" si="550"/>
        <v>0</v>
      </c>
      <c r="AK582" s="468">
        <f t="shared" si="550"/>
        <v>0</v>
      </c>
      <c r="AL582" s="468">
        <f t="shared" si="550"/>
        <v>0</v>
      </c>
      <c r="AM582" s="651"/>
      <c r="CA582" s="509"/>
      <c r="CB582" s="509"/>
    </row>
    <row r="583" spans="2:80" s="83" customFormat="1">
      <c r="B583" s="224" t="s">
        <v>64</v>
      </c>
      <c r="C583" s="219"/>
      <c r="D583" s="163" t="s">
        <v>517</v>
      </c>
      <c r="E583" s="163"/>
      <c r="G583" s="92"/>
      <c r="H583" s="92"/>
      <c r="I583" s="218"/>
      <c r="J583" s="218"/>
      <c r="K583" s="468"/>
      <c r="L583" s="469">
        <f>L581+L582</f>
        <v>3.6346976175931585</v>
      </c>
      <c r="M583" s="469">
        <f>M581+M582</f>
        <v>3.7365421152628246</v>
      </c>
      <c r="N583" s="469">
        <f>N581+N582</f>
        <v>3.8952316991269305</v>
      </c>
      <c r="O583" s="469">
        <f>O581+O582</f>
        <v>3.9107611548556429</v>
      </c>
      <c r="P583" s="468">
        <f t="shared" ref="P583:V583" si="551">P581+P582</f>
        <v>2.2571841387060521</v>
      </c>
      <c r="Q583" s="469">
        <f t="shared" si="551"/>
        <v>2.4621212121212124</v>
      </c>
      <c r="R583" s="469">
        <f t="shared" si="551"/>
        <v>2.3062730627306274</v>
      </c>
      <c r="S583" s="469">
        <f t="shared" si="551"/>
        <v>2.1331689272503085</v>
      </c>
      <c r="T583" s="469">
        <f t="shared" si="551"/>
        <v>2.0504731861198731</v>
      </c>
      <c r="U583" s="468">
        <f t="shared" si="551"/>
        <v>2.237805828268661</v>
      </c>
      <c r="V583" s="469">
        <f t="shared" si="551"/>
        <v>2.0667522464698331</v>
      </c>
      <c r="W583" s="469">
        <f t="shared" ref="W583:Y583" si="552">W581+W582</f>
        <v>2.1821305841924397</v>
      </c>
      <c r="X583" s="469">
        <f t="shared" si="552"/>
        <v>2.0912806539509536</v>
      </c>
      <c r="Y583" s="469">
        <f t="shared" si="552"/>
        <v>2.0903300521134915</v>
      </c>
      <c r="Z583" s="468">
        <f>Z581+Z582</f>
        <v>2.1057968565151257</v>
      </c>
      <c r="AA583" s="469">
        <f t="shared" ref="AA583" si="553">AA581+AA582</f>
        <v>2.1966527196652716</v>
      </c>
      <c r="AB583" s="469">
        <f t="shared" ref="AB583:AL583" si="554">AB581+AB582</f>
        <v>2.2416760621244984</v>
      </c>
      <c r="AC583" s="469">
        <f t="shared" si="554"/>
        <v>1.9900302741668032</v>
      </c>
      <c r="AD583" s="469">
        <f t="shared" si="554"/>
        <v>1.9950842217219875</v>
      </c>
      <c r="AE583" s="468">
        <f t="shared" si="554"/>
        <v>2.0698840198615924</v>
      </c>
      <c r="AF583" s="468">
        <f t="shared" si="554"/>
        <v>2.2036385276478581</v>
      </c>
      <c r="AG583" s="468">
        <f t="shared" si="554"/>
        <v>4.1456744632152267</v>
      </c>
      <c r="AH583" s="468">
        <f t="shared" si="554"/>
        <v>4.6867218800347965</v>
      </c>
      <c r="AI583" s="468">
        <f t="shared" si="554"/>
        <v>5.2883555510587739</v>
      </c>
      <c r="AJ583" s="468">
        <f t="shared" si="554"/>
        <v>5.4958154376187656</v>
      </c>
      <c r="AK583" s="468">
        <f t="shared" si="554"/>
        <v>5.4958154376187656</v>
      </c>
      <c r="AL583" s="468">
        <f t="shared" si="554"/>
        <v>5.4958154376187656</v>
      </c>
      <c r="AM583" s="651"/>
      <c r="CA583" s="509"/>
      <c r="CB583" s="509"/>
    </row>
    <row r="584" spans="2:80" s="83" customFormat="1">
      <c r="B584" s="224" t="s">
        <v>64</v>
      </c>
      <c r="C584" s="219"/>
      <c r="D584" s="163" t="s">
        <v>518</v>
      </c>
      <c r="E584" s="163"/>
      <c r="G584" s="92"/>
      <c r="H584" s="92"/>
      <c r="I584" s="218"/>
      <c r="J584" s="218"/>
      <c r="K584" s="468"/>
      <c r="L584" s="469">
        <f>(L565-L574)/L578</f>
        <v>-0.69028711056811243</v>
      </c>
      <c r="M584" s="469">
        <f>(M565-M574)/M578</f>
        <v>-0.71564281190626977</v>
      </c>
      <c r="N584" s="469">
        <f>(N565-N574)/N578</f>
        <v>-0.59771658831430485</v>
      </c>
      <c r="O584" s="469">
        <f>(O565-O574)/O578</f>
        <v>-0.62992125984251968</v>
      </c>
      <c r="P584" s="468">
        <f>(P565-P574)/P578</f>
        <v>-0.65981698506983466</v>
      </c>
      <c r="Q584" s="469">
        <f t="shared" ref="Q584:V584" si="555">(Q565-Q574)/Q578</f>
        <v>-0.39772727272727271</v>
      </c>
      <c r="R584" s="469">
        <f t="shared" si="555"/>
        <v>-0.45510455104551045</v>
      </c>
      <c r="S584" s="469">
        <f t="shared" si="555"/>
        <v>-0.41307028360049325</v>
      </c>
      <c r="T584" s="469">
        <f t="shared" si="555"/>
        <v>-0.30914826498422704</v>
      </c>
      <c r="U584" s="468">
        <f t="shared" si="555"/>
        <v>-0.39426523297491034</v>
      </c>
      <c r="V584" s="469">
        <f t="shared" si="555"/>
        <v>-0.36585365853658536</v>
      </c>
      <c r="W584" s="469">
        <f t="shared" ref="W584:Y584" si="556">(W565-W574)/W578</f>
        <v>-0.30927835051546393</v>
      </c>
      <c r="X584" s="469">
        <f t="shared" si="556"/>
        <v>-0.41553133514986373</v>
      </c>
      <c r="Y584" s="469">
        <f t="shared" si="556"/>
        <v>-0.43427909669947889</v>
      </c>
      <c r="Z584" s="468">
        <f>(Z565-Z574)/Z578</f>
        <v>-0.38702044955213788</v>
      </c>
      <c r="AA584" s="469">
        <f t="shared" ref="AA584" si="557">(AA565-AA574)/AA578</f>
        <v>-0.45327754532775449</v>
      </c>
      <c r="AB584" s="469">
        <f t="shared" ref="AB584:AF584" si="558">(AB565-AB574)/AB577</f>
        <v>-0.53338915947656873</v>
      </c>
      <c r="AC584" s="469">
        <f t="shared" si="558"/>
        <v>0</v>
      </c>
      <c r="AD584" s="469">
        <f t="shared" si="558"/>
        <v>0</v>
      </c>
      <c r="AE584" s="468">
        <f t="shared" si="558"/>
        <v>1.1151657110989687E-2</v>
      </c>
      <c r="AF584" s="468">
        <f t="shared" si="558"/>
        <v>0</v>
      </c>
      <c r="AG584" s="468">
        <f t="shared" ref="AG584:AL584" si="559">(AG565-AG574)/AG577</f>
        <v>0</v>
      </c>
      <c r="AH584" s="468">
        <f t="shared" si="559"/>
        <v>0</v>
      </c>
      <c r="AI584" s="468">
        <f t="shared" si="559"/>
        <v>0</v>
      </c>
      <c r="AJ584" s="468">
        <f t="shared" si="559"/>
        <v>0</v>
      </c>
      <c r="AK584" s="468">
        <f t="shared" si="559"/>
        <v>0</v>
      </c>
      <c r="AL584" s="468">
        <f t="shared" si="559"/>
        <v>0</v>
      </c>
      <c r="AM584" s="651"/>
      <c r="CA584" s="509"/>
      <c r="CB584" s="509"/>
    </row>
    <row r="585" spans="2:80" s="83" customFormat="1">
      <c r="B585" s="224" t="s">
        <v>64</v>
      </c>
      <c r="C585" s="219"/>
      <c r="D585" s="163" t="s">
        <v>519</v>
      </c>
      <c r="E585" s="163"/>
      <c r="G585" s="92"/>
      <c r="H585" s="92"/>
      <c r="I585" s="218"/>
      <c r="J585" s="218"/>
      <c r="K585" s="468"/>
      <c r="L585" s="469">
        <f>L583+L584</f>
        <v>2.9444105070250459</v>
      </c>
      <c r="M585" s="469">
        <f>M583+M584</f>
        <v>3.020899303356555</v>
      </c>
      <c r="N585" s="469">
        <f>N583+N584</f>
        <v>3.2975151108126255</v>
      </c>
      <c r="O585" s="469">
        <f>O583+O584</f>
        <v>3.2808398950131235</v>
      </c>
      <c r="P585" s="468">
        <f t="shared" ref="P585:V585" si="560">P583+P584</f>
        <v>1.5973671536362173</v>
      </c>
      <c r="Q585" s="469">
        <f t="shared" si="560"/>
        <v>2.0643939393939394</v>
      </c>
      <c r="R585" s="469">
        <f t="shared" si="560"/>
        <v>1.8511685116851169</v>
      </c>
      <c r="S585" s="469">
        <f t="shared" si="560"/>
        <v>1.7200986436498154</v>
      </c>
      <c r="T585" s="469">
        <f t="shared" si="560"/>
        <v>1.7413249211356461</v>
      </c>
      <c r="U585" s="468">
        <f t="shared" si="560"/>
        <v>1.8435405952937507</v>
      </c>
      <c r="V585" s="469">
        <f t="shared" si="560"/>
        <v>1.7008985879332479</v>
      </c>
      <c r="W585" s="469">
        <f t="shared" ref="W585:AA585" si="561">W583+W584</f>
        <v>1.8728522336769757</v>
      </c>
      <c r="X585" s="469">
        <f t="shared" si="561"/>
        <v>1.6757493188010899</v>
      </c>
      <c r="Y585" s="469">
        <f t="shared" si="561"/>
        <v>1.6560509554140126</v>
      </c>
      <c r="Z585" s="468">
        <f t="shared" si="561"/>
        <v>1.7187764069629878</v>
      </c>
      <c r="AA585" s="469">
        <f t="shared" si="561"/>
        <v>1.7433751743375172</v>
      </c>
      <c r="AB585" s="469">
        <f t="shared" ref="AB585:AL585" si="562">AB583+AB584</f>
        <v>1.7082869026479297</v>
      </c>
      <c r="AC585" s="469">
        <f t="shared" si="562"/>
        <v>1.9900302741668032</v>
      </c>
      <c r="AD585" s="469">
        <f t="shared" si="562"/>
        <v>1.9950842217219875</v>
      </c>
      <c r="AE585" s="468">
        <f t="shared" si="562"/>
        <v>2.081035676972582</v>
      </c>
      <c r="AF585" s="468">
        <f t="shared" si="562"/>
        <v>2.2036385276478581</v>
      </c>
      <c r="AG585" s="468">
        <f t="shared" si="562"/>
        <v>4.1456744632152267</v>
      </c>
      <c r="AH585" s="468">
        <f t="shared" si="562"/>
        <v>4.6867218800347965</v>
      </c>
      <c r="AI585" s="468">
        <f t="shared" si="562"/>
        <v>5.2883555510587739</v>
      </c>
      <c r="AJ585" s="468">
        <f t="shared" si="562"/>
        <v>5.4958154376187656</v>
      </c>
      <c r="AK585" s="468">
        <f t="shared" si="562"/>
        <v>5.4958154376187656</v>
      </c>
      <c r="AL585" s="468">
        <f t="shared" si="562"/>
        <v>5.4958154376187656</v>
      </c>
      <c r="AM585" s="651"/>
      <c r="CA585" s="509"/>
      <c r="CB585" s="509"/>
    </row>
    <row r="586" spans="2:80" s="83" customFormat="1">
      <c r="B586" s="212"/>
      <c r="C586" s="213"/>
      <c r="G586" s="94"/>
      <c r="H586" s="94"/>
      <c r="I586" s="94"/>
      <c r="J586" s="94"/>
      <c r="K586" s="94"/>
      <c r="L586" s="101"/>
      <c r="M586" s="101"/>
      <c r="N586" s="101"/>
      <c r="O586" s="101"/>
      <c r="P586" s="94"/>
      <c r="Q586" s="101"/>
      <c r="R586" s="101"/>
      <c r="S586" s="101"/>
      <c r="T586" s="101"/>
      <c r="U586" s="94"/>
      <c r="V586" s="101"/>
      <c r="W586" s="101"/>
      <c r="X586" s="101"/>
      <c r="Y586" s="101"/>
      <c r="Z586" s="94"/>
      <c r="AA586" s="101"/>
      <c r="AB586" s="101"/>
      <c r="AC586" s="101"/>
      <c r="AD586" s="101"/>
      <c r="AE586" s="94"/>
      <c r="AF586" s="94"/>
      <c r="AG586" s="94"/>
      <c r="AH586" s="94"/>
      <c r="AI586" s="94"/>
      <c r="AJ586" s="92"/>
      <c r="AK586" s="92"/>
      <c r="AL586" s="92"/>
      <c r="AM586" s="651"/>
      <c r="CA586" s="509"/>
      <c r="CB586" s="509"/>
    </row>
    <row r="587" spans="2:80" s="83" customFormat="1">
      <c r="B587" s="212"/>
      <c r="C587" s="213"/>
      <c r="G587" s="94"/>
      <c r="H587" s="94"/>
      <c r="I587" s="94"/>
      <c r="J587" s="94"/>
      <c r="K587" s="94"/>
      <c r="L587" s="101"/>
      <c r="M587" s="101"/>
      <c r="N587" s="101"/>
      <c r="O587" s="101"/>
      <c r="P587" s="94"/>
      <c r="Q587" s="101"/>
      <c r="R587" s="101"/>
      <c r="S587" s="101"/>
      <c r="T587" s="101"/>
      <c r="U587" s="94"/>
      <c r="V587" s="101"/>
      <c r="W587" s="101"/>
      <c r="X587" s="101"/>
      <c r="Y587" s="101"/>
      <c r="Z587" s="94"/>
      <c r="AA587" s="101"/>
      <c r="AB587" s="101"/>
      <c r="AC587" s="101"/>
      <c r="AD587" s="101"/>
      <c r="AE587" s="94"/>
      <c r="AF587" s="94"/>
      <c r="AG587" s="94"/>
      <c r="AH587" s="94"/>
      <c r="AI587" s="94"/>
      <c r="AJ587" s="92"/>
      <c r="AK587" s="92"/>
      <c r="AL587" s="92"/>
      <c r="AM587" s="651"/>
      <c r="CA587" s="509"/>
      <c r="CB587" s="509"/>
    </row>
    <row r="588" spans="2:80" s="83" customFormat="1">
      <c r="B588" s="212"/>
      <c r="C588" s="213"/>
      <c r="G588" s="94"/>
      <c r="H588" s="94"/>
      <c r="I588" s="94"/>
      <c r="J588" s="94"/>
      <c r="K588" s="94"/>
      <c r="L588" s="101"/>
      <c r="M588" s="101"/>
      <c r="N588" s="101"/>
      <c r="O588" s="101"/>
      <c r="P588" s="94"/>
      <c r="Q588" s="101"/>
      <c r="R588" s="101"/>
      <c r="S588" s="101"/>
      <c r="T588" s="101"/>
      <c r="U588" s="94"/>
      <c r="V588" s="101"/>
      <c r="W588" s="101"/>
      <c r="X588" s="101"/>
      <c r="Y588" s="101"/>
      <c r="Z588" s="94"/>
      <c r="AA588" s="101"/>
      <c r="AB588" s="101"/>
      <c r="AC588" s="101"/>
      <c r="AD588" s="101"/>
      <c r="AE588" s="94"/>
      <c r="AF588" s="94"/>
      <c r="AG588" s="94"/>
      <c r="AH588" s="94"/>
      <c r="AI588" s="94"/>
      <c r="AJ588" s="92"/>
      <c r="AK588" s="92"/>
      <c r="AL588" s="92"/>
      <c r="AM588" s="651"/>
      <c r="CA588" s="509"/>
      <c r="CB588" s="509"/>
    </row>
    <row r="589" spans="2:80" s="83" customFormat="1" hidden="1">
      <c r="B589" s="218"/>
      <c r="C589" s="219" t="s">
        <v>503</v>
      </c>
      <c r="D589" s="163" t="s">
        <v>502</v>
      </c>
      <c r="E589" s="163"/>
      <c r="G589" s="214" t="e">
        <f ca="1">_xll.BDP($C589,$B$1,$C$1:$C$2,G$1:G$2)</f>
        <v>#NAME?</v>
      </c>
      <c r="H589" s="214" t="e">
        <f ca="1">_xll.BDP($C589,$B$1,$C$1:$C$2,H$1:H$2)</f>
        <v>#NAME?</v>
      </c>
      <c r="I589" s="214" t="e">
        <f ca="1">_xll.BDP($C589,$B$1,$C$1:$C$2,I$1:I$2)</f>
        <v>#NAME?</v>
      </c>
      <c r="J589" s="214" t="e">
        <f ca="1">_xll.BDP($C589,$B$1,$C$1:$C$2,J$1:J$2)</f>
        <v>#NAME?</v>
      </c>
      <c r="K589" s="214" t="e">
        <f ca="1">_xll.BDP($C589,$B$1,$C$1:$C$2,K$1:K$2)</f>
        <v>#NAME?</v>
      </c>
      <c r="L589" s="221"/>
      <c r="M589" s="221"/>
      <c r="N589" s="221"/>
      <c r="O589" s="221"/>
      <c r="P589" s="214" t="e">
        <f ca="1">_xll.BDP($C589,$B$1,$C$1:$C$2,P$1:P$2)</f>
        <v>#NAME?</v>
      </c>
      <c r="Q589" s="221"/>
      <c r="R589" s="221"/>
      <c r="S589" s="221"/>
      <c r="T589" s="221"/>
      <c r="U589" s="92"/>
      <c r="V589" s="221"/>
      <c r="W589" s="221"/>
      <c r="X589" s="221"/>
      <c r="Y589" s="221"/>
      <c r="Z589" s="94"/>
      <c r="AA589" s="221"/>
      <c r="AB589" s="101"/>
      <c r="AC589" s="101"/>
      <c r="AD589" s="101"/>
      <c r="AE589" s="94"/>
      <c r="AF589" s="94"/>
      <c r="AG589" s="94"/>
      <c r="AH589" s="94"/>
      <c r="AI589" s="94"/>
      <c r="AJ589" s="92"/>
      <c r="AK589" s="92"/>
      <c r="AL589" s="92"/>
      <c r="AM589" s="651"/>
      <c r="CA589" s="509"/>
      <c r="CB589" s="509"/>
    </row>
    <row r="590" spans="2:80" s="83" customFormat="1" hidden="1">
      <c r="B590" s="218" t="s">
        <v>147</v>
      </c>
      <c r="C590" s="219" t="s">
        <v>103</v>
      </c>
      <c r="D590" s="163" t="s">
        <v>149</v>
      </c>
      <c r="E590" s="163"/>
      <c r="G590" s="220">
        <v>3.35</v>
      </c>
      <c r="H590" s="220">
        <v>3.12</v>
      </c>
      <c r="I590" s="220">
        <v>2.5</v>
      </c>
      <c r="J590" s="220">
        <v>2.2000000000000002</v>
      </c>
      <c r="K590" s="220">
        <v>2.81</v>
      </c>
      <c r="L590" s="221">
        <v>3.16</v>
      </c>
      <c r="M590" s="221">
        <v>3.14</v>
      </c>
      <c r="N590" s="221">
        <v>2.79</v>
      </c>
      <c r="O590" s="221">
        <v>2.8</v>
      </c>
      <c r="P590" s="220">
        <v>2.97</v>
      </c>
      <c r="Q590" s="221">
        <v>2.84</v>
      </c>
      <c r="R590" s="221">
        <v>2.75</v>
      </c>
      <c r="S590" s="221">
        <v>2.62</v>
      </c>
      <c r="T590" s="221">
        <v>2.7</v>
      </c>
      <c r="U590" s="220">
        <v>2.73</v>
      </c>
      <c r="V590" s="221">
        <v>2.54</v>
      </c>
      <c r="W590" s="221"/>
      <c r="X590" s="221"/>
      <c r="Y590" s="221"/>
      <c r="Z590" s="94"/>
      <c r="AA590" s="221"/>
      <c r="AB590" s="101"/>
      <c r="AC590" s="101"/>
      <c r="AD590" s="101"/>
      <c r="AE590" s="94"/>
      <c r="AF590" s="94"/>
      <c r="AG590" s="94"/>
      <c r="AH590" s="94"/>
      <c r="AI590" s="94"/>
      <c r="AJ590" s="92"/>
      <c r="AK590" s="92"/>
      <c r="AL590" s="92"/>
      <c r="AM590" s="651"/>
      <c r="CA590" s="509"/>
      <c r="CB590" s="509"/>
    </row>
    <row r="591" spans="2:80" s="83" customFormat="1" hidden="1">
      <c r="B591" s="212"/>
      <c r="C591" s="213"/>
      <c r="G591" s="94"/>
      <c r="H591" s="94"/>
      <c r="I591" s="94"/>
      <c r="J591" s="94"/>
      <c r="K591" s="94"/>
      <c r="L591" s="101"/>
      <c r="M591" s="101"/>
      <c r="N591" s="101"/>
      <c r="O591" s="101"/>
      <c r="P591" s="94"/>
      <c r="Q591" s="101"/>
      <c r="R591" s="101"/>
      <c r="S591" s="101"/>
      <c r="T591" s="101"/>
      <c r="U591" s="94"/>
      <c r="V591" s="101"/>
      <c r="W591" s="101"/>
      <c r="X591" s="101"/>
      <c r="Y591" s="101"/>
      <c r="Z591" s="94"/>
      <c r="AA591" s="101"/>
      <c r="AB591" s="101"/>
      <c r="AC591" s="101"/>
      <c r="AD591" s="101"/>
      <c r="AE591" s="94"/>
      <c r="AF591" s="94"/>
      <c r="AG591" s="94"/>
      <c r="AH591" s="94"/>
      <c r="AI591" s="94"/>
      <c r="AJ591" s="92"/>
      <c r="AK591" s="92"/>
      <c r="AL591" s="92"/>
      <c r="AM591" s="651"/>
      <c r="CA591" s="509"/>
      <c r="CB591" s="509"/>
    </row>
    <row r="592" spans="2:80" s="83" customFormat="1" hidden="1">
      <c r="B592" s="212"/>
      <c r="C592" s="213"/>
      <c r="G592" s="94"/>
      <c r="H592" s="94"/>
      <c r="I592" s="94"/>
      <c r="J592" s="94"/>
      <c r="K592" s="94"/>
      <c r="L592" s="101"/>
      <c r="M592" s="101"/>
      <c r="N592" s="101"/>
      <c r="O592" s="101"/>
      <c r="P592" s="94"/>
      <c r="Q592" s="101"/>
      <c r="R592" s="101"/>
      <c r="S592" s="101"/>
      <c r="T592" s="101"/>
      <c r="U592" s="94"/>
      <c r="V592" s="101"/>
      <c r="W592" s="101"/>
      <c r="X592" s="101"/>
      <c r="Y592" s="101"/>
      <c r="Z592" s="94"/>
      <c r="AA592" s="101"/>
      <c r="AB592" s="101"/>
      <c r="AC592" s="101"/>
      <c r="AD592" s="101"/>
      <c r="AE592" s="94"/>
      <c r="AF592" s="94"/>
      <c r="AG592" s="94"/>
      <c r="AH592" s="94"/>
      <c r="AI592" s="94"/>
      <c r="AJ592" s="92"/>
      <c r="AK592" s="92"/>
      <c r="AL592" s="92"/>
      <c r="AM592" s="651"/>
      <c r="CA592" s="509"/>
      <c r="CB592" s="509"/>
    </row>
    <row r="593" spans="1:80" s="83" customFormat="1" hidden="1">
      <c r="B593" s="212"/>
      <c r="C593" s="213"/>
      <c r="G593" s="94"/>
      <c r="H593" s="94"/>
      <c r="I593" s="94"/>
      <c r="J593" s="94"/>
      <c r="K593" s="94"/>
      <c r="L593" s="101"/>
      <c r="M593" s="101"/>
      <c r="N593" s="101"/>
      <c r="O593" s="101"/>
      <c r="P593" s="94"/>
      <c r="Q593" s="101"/>
      <c r="R593" s="101"/>
      <c r="S593" s="101"/>
      <c r="T593" s="101"/>
      <c r="U593" s="94"/>
      <c r="V593" s="101"/>
      <c r="W593" s="101"/>
      <c r="X593" s="101"/>
      <c r="Y593" s="101"/>
      <c r="Z593" s="94"/>
      <c r="AA593" s="101"/>
      <c r="AB593" s="101"/>
      <c r="AC593" s="101"/>
      <c r="AD593" s="101"/>
      <c r="AE593" s="94"/>
      <c r="AF593" s="94"/>
      <c r="AG593" s="94"/>
      <c r="AH593" s="94"/>
      <c r="AI593" s="94"/>
      <c r="AJ593" s="92"/>
      <c r="AK593" s="92"/>
      <c r="AL593" s="92"/>
      <c r="AM593" s="651"/>
      <c r="CA593" s="509"/>
      <c r="CB593" s="509"/>
    </row>
    <row r="594" spans="1:80" s="83" customFormat="1" hidden="1">
      <c r="B594" s="212"/>
      <c r="C594" s="213"/>
      <c r="G594" s="94"/>
      <c r="H594" s="94"/>
      <c r="I594" s="94"/>
      <c r="J594" s="94"/>
      <c r="K594" s="94"/>
      <c r="L594" s="101"/>
      <c r="M594" s="101"/>
      <c r="N594" s="101"/>
      <c r="O594" s="101"/>
      <c r="P594" s="94"/>
      <c r="Q594" s="101"/>
      <c r="R594" s="101"/>
      <c r="S594" s="101"/>
      <c r="T594" s="101"/>
      <c r="U594" s="94"/>
      <c r="V594" s="101"/>
      <c r="W594" s="101"/>
      <c r="X594" s="101"/>
      <c r="Y594" s="101"/>
      <c r="Z594" s="94"/>
      <c r="AA594" s="101"/>
      <c r="AB594" s="101"/>
      <c r="AC594" s="101"/>
      <c r="AD594" s="101"/>
      <c r="AE594" s="94"/>
      <c r="AF594" s="94"/>
      <c r="AG594" s="94"/>
      <c r="AH594" s="94"/>
      <c r="AI594" s="94"/>
      <c r="AJ594" s="92"/>
      <c r="AK594" s="92"/>
      <c r="AL594" s="92"/>
      <c r="AM594" s="651"/>
      <c r="CA594" s="509"/>
      <c r="CB594" s="509"/>
    </row>
    <row r="595" spans="1:80" s="83" customFormat="1" hidden="1">
      <c r="B595" s="244" t="s">
        <v>0</v>
      </c>
      <c r="C595" s="245" t="s">
        <v>0</v>
      </c>
      <c r="D595" s="246" t="s">
        <v>152</v>
      </c>
      <c r="E595" s="246"/>
      <c r="G595" s="92"/>
      <c r="H595" s="92"/>
      <c r="I595" s="92"/>
      <c r="J595" s="92"/>
      <c r="K595" s="92"/>
      <c r="L595" s="99"/>
      <c r="M595" s="99"/>
      <c r="N595" s="99"/>
      <c r="O595" s="99"/>
      <c r="P595" s="92"/>
      <c r="Q595" s="99"/>
      <c r="R595" s="99"/>
      <c r="S595" s="99"/>
      <c r="T595" s="99"/>
      <c r="U595" s="92"/>
      <c r="V595" s="99"/>
      <c r="W595" s="99"/>
      <c r="X595" s="99"/>
      <c r="Y595" s="99"/>
      <c r="Z595" s="92"/>
      <c r="AA595" s="99"/>
      <c r="AB595" s="99"/>
      <c r="AC595" s="99"/>
      <c r="AD595" s="99"/>
      <c r="AE595" s="92"/>
      <c r="AF595" s="92"/>
      <c r="AG595" s="94"/>
      <c r="AH595" s="94"/>
      <c r="AI595" s="94"/>
      <c r="AJ595" s="92"/>
      <c r="AK595" s="92"/>
      <c r="AL595" s="92"/>
      <c r="AM595" s="651"/>
      <c r="CA595" s="509"/>
      <c r="CB595" s="509"/>
    </row>
    <row r="596" spans="1:80" s="83" customFormat="1" hidden="1">
      <c r="B596" s="218" t="s">
        <v>147</v>
      </c>
      <c r="C596" s="219" t="s">
        <v>103</v>
      </c>
      <c r="D596" s="163" t="s">
        <v>153</v>
      </c>
      <c r="E596" s="163"/>
      <c r="G596" s="92"/>
      <c r="H596" s="92"/>
      <c r="I596" s="247">
        <v>1.4</v>
      </c>
      <c r="J596" s="247">
        <v>1.3</v>
      </c>
      <c r="K596" s="247">
        <v>1.52</v>
      </c>
      <c r="L596" s="248"/>
      <c r="M596" s="248"/>
      <c r="N596" s="248"/>
      <c r="O596" s="248"/>
      <c r="P596" s="247">
        <v>1.55</v>
      </c>
      <c r="Q596" s="248"/>
      <c r="R596" s="248"/>
      <c r="S596" s="248"/>
      <c r="T596" s="248"/>
      <c r="U596" s="249"/>
      <c r="V596" s="248"/>
      <c r="W596" s="248"/>
      <c r="X596" s="248"/>
      <c r="Y596" s="248"/>
      <c r="Z596" s="249"/>
      <c r="AA596" s="248"/>
      <c r="AB596" s="1198"/>
      <c r="AC596" s="1198"/>
      <c r="AD596" s="1198"/>
      <c r="AE596" s="249"/>
      <c r="AF596" s="249"/>
      <c r="AG596" s="94"/>
      <c r="AH596" s="94"/>
      <c r="AI596" s="94"/>
      <c r="AJ596" s="92"/>
      <c r="AK596" s="92"/>
      <c r="AL596" s="92"/>
      <c r="AM596" s="651"/>
      <c r="CA596" s="509"/>
      <c r="CB596" s="509"/>
    </row>
    <row r="597" spans="1:80" s="83" customFormat="1" hidden="1">
      <c r="B597" s="218" t="s">
        <v>147</v>
      </c>
      <c r="C597" s="219" t="s">
        <v>103</v>
      </c>
      <c r="D597" s="163" t="s">
        <v>154</v>
      </c>
      <c r="E597" s="163"/>
      <c r="G597" s="92"/>
      <c r="H597" s="92"/>
      <c r="I597" s="247">
        <v>0.24</v>
      </c>
      <c r="J597" s="247">
        <v>0.22</v>
      </c>
      <c r="K597" s="247">
        <v>0.23</v>
      </c>
      <c r="L597" s="248"/>
      <c r="M597" s="248"/>
      <c r="N597" s="248"/>
      <c r="O597" s="248"/>
      <c r="P597" s="247">
        <v>0.19</v>
      </c>
      <c r="Q597" s="248"/>
      <c r="R597" s="248"/>
      <c r="S597" s="248"/>
      <c r="T597" s="248"/>
      <c r="U597" s="249"/>
      <c r="V597" s="248"/>
      <c r="W597" s="248"/>
      <c r="X597" s="248"/>
      <c r="Y597" s="248"/>
      <c r="Z597" s="249"/>
      <c r="AA597" s="248"/>
      <c r="AB597" s="1198"/>
      <c r="AC597" s="1198"/>
      <c r="AD597" s="1198"/>
      <c r="AE597" s="249"/>
      <c r="AF597" s="249"/>
      <c r="AG597" s="94"/>
      <c r="AH597" s="94"/>
      <c r="AI597" s="94"/>
      <c r="AJ597" s="92"/>
      <c r="AK597" s="92"/>
      <c r="AL597" s="92"/>
      <c r="AM597" s="651"/>
      <c r="CA597" s="509"/>
      <c r="CB597" s="509"/>
    </row>
    <row r="598" spans="1:80" s="83" customFormat="1" hidden="1">
      <c r="B598" s="218" t="s">
        <v>147</v>
      </c>
      <c r="C598" s="219" t="s">
        <v>103</v>
      </c>
      <c r="D598" s="163" t="s">
        <v>155</v>
      </c>
      <c r="E598" s="163"/>
      <c r="G598" s="92"/>
      <c r="H598" s="92"/>
      <c r="I598" s="247">
        <v>1.64</v>
      </c>
      <c r="J598" s="247">
        <v>1.52</v>
      </c>
      <c r="K598" s="247">
        <v>1.75</v>
      </c>
      <c r="L598" s="248"/>
      <c r="M598" s="248"/>
      <c r="N598" s="248"/>
      <c r="O598" s="248"/>
      <c r="P598" s="247">
        <v>1.74</v>
      </c>
      <c r="Q598" s="248"/>
      <c r="R598" s="248"/>
      <c r="S598" s="248"/>
      <c r="T598" s="248"/>
      <c r="U598" s="249"/>
      <c r="V598" s="248"/>
      <c r="W598" s="248"/>
      <c r="X598" s="248"/>
      <c r="Y598" s="248"/>
      <c r="Z598" s="249"/>
      <c r="AA598" s="248"/>
      <c r="AB598" s="1198"/>
      <c r="AC598" s="1198"/>
      <c r="AD598" s="1198"/>
      <c r="AE598" s="249"/>
      <c r="AF598" s="249"/>
      <c r="AG598" s="94"/>
      <c r="AH598" s="94"/>
      <c r="AI598" s="94"/>
      <c r="AJ598" s="92"/>
      <c r="AK598" s="92"/>
      <c r="AL598" s="92"/>
      <c r="AM598" s="651"/>
      <c r="CA598" s="509"/>
      <c r="CB598" s="509"/>
    </row>
    <row r="599" spans="1:80" s="83" customFormat="1" hidden="1">
      <c r="B599" s="218" t="s">
        <v>147</v>
      </c>
      <c r="C599" s="219" t="s">
        <v>103</v>
      </c>
      <c r="D599" s="163" t="s">
        <v>156</v>
      </c>
      <c r="E599" s="163"/>
      <c r="G599" s="92"/>
      <c r="H599" s="92"/>
      <c r="I599" s="247">
        <v>-0.19</v>
      </c>
      <c r="J599" s="247">
        <v>-0.17</v>
      </c>
      <c r="K599" s="247">
        <v>-0.42</v>
      </c>
      <c r="L599" s="248"/>
      <c r="M599" s="248"/>
      <c r="N599" s="248"/>
      <c r="O599" s="248"/>
      <c r="P599" s="247">
        <v>-0.51</v>
      </c>
      <c r="Q599" s="248"/>
      <c r="R599" s="248"/>
      <c r="S599" s="248"/>
      <c r="T599" s="248"/>
      <c r="U599" s="249"/>
      <c r="V599" s="248"/>
      <c r="W599" s="248"/>
      <c r="X599" s="248"/>
      <c r="Y599" s="248"/>
      <c r="Z599" s="249"/>
      <c r="AA599" s="248"/>
      <c r="AB599" s="1198"/>
      <c r="AC599" s="1198"/>
      <c r="AD599" s="1198"/>
      <c r="AE599" s="249"/>
      <c r="AF599" s="249"/>
      <c r="AG599" s="94"/>
      <c r="AH599" s="94"/>
      <c r="AI599" s="94"/>
      <c r="AJ599" s="92"/>
      <c r="AK599" s="92"/>
      <c r="AL599" s="92"/>
      <c r="AM599" s="651"/>
      <c r="CA599" s="509"/>
      <c r="CB599" s="509"/>
    </row>
    <row r="600" spans="1:80" s="83" customFormat="1" hidden="1">
      <c r="B600" s="218" t="s">
        <v>147</v>
      </c>
      <c r="C600" s="219" t="s">
        <v>103</v>
      </c>
      <c r="D600" s="163" t="s">
        <v>157</v>
      </c>
      <c r="E600" s="163"/>
      <c r="G600" s="92"/>
      <c r="H600" s="92"/>
      <c r="I600" s="247">
        <v>1.45</v>
      </c>
      <c r="J600" s="247">
        <v>1.35</v>
      </c>
      <c r="K600" s="247">
        <v>1.33</v>
      </c>
      <c r="L600" s="248"/>
      <c r="M600" s="248"/>
      <c r="N600" s="248"/>
      <c r="O600" s="248"/>
      <c r="P600" s="247">
        <v>1.23</v>
      </c>
      <c r="Q600" s="248"/>
      <c r="R600" s="248"/>
      <c r="S600" s="248"/>
      <c r="T600" s="248"/>
      <c r="U600" s="249"/>
      <c r="V600" s="248"/>
      <c r="W600" s="248"/>
      <c r="X600" s="248"/>
      <c r="Y600" s="248"/>
      <c r="Z600" s="249"/>
      <c r="AA600" s="248"/>
      <c r="AB600" s="1198"/>
      <c r="AC600" s="1198"/>
      <c r="AD600" s="1198"/>
      <c r="AE600" s="249"/>
      <c r="AF600" s="249"/>
      <c r="AG600" s="94"/>
      <c r="AH600" s="94"/>
      <c r="AI600" s="94"/>
      <c r="AJ600" s="92"/>
      <c r="AK600" s="92"/>
      <c r="AL600" s="92"/>
      <c r="AM600" s="651"/>
      <c r="CA600" s="509"/>
      <c r="CB600" s="509"/>
    </row>
    <row r="601" spans="1:80" s="83" customFormat="1">
      <c r="B601" s="212"/>
      <c r="C601" s="213"/>
      <c r="G601" s="94"/>
      <c r="H601" s="94"/>
      <c r="I601" s="94"/>
      <c r="J601" s="94"/>
      <c r="K601" s="94"/>
      <c r="L601" s="101"/>
      <c r="M601" s="101"/>
      <c r="N601" s="101"/>
      <c r="O601" s="101"/>
      <c r="P601" s="94"/>
      <c r="Q601" s="101"/>
      <c r="R601" s="101"/>
      <c r="S601" s="101"/>
      <c r="T601" s="101"/>
      <c r="U601" s="94"/>
      <c r="V601" s="101"/>
      <c r="W601" s="101"/>
      <c r="X601" s="101"/>
      <c r="Y601" s="101"/>
      <c r="Z601" s="94"/>
      <c r="AA601" s="101"/>
      <c r="AB601" s="101"/>
      <c r="AC601" s="101"/>
      <c r="AD601" s="101"/>
      <c r="AE601" s="94"/>
      <c r="AF601" s="94"/>
      <c r="AG601" s="94"/>
      <c r="AH601" s="94"/>
      <c r="AI601" s="94"/>
      <c r="AJ601" s="92"/>
      <c r="AK601" s="92"/>
      <c r="AL601" s="92"/>
      <c r="AM601" s="651"/>
      <c r="CA601" s="509"/>
      <c r="CB601" s="509"/>
    </row>
    <row r="602" spans="1:80" s="83" customFormat="1">
      <c r="B602" s="218"/>
      <c r="C602" s="219"/>
      <c r="D602" s="163"/>
      <c r="E602" s="163"/>
      <c r="G602" s="92"/>
      <c r="H602" s="92"/>
      <c r="I602" s="218"/>
      <c r="J602" s="218"/>
      <c r="K602" s="218"/>
      <c r="L602" s="222"/>
      <c r="M602" s="222"/>
      <c r="N602" s="222"/>
      <c r="O602" s="222"/>
      <c r="P602" s="218"/>
      <c r="Q602" s="222"/>
      <c r="R602" s="222"/>
      <c r="S602" s="222"/>
      <c r="T602" s="222"/>
      <c r="U602" s="92"/>
      <c r="V602" s="222"/>
      <c r="W602" s="222"/>
      <c r="X602" s="222"/>
      <c r="Y602" s="222"/>
      <c r="Z602" s="92"/>
      <c r="AA602" s="222"/>
      <c r="AB602" s="99"/>
      <c r="AC602" s="99"/>
      <c r="AD602" s="99"/>
      <c r="AE602" s="92"/>
      <c r="AF602" s="92"/>
      <c r="AG602" s="92"/>
      <c r="AH602" s="92"/>
      <c r="AI602" s="92"/>
      <c r="AJ602" s="92"/>
      <c r="AK602" s="92"/>
      <c r="AL602" s="92"/>
      <c r="AM602" s="651"/>
    </row>
    <row r="603" spans="1:80">
      <c r="A603" s="158"/>
      <c r="B603" s="156" t="s">
        <v>0</v>
      </c>
      <c r="C603" s="157" t="s">
        <v>0</v>
      </c>
      <c r="D603" s="155" t="s">
        <v>199</v>
      </c>
      <c r="E603" s="155"/>
      <c r="F603" s="158"/>
      <c r="G603" s="159" t="s">
        <v>0</v>
      </c>
      <c r="H603" s="159" t="s">
        <v>0</v>
      </c>
      <c r="I603" s="159" t="s">
        <v>0</v>
      </c>
      <c r="J603" s="159" t="s">
        <v>0</v>
      </c>
      <c r="K603" s="159" t="s">
        <v>0</v>
      </c>
      <c r="L603" s="159"/>
      <c r="M603" s="159"/>
      <c r="N603" s="159"/>
      <c r="O603" s="159"/>
      <c r="P603" s="160" t="s">
        <v>0</v>
      </c>
      <c r="Q603" s="159"/>
      <c r="R603" s="159"/>
      <c r="S603" s="159"/>
      <c r="T603" s="159"/>
      <c r="U603" s="158"/>
      <c r="V603" s="158"/>
      <c r="W603" s="158"/>
      <c r="X603" s="158"/>
      <c r="Y603" s="158"/>
      <c r="Z603" s="158"/>
      <c r="AA603" s="158"/>
      <c r="AB603" s="158"/>
      <c r="AC603" s="158"/>
      <c r="AD603" s="158"/>
      <c r="AE603" s="158"/>
      <c r="AF603" s="158"/>
      <c r="AG603" s="158"/>
      <c r="AH603" s="158"/>
      <c r="AI603" s="158"/>
      <c r="AJ603" s="158"/>
      <c r="AK603" s="158"/>
      <c r="AL603" s="158"/>
      <c r="AM603" s="651"/>
      <c r="AN603" s="158"/>
      <c r="AO603" s="158"/>
      <c r="AP603" s="158"/>
      <c r="AQ603" s="158"/>
      <c r="AR603" s="158"/>
      <c r="AS603" s="158"/>
      <c r="AT603" s="158"/>
      <c r="AU603" s="158"/>
    </row>
    <row r="604" spans="1:80" s="83" customFormat="1">
      <c r="B604" s="95"/>
      <c r="C604" s="96"/>
      <c r="D604" s="162"/>
      <c r="E604" s="162"/>
      <c r="G604" s="95"/>
      <c r="H604" s="95"/>
      <c r="I604" s="95"/>
      <c r="J604" s="95"/>
      <c r="K604" s="95"/>
      <c r="L604" s="126"/>
      <c r="M604" s="126"/>
      <c r="N604" s="126"/>
      <c r="O604" s="126"/>
      <c r="P604" s="95"/>
      <c r="Q604" s="126"/>
      <c r="R604" s="126"/>
      <c r="S604" s="126"/>
      <c r="T604" s="126"/>
      <c r="U604" s="92"/>
      <c r="V604" s="99"/>
      <c r="W604" s="99"/>
      <c r="X604" s="99"/>
      <c r="Y604" s="99"/>
      <c r="Z604" s="92"/>
      <c r="AA604" s="99"/>
      <c r="AB604" s="99"/>
      <c r="AC604" s="99"/>
      <c r="AD604" s="99"/>
      <c r="AE604" s="92"/>
      <c r="AF604" s="92"/>
      <c r="AG604" s="92"/>
      <c r="AH604" s="92"/>
      <c r="AI604" s="92"/>
      <c r="AJ604" s="92"/>
      <c r="AK604" s="92"/>
      <c r="AL604" s="92"/>
      <c r="AM604" s="651"/>
      <c r="AN604" s="92"/>
      <c r="AO604" s="92"/>
    </row>
    <row r="605" spans="1:80" s="83" customFormat="1">
      <c r="B605" s="95"/>
      <c r="C605" s="96"/>
      <c r="D605" s="162" t="s">
        <v>717</v>
      </c>
      <c r="E605" s="162"/>
      <c r="G605" s="95"/>
      <c r="H605" s="95"/>
      <c r="I605" s="95"/>
      <c r="J605" s="95"/>
      <c r="K605" s="95"/>
      <c r="L605" s="126"/>
      <c r="M605" s="126"/>
      <c r="N605" s="126"/>
      <c r="O605" s="126"/>
      <c r="P605" s="95"/>
      <c r="Q605" s="126"/>
      <c r="R605" s="126"/>
      <c r="S605" s="126"/>
      <c r="T605" s="126"/>
      <c r="U605" s="92"/>
      <c r="V605" s="99"/>
      <c r="W605" s="99"/>
      <c r="X605" s="99"/>
      <c r="Y605" s="99"/>
      <c r="Z605" s="92"/>
      <c r="AA605" s="99"/>
      <c r="AB605" s="99"/>
      <c r="AC605" s="99"/>
      <c r="AD605" s="99"/>
      <c r="AE605" s="92"/>
      <c r="AF605" s="92"/>
      <c r="AG605" s="92"/>
      <c r="AH605" s="92"/>
      <c r="AI605" s="92"/>
      <c r="AJ605" s="92"/>
      <c r="AK605" s="92"/>
      <c r="AL605" s="92"/>
      <c r="AM605" s="651"/>
      <c r="AN605" s="92"/>
      <c r="AO605" s="92"/>
    </row>
    <row r="606" spans="1:80" s="83" customFormat="1">
      <c r="B606" s="95" t="s">
        <v>699</v>
      </c>
      <c r="C606" s="96"/>
      <c r="D606" s="162" t="s">
        <v>718</v>
      </c>
      <c r="E606" s="162"/>
      <c r="G606" s="90">
        <v>532</v>
      </c>
      <c r="H606" s="90">
        <v>515</v>
      </c>
      <c r="I606" s="90">
        <v>553</v>
      </c>
      <c r="J606" s="90">
        <v>556</v>
      </c>
      <c r="K606" s="90">
        <v>575</v>
      </c>
      <c r="L606" s="91">
        <v>146</v>
      </c>
      <c r="M606" s="91">
        <v>141</v>
      </c>
      <c r="N606" s="91">
        <v>144</v>
      </c>
      <c r="O606" s="91">
        <v>149</v>
      </c>
      <c r="P606" s="90">
        <v>580</v>
      </c>
      <c r="Q606" s="91">
        <v>145</v>
      </c>
      <c r="R606" s="91">
        <v>138</v>
      </c>
      <c r="S606" s="91">
        <v>135</v>
      </c>
      <c r="T606" s="91">
        <v>129</v>
      </c>
      <c r="U606" s="113">
        <v>547</v>
      </c>
      <c r="V606" s="148">
        <v>147</v>
      </c>
      <c r="W606" s="148">
        <v>126</v>
      </c>
      <c r="X606" s="148">
        <v>151</v>
      </c>
      <c r="Y606" s="91">
        <v>143</v>
      </c>
      <c r="Z606" s="113">
        <v>567</v>
      </c>
      <c r="AA606" s="148">
        <v>145</v>
      </c>
      <c r="AB606" s="148">
        <v>110</v>
      </c>
      <c r="AC606" s="99"/>
      <c r="AD606" s="99"/>
      <c r="AE606" s="92"/>
      <c r="AF606" s="92"/>
      <c r="AG606" s="92"/>
      <c r="AH606" s="92"/>
      <c r="AI606" s="92"/>
      <c r="AJ606" s="92"/>
      <c r="AK606" s="92"/>
      <c r="AL606" s="92"/>
      <c r="AM606" s="651"/>
      <c r="AN606" s="92"/>
      <c r="AO606" s="92"/>
    </row>
    <row r="607" spans="1:80" s="83" customFormat="1">
      <c r="B607" s="95" t="s">
        <v>699</v>
      </c>
      <c r="C607" s="96"/>
      <c r="D607" s="162" t="s">
        <v>719</v>
      </c>
      <c r="E607" s="162"/>
      <c r="G607" s="90">
        <v>148</v>
      </c>
      <c r="H607" s="90">
        <v>133</v>
      </c>
      <c r="I607" s="90">
        <v>144</v>
      </c>
      <c r="J607" s="90">
        <v>169</v>
      </c>
      <c r="K607" s="90">
        <v>151</v>
      </c>
      <c r="L607" s="91">
        <v>36</v>
      </c>
      <c r="M607" s="91">
        <v>28</v>
      </c>
      <c r="N607" s="91">
        <v>29</v>
      </c>
      <c r="O607" s="91">
        <v>27</v>
      </c>
      <c r="P607" s="90">
        <v>120</v>
      </c>
      <c r="Q607" s="91">
        <v>32</v>
      </c>
      <c r="R607" s="91">
        <v>28</v>
      </c>
      <c r="S607" s="91">
        <v>27</v>
      </c>
      <c r="T607" s="91">
        <v>30</v>
      </c>
      <c r="U607" s="113">
        <v>117</v>
      </c>
      <c r="V607" s="148">
        <v>33</v>
      </c>
      <c r="W607" s="148">
        <v>29</v>
      </c>
      <c r="X607" s="148">
        <v>28</v>
      </c>
      <c r="Y607" s="91">
        <v>30</v>
      </c>
      <c r="Z607" s="113">
        <v>120</v>
      </c>
      <c r="AA607" s="148">
        <v>34</v>
      </c>
      <c r="AB607" s="148">
        <v>31</v>
      </c>
      <c r="AC607" s="99"/>
      <c r="AD607" s="99"/>
      <c r="AE607" s="92"/>
      <c r="AF607" s="92"/>
      <c r="AG607" s="92"/>
      <c r="AH607" s="92"/>
      <c r="AI607" s="92"/>
      <c r="AJ607" s="92"/>
      <c r="AK607" s="92"/>
      <c r="AL607" s="92"/>
      <c r="AM607" s="651"/>
      <c r="AN607" s="92"/>
      <c r="AO607" s="92"/>
    </row>
    <row r="608" spans="1:80" s="83" customFormat="1">
      <c r="B608" s="95"/>
      <c r="C608" s="96"/>
      <c r="D608" s="162"/>
      <c r="E608" s="162"/>
      <c r="G608" s="95"/>
      <c r="H608" s="95"/>
      <c r="I608" s="95"/>
      <c r="J608" s="95"/>
      <c r="K608" s="95"/>
      <c r="L608" s="126"/>
      <c r="M608" s="126"/>
      <c r="N608" s="126"/>
      <c r="O608" s="126"/>
      <c r="P608" s="95"/>
      <c r="Q608" s="126"/>
      <c r="R608" s="126"/>
      <c r="S608" s="126"/>
      <c r="T608" s="126"/>
      <c r="U608" s="92"/>
      <c r="V608" s="99"/>
      <c r="W608" s="99"/>
      <c r="X608" s="99"/>
      <c r="Y608" s="99"/>
      <c r="Z608" s="92"/>
      <c r="AA608" s="99"/>
      <c r="AB608" s="99"/>
      <c r="AC608" s="99"/>
      <c r="AD608" s="99"/>
      <c r="AE608" s="92"/>
      <c r="AF608" s="92"/>
      <c r="AG608" s="92"/>
      <c r="AH608" s="92"/>
      <c r="AI608" s="92"/>
      <c r="AJ608" s="92"/>
      <c r="AK608" s="92"/>
      <c r="AL608" s="92"/>
      <c r="AM608" s="651"/>
      <c r="AN608" s="92"/>
      <c r="AO608" s="92"/>
    </row>
    <row r="609" spans="2:41" s="83" customFormat="1">
      <c r="B609" s="95"/>
      <c r="C609" s="96"/>
      <c r="D609" s="162"/>
      <c r="E609" s="162"/>
      <c r="G609" s="95"/>
      <c r="H609" s="95"/>
      <c r="I609" s="95"/>
      <c r="J609" s="95"/>
      <c r="K609" s="95"/>
      <c r="L609" s="126"/>
      <c r="M609" s="126"/>
      <c r="N609" s="126"/>
      <c r="O609" s="126"/>
      <c r="P609" s="95"/>
      <c r="Q609" s="126"/>
      <c r="R609" s="126"/>
      <c r="S609" s="126"/>
      <c r="T609" s="126"/>
      <c r="U609" s="92"/>
      <c r="V609" s="99"/>
      <c r="W609" s="99"/>
      <c r="X609" s="99"/>
      <c r="Y609" s="99"/>
      <c r="Z609" s="92"/>
      <c r="AA609" s="99"/>
      <c r="AB609" s="99"/>
      <c r="AC609" s="99"/>
      <c r="AD609" s="99"/>
      <c r="AE609" s="92"/>
      <c r="AF609" s="92"/>
      <c r="AG609" s="92"/>
      <c r="AH609" s="92"/>
      <c r="AI609" s="92"/>
      <c r="AJ609" s="92"/>
      <c r="AK609" s="92"/>
      <c r="AL609" s="92"/>
      <c r="AM609" s="651"/>
      <c r="AN609" s="92"/>
      <c r="AO609" s="92"/>
    </row>
    <row r="610" spans="2:41" s="83" customFormat="1">
      <c r="B610" s="95"/>
      <c r="C610" s="96"/>
      <c r="D610" s="554" t="s">
        <v>597</v>
      </c>
      <c r="E610" s="653"/>
      <c r="F610" s="586"/>
      <c r="G610" s="605"/>
      <c r="H610" s="605"/>
      <c r="I610" s="605"/>
      <c r="J610" s="605"/>
      <c r="K610" s="605"/>
      <c r="L610" s="182"/>
      <c r="M610" s="182"/>
      <c r="N610" s="182"/>
      <c r="O610" s="182"/>
      <c r="P610" s="605"/>
      <c r="Q610" s="182"/>
      <c r="R610" s="182"/>
      <c r="S610" s="182"/>
      <c r="T610" s="182"/>
      <c r="U610" s="588"/>
      <c r="V610" s="705"/>
      <c r="W610" s="705"/>
      <c r="X610" s="705"/>
      <c r="Y610" s="705"/>
      <c r="Z610" s="306"/>
      <c r="AA610" s="705"/>
      <c r="AB610" s="307"/>
      <c r="AC610" s="307"/>
      <c r="AD610" s="307"/>
      <c r="AE610" s="306"/>
      <c r="AF610" s="306"/>
      <c r="AG610" s="306"/>
      <c r="AH610" s="306"/>
      <c r="AI610" s="306"/>
      <c r="AJ610" s="306"/>
      <c r="AK610" s="306"/>
      <c r="AL610" s="306"/>
      <c r="AM610" s="651"/>
      <c r="AN610" s="92"/>
      <c r="AO610" s="92"/>
    </row>
    <row r="611" spans="2:41" s="83" customFormat="1">
      <c r="B611" s="95" t="s">
        <v>598</v>
      </c>
      <c r="C611" s="96"/>
      <c r="D611" s="553" t="s">
        <v>720</v>
      </c>
      <c r="E611" s="162"/>
      <c r="G611" s="85">
        <v>290</v>
      </c>
      <c r="H611" s="85">
        <v>277</v>
      </c>
      <c r="I611" s="85">
        <v>307</v>
      </c>
      <c r="J611" s="85">
        <v>312</v>
      </c>
      <c r="K611" s="85">
        <v>310</v>
      </c>
      <c r="L611" s="91">
        <v>79</v>
      </c>
      <c r="M611" s="91">
        <v>74.599999999999994</v>
      </c>
      <c r="N611" s="91">
        <v>74.7</v>
      </c>
      <c r="O611" s="91">
        <v>74.599999999999994</v>
      </c>
      <c r="P611" s="85">
        <v>302.89999999999998</v>
      </c>
      <c r="Q611" s="91">
        <v>74.2</v>
      </c>
      <c r="R611" s="91">
        <v>74.400000000000006</v>
      </c>
      <c r="S611" s="91">
        <v>71.900000000000006</v>
      </c>
      <c r="T611" s="91">
        <v>66</v>
      </c>
      <c r="U611" s="85">
        <v>287.39999999999998</v>
      </c>
      <c r="V611" s="91">
        <v>78.7</v>
      </c>
      <c r="W611" s="91">
        <v>70</v>
      </c>
      <c r="X611" s="91">
        <v>76.400000000000006</v>
      </c>
      <c r="Y611" s="91">
        <v>80</v>
      </c>
      <c r="Z611" s="1177">
        <v>305.10000000000002</v>
      </c>
      <c r="AA611" s="91">
        <v>73.7</v>
      </c>
      <c r="AB611" s="1194">
        <v>64</v>
      </c>
      <c r="AC611" s="1178">
        <f>AE611*$AC$694</f>
        <v>79.326000000000008</v>
      </c>
      <c r="AD611" s="1178">
        <f>AE611*$AD$694</f>
        <v>88.073999999999998</v>
      </c>
      <c r="AE611" s="1179">
        <f>Z611</f>
        <v>305.10000000000002</v>
      </c>
      <c r="AF611" s="1179">
        <f t="shared" ref="AF611:AL611" si="563">AE611</f>
        <v>305.10000000000002</v>
      </c>
      <c r="AG611" s="1179">
        <f t="shared" si="563"/>
        <v>305.10000000000002</v>
      </c>
      <c r="AH611" s="1179">
        <f t="shared" si="563"/>
        <v>305.10000000000002</v>
      </c>
      <c r="AI611" s="1179">
        <f t="shared" si="563"/>
        <v>305.10000000000002</v>
      </c>
      <c r="AJ611" s="1179">
        <f t="shared" si="563"/>
        <v>305.10000000000002</v>
      </c>
      <c r="AK611" s="1179">
        <f t="shared" si="563"/>
        <v>305.10000000000002</v>
      </c>
      <c r="AL611" s="1179">
        <f t="shared" si="563"/>
        <v>305.10000000000002</v>
      </c>
      <c r="AM611" s="651"/>
      <c r="AN611" s="92"/>
      <c r="AO611" s="92"/>
    </row>
    <row r="612" spans="2:41" s="83" customFormat="1">
      <c r="B612" s="95" t="s">
        <v>598</v>
      </c>
      <c r="C612" s="96"/>
      <c r="D612" s="553" t="s">
        <v>721</v>
      </c>
      <c r="E612" s="162"/>
      <c r="G612" s="85">
        <v>86.4</v>
      </c>
      <c r="H612" s="85">
        <v>82.1</v>
      </c>
      <c r="I612" s="85">
        <v>83.5</v>
      </c>
      <c r="J612" s="85">
        <v>99.2</v>
      </c>
      <c r="K612" s="85">
        <v>87.1</v>
      </c>
      <c r="L612" s="91">
        <v>19.899999999999999</v>
      </c>
      <c r="M612" s="91">
        <v>16.2</v>
      </c>
      <c r="N612" s="91">
        <v>14.9</v>
      </c>
      <c r="O612" s="91">
        <v>10</v>
      </c>
      <c r="P612" s="85">
        <v>61</v>
      </c>
      <c r="Q612" s="91">
        <v>19</v>
      </c>
      <c r="R612" s="91">
        <v>15.9</v>
      </c>
      <c r="S612" s="91">
        <v>17.100000000000001</v>
      </c>
      <c r="T612" s="91">
        <v>17</v>
      </c>
      <c r="U612" s="85">
        <v>69</v>
      </c>
      <c r="V612" s="91">
        <v>19.100000000000001</v>
      </c>
      <c r="W612" s="91">
        <v>17.8</v>
      </c>
      <c r="X612" s="91">
        <v>18.2</v>
      </c>
      <c r="Y612" s="91">
        <v>17.8</v>
      </c>
      <c r="Z612" s="85">
        <v>72.900000000000006</v>
      </c>
      <c r="AA612" s="91">
        <v>19.7</v>
      </c>
      <c r="AB612" s="91">
        <v>19.100000000000001</v>
      </c>
      <c r="AC612" s="87">
        <f>AE612*$AC$694</f>
        <v>18.954000000000001</v>
      </c>
      <c r="AD612" s="87">
        <f>AE612*$AD$694</f>
        <v>21.044230088495574</v>
      </c>
      <c r="AE612" s="312">
        <f>$Z$612</f>
        <v>72.900000000000006</v>
      </c>
      <c r="AF612" s="312">
        <f>AE612</f>
        <v>72.900000000000006</v>
      </c>
      <c r="AG612" s="312">
        <f t="shared" ref="AG612:AL614" si="564">AF612</f>
        <v>72.900000000000006</v>
      </c>
      <c r="AH612" s="312">
        <f t="shared" si="564"/>
        <v>72.900000000000006</v>
      </c>
      <c r="AI612" s="312">
        <f t="shared" si="564"/>
        <v>72.900000000000006</v>
      </c>
      <c r="AJ612" s="312">
        <f t="shared" si="564"/>
        <v>72.900000000000006</v>
      </c>
      <c r="AK612" s="312">
        <f t="shared" si="564"/>
        <v>72.900000000000006</v>
      </c>
      <c r="AL612" s="312">
        <f t="shared" si="564"/>
        <v>72.900000000000006</v>
      </c>
      <c r="AM612" s="651"/>
      <c r="AN612" s="92"/>
      <c r="AO612" s="92"/>
    </row>
    <row r="613" spans="2:41" s="83" customFormat="1">
      <c r="B613" s="95" t="s">
        <v>594</v>
      </c>
      <c r="C613" s="96"/>
      <c r="D613" s="553" t="s">
        <v>723</v>
      </c>
      <c r="E613" s="162"/>
      <c r="G613" s="85">
        <v>22.8</v>
      </c>
      <c r="H613" s="85">
        <v>21</v>
      </c>
      <c r="I613" s="85">
        <v>23.5</v>
      </c>
      <c r="J613" s="85">
        <v>24.2</v>
      </c>
      <c r="K613" s="85">
        <v>21.4</v>
      </c>
      <c r="L613" s="551">
        <v>4.3</v>
      </c>
      <c r="M613" s="551">
        <v>3.3</v>
      </c>
      <c r="N613" s="551">
        <v>3</v>
      </c>
      <c r="O613" s="551">
        <v>1</v>
      </c>
      <c r="P613" s="85">
        <v>11.6</v>
      </c>
      <c r="Q613" s="551">
        <v>2.9</v>
      </c>
      <c r="R613" s="551">
        <v>3.9</v>
      </c>
      <c r="S613" s="86">
        <v>3.5</v>
      </c>
      <c r="T613" s="86">
        <v>3.7</v>
      </c>
      <c r="U613" s="85">
        <v>13.7</v>
      </c>
      <c r="V613" s="551">
        <v>3.3</v>
      </c>
      <c r="W613" s="551">
        <v>2.9</v>
      </c>
      <c r="X613" s="551">
        <v>2.6</v>
      </c>
      <c r="Y613" s="86">
        <v>2.7</v>
      </c>
      <c r="Z613" s="85">
        <v>11.5</v>
      </c>
      <c r="AA613" s="551">
        <v>2.7</v>
      </c>
      <c r="AB613" s="551">
        <v>2.7</v>
      </c>
      <c r="AC613" s="87">
        <f>AE613*$AC$694</f>
        <v>2.99</v>
      </c>
      <c r="AD613" s="87">
        <f>AE613*$AD$694</f>
        <v>3.3197345132743359</v>
      </c>
      <c r="AE613" s="312">
        <f>$Z$613</f>
        <v>11.5</v>
      </c>
      <c r="AF613" s="312">
        <f>AE613</f>
        <v>11.5</v>
      </c>
      <c r="AG613" s="312">
        <f t="shared" si="564"/>
        <v>11.5</v>
      </c>
      <c r="AH613" s="312">
        <f t="shared" si="564"/>
        <v>11.5</v>
      </c>
      <c r="AI613" s="312">
        <f t="shared" si="564"/>
        <v>11.5</v>
      </c>
      <c r="AJ613" s="312">
        <f t="shared" si="564"/>
        <v>11.5</v>
      </c>
      <c r="AK613" s="312">
        <f t="shared" si="564"/>
        <v>11.5</v>
      </c>
      <c r="AL613" s="312">
        <f t="shared" si="564"/>
        <v>11.5</v>
      </c>
      <c r="AM613" s="651"/>
      <c r="AN613" s="92"/>
      <c r="AO613" s="92"/>
    </row>
    <row r="614" spans="2:41" s="83" customFormat="1">
      <c r="B614" s="95" t="s">
        <v>595</v>
      </c>
      <c r="C614" s="96"/>
      <c r="D614" s="553" t="s">
        <v>722</v>
      </c>
      <c r="E614" s="162"/>
      <c r="G614" s="85">
        <v>59.4</v>
      </c>
      <c r="H614" s="85">
        <v>50.7</v>
      </c>
      <c r="I614" s="85">
        <v>56</v>
      </c>
      <c r="J614" s="85">
        <v>47.7</v>
      </c>
      <c r="K614" s="85">
        <v>46.7</v>
      </c>
      <c r="L614" s="86">
        <v>11</v>
      </c>
      <c r="M614" s="86">
        <v>9.8000000000000007</v>
      </c>
      <c r="N614" s="86">
        <v>10.4</v>
      </c>
      <c r="O614" s="86">
        <v>3.3</v>
      </c>
      <c r="P614" s="85">
        <v>34.5</v>
      </c>
      <c r="Q614" s="86">
        <v>7.6</v>
      </c>
      <c r="R614" s="86">
        <v>10.1</v>
      </c>
      <c r="S614" s="86">
        <v>8.8000000000000007</v>
      </c>
      <c r="T614" s="86">
        <v>9.3000000000000007</v>
      </c>
      <c r="U614" s="85">
        <v>35.799999999999997</v>
      </c>
      <c r="V614" s="86">
        <v>10.7</v>
      </c>
      <c r="W614" s="86">
        <v>6.7</v>
      </c>
      <c r="X614" s="86">
        <v>5.6</v>
      </c>
      <c r="Y614" s="86">
        <v>5.9</v>
      </c>
      <c r="Z614" s="85">
        <v>28.9</v>
      </c>
      <c r="AA614" s="86">
        <v>6.7</v>
      </c>
      <c r="AB614" s="86">
        <v>8.1</v>
      </c>
      <c r="AC614" s="87">
        <f>AE614*$AC$694</f>
        <v>7.5140000000000002</v>
      </c>
      <c r="AD614" s="87">
        <f>AE614*$AD$694</f>
        <v>8.3426371681415912</v>
      </c>
      <c r="AE614" s="312">
        <f>$Z$614</f>
        <v>28.9</v>
      </c>
      <c r="AF614" s="312">
        <f>AE614</f>
        <v>28.9</v>
      </c>
      <c r="AG614" s="312">
        <f t="shared" si="564"/>
        <v>28.9</v>
      </c>
      <c r="AH614" s="312">
        <f t="shared" si="564"/>
        <v>28.9</v>
      </c>
      <c r="AI614" s="312">
        <f t="shared" si="564"/>
        <v>28.9</v>
      </c>
      <c r="AJ614" s="312">
        <f t="shared" si="564"/>
        <v>28.9</v>
      </c>
      <c r="AK614" s="312">
        <f t="shared" si="564"/>
        <v>28.9</v>
      </c>
      <c r="AL614" s="312">
        <f t="shared" si="564"/>
        <v>28.9</v>
      </c>
      <c r="AM614" s="651"/>
      <c r="AN614" s="92"/>
      <c r="AO614" s="92"/>
    </row>
    <row r="615" spans="2:41" s="83" customFormat="1">
      <c r="B615" s="95"/>
      <c r="C615" s="96"/>
      <c r="D615" s="162"/>
      <c r="E615" s="162"/>
      <c r="G615" s="95"/>
      <c r="H615" s="95"/>
      <c r="I615" s="95"/>
      <c r="J615" s="95"/>
      <c r="K615" s="95"/>
      <c r="L615" s="126"/>
      <c r="M615" s="126"/>
      <c r="N615" s="126"/>
      <c r="O615" s="126"/>
      <c r="P615" s="95"/>
      <c r="Q615" s="126"/>
      <c r="R615" s="126"/>
      <c r="S615" s="126"/>
      <c r="T615" s="126"/>
      <c r="U615" s="95"/>
      <c r="V615" s="126"/>
      <c r="W615" s="126"/>
      <c r="X615" s="126"/>
      <c r="Y615" s="99"/>
      <c r="Z615" s="92"/>
      <c r="AA615" s="126"/>
      <c r="AB615" s="126"/>
      <c r="AC615" s="99"/>
      <c r="AD615" s="99"/>
      <c r="AE615" s="92"/>
      <c r="AF615" s="92"/>
      <c r="AG615" s="92"/>
      <c r="AH615" s="92"/>
      <c r="AI615" s="92"/>
      <c r="AJ615" s="92"/>
      <c r="AK615" s="92"/>
      <c r="AL615" s="92"/>
      <c r="AM615" s="651"/>
      <c r="AN615" s="92"/>
      <c r="AO615" s="92"/>
    </row>
    <row r="616" spans="2:41" s="83" customFormat="1">
      <c r="B616" s="95"/>
      <c r="C616" s="96"/>
      <c r="D616" s="554" t="s">
        <v>599</v>
      </c>
      <c r="E616" s="653"/>
      <c r="F616" s="586"/>
      <c r="G616" s="605"/>
      <c r="H616" s="605"/>
      <c r="I616" s="605"/>
      <c r="J616" s="605"/>
      <c r="K616" s="605"/>
      <c r="L616" s="182"/>
      <c r="M616" s="182"/>
      <c r="N616" s="182"/>
      <c r="O616" s="182"/>
      <c r="P616" s="605"/>
      <c r="Q616" s="182"/>
      <c r="R616" s="182"/>
      <c r="S616" s="182"/>
      <c r="T616" s="182"/>
      <c r="U616" s="588"/>
      <c r="V616" s="705"/>
      <c r="W616" s="705"/>
      <c r="X616" s="705"/>
      <c r="Y616" s="705"/>
      <c r="Z616" s="588"/>
      <c r="AA616" s="705"/>
      <c r="AB616" s="705"/>
      <c r="AC616" s="705"/>
      <c r="AD616" s="705"/>
      <c r="AE616" s="588"/>
      <c r="AF616" s="588"/>
      <c r="AG616" s="588"/>
      <c r="AH616" s="588"/>
      <c r="AI616" s="588"/>
      <c r="AJ616" s="588"/>
      <c r="AK616" s="588"/>
      <c r="AL616" s="588"/>
      <c r="AM616" s="651"/>
      <c r="AN616" s="92"/>
      <c r="AO616" s="92"/>
    </row>
    <row r="617" spans="2:41" s="83" customFormat="1">
      <c r="B617" s="95" t="s">
        <v>598</v>
      </c>
      <c r="C617" s="96"/>
      <c r="D617" s="553" t="s">
        <v>720</v>
      </c>
      <c r="E617" s="162"/>
      <c r="G617" s="85">
        <v>294</v>
      </c>
      <c r="H617" s="85">
        <v>277</v>
      </c>
      <c r="I617" s="85">
        <v>308</v>
      </c>
      <c r="J617" s="85">
        <v>312</v>
      </c>
      <c r="K617" s="85">
        <v>309</v>
      </c>
      <c r="L617" s="86">
        <v>77.3</v>
      </c>
      <c r="M617" s="86">
        <v>76.900000000000006</v>
      </c>
      <c r="N617" s="86">
        <v>74.400000000000006</v>
      </c>
      <c r="O617" s="86">
        <v>75</v>
      </c>
      <c r="P617" s="85">
        <v>303.60000000000002</v>
      </c>
      <c r="Q617" s="86">
        <v>75.2</v>
      </c>
      <c r="R617" s="86">
        <v>74.400000000000006</v>
      </c>
      <c r="S617" s="86">
        <v>74.400000000000006</v>
      </c>
      <c r="T617" s="86">
        <v>60.3</v>
      </c>
      <c r="U617" s="85">
        <v>284.3</v>
      </c>
      <c r="V617" s="86">
        <v>80.3</v>
      </c>
      <c r="W617" s="86">
        <v>69.5</v>
      </c>
      <c r="X617" s="86">
        <v>77.5</v>
      </c>
      <c r="Y617" s="86">
        <v>79.5</v>
      </c>
      <c r="Z617" s="85">
        <v>306.8</v>
      </c>
      <c r="AA617" s="86">
        <v>69.900000000000006</v>
      </c>
      <c r="AB617" s="86">
        <v>68.599999999999994</v>
      </c>
      <c r="AC617" s="97">
        <f t="shared" ref="AC617:AF617" si="565">AC611</f>
        <v>79.326000000000008</v>
      </c>
      <c r="AD617" s="97">
        <f t="shared" si="565"/>
        <v>88.073999999999998</v>
      </c>
      <c r="AE617" s="130">
        <f t="shared" si="565"/>
        <v>305.10000000000002</v>
      </c>
      <c r="AF617" s="130">
        <f t="shared" si="565"/>
        <v>305.10000000000002</v>
      </c>
      <c r="AG617" s="130">
        <f t="shared" ref="AG617:AL617" si="566">AG611</f>
        <v>305.10000000000002</v>
      </c>
      <c r="AH617" s="130">
        <f t="shared" si="566"/>
        <v>305.10000000000002</v>
      </c>
      <c r="AI617" s="130">
        <f t="shared" si="566"/>
        <v>305.10000000000002</v>
      </c>
      <c r="AJ617" s="130">
        <f t="shared" si="566"/>
        <v>305.10000000000002</v>
      </c>
      <c r="AK617" s="130">
        <f t="shared" si="566"/>
        <v>305.10000000000002</v>
      </c>
      <c r="AL617" s="130">
        <f t="shared" si="566"/>
        <v>305.10000000000002</v>
      </c>
      <c r="AM617" s="651"/>
      <c r="AN617" s="92"/>
      <c r="AO617" s="92"/>
    </row>
    <row r="618" spans="2:41" s="83" customFormat="1">
      <c r="B618" s="95" t="s">
        <v>598</v>
      </c>
      <c r="C618" s="96"/>
      <c r="D618" s="553" t="s">
        <v>721</v>
      </c>
      <c r="E618" s="162"/>
      <c r="G618" s="85">
        <v>85.2</v>
      </c>
      <c r="H618" s="85">
        <v>77.900000000000006</v>
      </c>
      <c r="I618" s="85">
        <v>82.5</v>
      </c>
      <c r="J618" s="85">
        <v>96.8</v>
      </c>
      <c r="K618" s="85">
        <v>85.8</v>
      </c>
      <c r="L618" s="86">
        <v>18.600000000000001</v>
      </c>
      <c r="M618" s="86">
        <v>14.9</v>
      </c>
      <c r="N618" s="86">
        <v>12.4</v>
      </c>
      <c r="O618" s="86">
        <v>11.7</v>
      </c>
      <c r="P618" s="85">
        <v>57.6</v>
      </c>
      <c r="Q618" s="86">
        <v>17.399999999999999</v>
      </c>
      <c r="R618" s="86">
        <v>16.8</v>
      </c>
      <c r="S618" s="86">
        <v>17.899999999999999</v>
      </c>
      <c r="T618" s="86">
        <v>16</v>
      </c>
      <c r="U618" s="85">
        <v>68.099999999999994</v>
      </c>
      <c r="V618" s="86">
        <v>17.2</v>
      </c>
      <c r="W618" s="86">
        <v>19</v>
      </c>
      <c r="X618" s="86">
        <v>16.7</v>
      </c>
      <c r="Y618" s="86">
        <v>17.3</v>
      </c>
      <c r="Z618" s="85">
        <v>70.2</v>
      </c>
      <c r="AA618" s="86">
        <v>17.5</v>
      </c>
      <c r="AB618" s="86">
        <v>19.2</v>
      </c>
      <c r="AC618" s="87">
        <f t="shared" ref="AC618:AD620" si="567">AC612</f>
        <v>18.954000000000001</v>
      </c>
      <c r="AD618" s="87">
        <f t="shared" si="567"/>
        <v>21.044230088495574</v>
      </c>
      <c r="AE618" s="130">
        <f t="shared" ref="AE618:AF620" si="568">AE612</f>
        <v>72.900000000000006</v>
      </c>
      <c r="AF618" s="130">
        <f t="shared" si="568"/>
        <v>72.900000000000006</v>
      </c>
      <c r="AG618" s="130">
        <f t="shared" ref="AG618:AL618" si="569">AG612</f>
        <v>72.900000000000006</v>
      </c>
      <c r="AH618" s="130">
        <f t="shared" si="569"/>
        <v>72.900000000000006</v>
      </c>
      <c r="AI618" s="130">
        <f t="shared" si="569"/>
        <v>72.900000000000006</v>
      </c>
      <c r="AJ618" s="130">
        <f t="shared" si="569"/>
        <v>72.900000000000006</v>
      </c>
      <c r="AK618" s="130">
        <f t="shared" si="569"/>
        <v>72.900000000000006</v>
      </c>
      <c r="AL618" s="130">
        <f t="shared" si="569"/>
        <v>72.900000000000006</v>
      </c>
      <c r="AM618" s="651"/>
      <c r="AN618" s="92"/>
      <c r="AO618" s="92"/>
    </row>
    <row r="619" spans="2:41" s="83" customFormat="1">
      <c r="B619" s="95" t="s">
        <v>594</v>
      </c>
      <c r="C619" s="96"/>
      <c r="D619" s="553" t="s">
        <v>723</v>
      </c>
      <c r="E619" s="162"/>
      <c r="G619" s="85">
        <v>22.5</v>
      </c>
      <c r="H619" s="85">
        <v>20.6</v>
      </c>
      <c r="I619" s="85">
        <v>23.5</v>
      </c>
      <c r="J619" s="85">
        <v>23.9</v>
      </c>
      <c r="K619" s="85">
        <v>21.5</v>
      </c>
      <c r="L619" s="86">
        <v>4.2</v>
      </c>
      <c r="M619" s="86">
        <v>3.2</v>
      </c>
      <c r="N619" s="86">
        <v>3</v>
      </c>
      <c r="O619" s="86">
        <v>1.1000000000000001</v>
      </c>
      <c r="P619" s="85">
        <v>11.5</v>
      </c>
      <c r="Q619" s="86">
        <v>2.9</v>
      </c>
      <c r="R619" s="86">
        <v>3.9</v>
      </c>
      <c r="S619" s="86">
        <v>3.5</v>
      </c>
      <c r="T619" s="86">
        <v>3.4</v>
      </c>
      <c r="U619" s="85">
        <v>13.7</v>
      </c>
      <c r="V619" s="86">
        <v>3.4</v>
      </c>
      <c r="W619" s="86">
        <v>3</v>
      </c>
      <c r="X619" s="86">
        <v>2.6</v>
      </c>
      <c r="Y619" s="86">
        <v>2.5</v>
      </c>
      <c r="Z619" s="85">
        <v>11.5</v>
      </c>
      <c r="AA619" s="86">
        <v>2.7</v>
      </c>
      <c r="AB619" s="86">
        <v>2.7</v>
      </c>
      <c r="AC619" s="87">
        <f t="shared" si="567"/>
        <v>2.99</v>
      </c>
      <c r="AD619" s="87">
        <f t="shared" si="567"/>
        <v>3.3197345132743359</v>
      </c>
      <c r="AE619" s="130">
        <f t="shared" si="568"/>
        <v>11.5</v>
      </c>
      <c r="AF619" s="130">
        <f t="shared" si="568"/>
        <v>11.5</v>
      </c>
      <c r="AG619" s="130">
        <f t="shared" ref="AG619:AL619" si="570">AG613</f>
        <v>11.5</v>
      </c>
      <c r="AH619" s="130">
        <f t="shared" si="570"/>
        <v>11.5</v>
      </c>
      <c r="AI619" s="130">
        <f t="shared" si="570"/>
        <v>11.5</v>
      </c>
      <c r="AJ619" s="130">
        <f t="shared" si="570"/>
        <v>11.5</v>
      </c>
      <c r="AK619" s="130">
        <f t="shared" si="570"/>
        <v>11.5</v>
      </c>
      <c r="AL619" s="130">
        <f t="shared" si="570"/>
        <v>11.5</v>
      </c>
      <c r="AM619" s="651"/>
      <c r="AN619" s="92"/>
      <c r="AO619" s="92"/>
    </row>
    <row r="620" spans="2:41" s="83" customFormat="1">
      <c r="B620" s="95" t="s">
        <v>595</v>
      </c>
      <c r="C620" s="96"/>
      <c r="D620" s="553" t="s">
        <v>724</v>
      </c>
      <c r="E620" s="162"/>
      <c r="G620" s="85">
        <v>62</v>
      </c>
      <c r="H620" s="85">
        <v>49.7</v>
      </c>
      <c r="I620" s="85">
        <v>56.1</v>
      </c>
      <c r="J620" s="85">
        <v>49.9</v>
      </c>
      <c r="K620" s="85">
        <v>46.5</v>
      </c>
      <c r="L620" s="86">
        <v>10.9</v>
      </c>
      <c r="M620" s="86">
        <v>10.5</v>
      </c>
      <c r="N620" s="86">
        <v>10.3</v>
      </c>
      <c r="O620" s="86">
        <v>3.4</v>
      </c>
      <c r="P620" s="85">
        <v>35.1</v>
      </c>
      <c r="Q620" s="86">
        <v>6.6</v>
      </c>
      <c r="R620" s="86">
        <v>10.3</v>
      </c>
      <c r="S620" s="86">
        <v>8.5</v>
      </c>
      <c r="T620" s="86">
        <v>10.6</v>
      </c>
      <c r="U620" s="85">
        <v>36</v>
      </c>
      <c r="V620" s="86">
        <v>10.199999999999999</v>
      </c>
      <c r="W620" s="86">
        <v>6</v>
      </c>
      <c r="X620" s="86">
        <v>5.6</v>
      </c>
      <c r="Y620" s="86">
        <v>5.8</v>
      </c>
      <c r="Z620" s="85">
        <v>28.6</v>
      </c>
      <c r="AA620" s="86">
        <v>6.7</v>
      </c>
      <c r="AB620" s="86">
        <v>7.4</v>
      </c>
      <c r="AC620" s="87">
        <f t="shared" si="567"/>
        <v>7.5140000000000002</v>
      </c>
      <c r="AD620" s="87">
        <f t="shared" si="567"/>
        <v>8.3426371681415912</v>
      </c>
      <c r="AE620" s="130">
        <f t="shared" si="568"/>
        <v>28.9</v>
      </c>
      <c r="AF620" s="130">
        <f t="shared" si="568"/>
        <v>28.9</v>
      </c>
      <c r="AG620" s="130">
        <f t="shared" ref="AG620:AL620" si="571">AG614</f>
        <v>28.9</v>
      </c>
      <c r="AH620" s="130">
        <f t="shared" si="571"/>
        <v>28.9</v>
      </c>
      <c r="AI620" s="130">
        <f t="shared" si="571"/>
        <v>28.9</v>
      </c>
      <c r="AJ620" s="130">
        <f t="shared" si="571"/>
        <v>28.9</v>
      </c>
      <c r="AK620" s="130">
        <f t="shared" si="571"/>
        <v>28.9</v>
      </c>
      <c r="AL620" s="130">
        <f t="shared" si="571"/>
        <v>28.9</v>
      </c>
      <c r="AM620" s="651"/>
      <c r="AN620" s="92"/>
      <c r="AO620" s="92"/>
    </row>
    <row r="621" spans="2:41" s="83" customFormat="1">
      <c r="B621" s="95"/>
      <c r="C621" s="96"/>
      <c r="D621" s="553"/>
      <c r="E621" s="162"/>
      <c r="G621" s="85"/>
      <c r="H621" s="85"/>
      <c r="I621" s="85"/>
      <c r="J621" s="85"/>
      <c r="K621" s="85"/>
      <c r="L621" s="86"/>
      <c r="M621" s="86"/>
      <c r="N621" s="86"/>
      <c r="O621" s="86"/>
      <c r="P621" s="85"/>
      <c r="Q621" s="86"/>
      <c r="R621" s="86"/>
      <c r="S621" s="86"/>
      <c r="T621" s="86"/>
      <c r="U621" s="85"/>
      <c r="V621" s="86"/>
      <c r="W621" s="1013"/>
      <c r="X621" s="1013"/>
      <c r="Y621" s="1013"/>
      <c r="Z621" s="466"/>
      <c r="AA621" s="1013"/>
      <c r="AB621" s="711"/>
      <c r="AC621" s="711"/>
      <c r="AD621" s="711"/>
      <c r="AE621" s="466"/>
      <c r="AF621" s="466"/>
      <c r="AG621" s="201"/>
      <c r="AH621" s="92"/>
      <c r="AI621" s="92"/>
      <c r="AJ621" s="92"/>
      <c r="AK621" s="92"/>
      <c r="AL621" s="92"/>
      <c r="AM621" s="651"/>
      <c r="AN621" s="92"/>
      <c r="AO621" s="92"/>
    </row>
    <row r="622" spans="2:41" s="83" customFormat="1">
      <c r="B622" s="95"/>
      <c r="C622" s="96"/>
      <c r="D622" s="554" t="s">
        <v>725</v>
      </c>
      <c r="E622" s="653"/>
      <c r="F622" s="586"/>
      <c r="G622" s="605"/>
      <c r="H622" s="605"/>
      <c r="I622" s="605"/>
      <c r="J622" s="605"/>
      <c r="K622" s="605"/>
      <c r="L622" s="182"/>
      <c r="M622" s="182"/>
      <c r="N622" s="182"/>
      <c r="O622" s="182"/>
      <c r="P622" s="605"/>
      <c r="Q622" s="182"/>
      <c r="R622" s="182"/>
      <c r="S622" s="182"/>
      <c r="T622" s="182"/>
      <c r="U622" s="588"/>
      <c r="V622" s="705"/>
      <c r="W622" s="705"/>
      <c r="X622" s="705"/>
      <c r="Y622" s="705"/>
      <c r="Z622" s="588"/>
      <c r="AA622" s="705"/>
      <c r="AB622" s="705"/>
      <c r="AC622" s="705"/>
      <c r="AD622" s="705"/>
      <c r="AE622" s="588"/>
      <c r="AF622" s="588"/>
      <c r="AG622" s="588"/>
      <c r="AH622" s="588"/>
      <c r="AI622" s="588"/>
      <c r="AJ622" s="588"/>
      <c r="AK622" s="588"/>
      <c r="AL622" s="588"/>
      <c r="AM622" s="651"/>
      <c r="AN622" s="92"/>
      <c r="AO622" s="92"/>
    </row>
    <row r="623" spans="2:41" s="83" customFormat="1">
      <c r="B623" s="95" t="s">
        <v>618</v>
      </c>
      <c r="C623" s="96"/>
      <c r="D623" s="163" t="s">
        <v>171</v>
      </c>
      <c r="E623" s="162"/>
      <c r="G623" s="589">
        <f t="shared" ref="G623:V623" si="572">G18</f>
        <v>0.87</v>
      </c>
      <c r="H623" s="589">
        <f t="shared" si="572"/>
        <v>0.98</v>
      </c>
      <c r="I623" s="589">
        <f t="shared" si="572"/>
        <v>0.87</v>
      </c>
      <c r="J623" s="589">
        <f t="shared" si="572"/>
        <v>0.95</v>
      </c>
      <c r="K623" s="589">
        <f t="shared" si="572"/>
        <v>1.31</v>
      </c>
      <c r="L623" s="590">
        <f t="shared" si="572"/>
        <v>1.55</v>
      </c>
      <c r="M623" s="590">
        <f t="shared" si="572"/>
        <v>1.41</v>
      </c>
      <c r="N623" s="590">
        <f t="shared" si="572"/>
        <v>1.1499999999999999</v>
      </c>
      <c r="O623" s="590">
        <f t="shared" si="572"/>
        <v>1.19</v>
      </c>
      <c r="P623" s="589">
        <f t="shared" si="572"/>
        <v>1.33</v>
      </c>
      <c r="Q623" s="590">
        <f t="shared" si="572"/>
        <v>1.23</v>
      </c>
      <c r="R623" s="590">
        <f t="shared" si="572"/>
        <v>1.25</v>
      </c>
      <c r="S623" s="590">
        <f t="shared" si="572"/>
        <v>1.07</v>
      </c>
      <c r="T623" s="590">
        <f t="shared" si="572"/>
        <v>1.08</v>
      </c>
      <c r="U623" s="589">
        <f t="shared" si="572"/>
        <v>1.1599999999999999</v>
      </c>
      <c r="V623" s="590">
        <f t="shared" si="572"/>
        <v>0.96526155538419667</v>
      </c>
      <c r="W623" s="590">
        <f>W18</f>
        <v>0.888955058777395</v>
      </c>
      <c r="X623" s="590">
        <f>X18</f>
        <v>1.0572625007216312</v>
      </c>
      <c r="Y623" s="590">
        <f>Y18</f>
        <v>1.1921592919350448</v>
      </c>
      <c r="Z623" s="1011">
        <f>AVERAGE(V623:Y623)</f>
        <v>1.025909601704567</v>
      </c>
      <c r="AA623" s="590">
        <f>AA18</f>
        <v>1.2472190182432403</v>
      </c>
      <c r="AB623" s="590">
        <f>AB18</f>
        <v>1.3218622060032832</v>
      </c>
      <c r="AC623" s="590">
        <f>AC18</f>
        <v>1.2700716683298559</v>
      </c>
      <c r="AD623" s="590">
        <f>AD18</f>
        <v>1.2700716683298559</v>
      </c>
      <c r="AE623" s="1011">
        <f>AVERAGE(AA623:AD623)</f>
        <v>1.2773061402265589</v>
      </c>
      <c r="AF623" s="589">
        <f t="shared" ref="AF623:AL623" si="573">AF18</f>
        <v>1.4065335753176043</v>
      </c>
      <c r="AG623" s="589">
        <f t="shared" si="573"/>
        <v>1.4972776769509981</v>
      </c>
      <c r="AH623" s="589">
        <f t="shared" si="573"/>
        <v>1.4519056261343013</v>
      </c>
      <c r="AI623" s="589">
        <f t="shared" si="573"/>
        <v>1.3611615245009074</v>
      </c>
      <c r="AJ623" s="589">
        <f t="shared" si="573"/>
        <v>1.1567449877528804</v>
      </c>
      <c r="AK623" s="589">
        <f t="shared" si="573"/>
        <v>1.1567449877528804</v>
      </c>
      <c r="AL623" s="589">
        <f t="shared" si="573"/>
        <v>1.1567449877528804</v>
      </c>
      <c r="AM623" s="651"/>
      <c r="AN623" s="92"/>
      <c r="AO623" s="92"/>
    </row>
    <row r="624" spans="2:41" s="83" customFormat="1">
      <c r="B624" s="95" t="s">
        <v>618</v>
      </c>
      <c r="C624" s="96"/>
      <c r="D624" s="163" t="s">
        <v>701</v>
      </c>
      <c r="E624" s="162"/>
      <c r="G624" s="589">
        <f t="shared" ref="G624:V624" si="574">G21</f>
        <v>0.97012785698892701</v>
      </c>
      <c r="H624" s="589">
        <f t="shared" si="574"/>
        <v>0.95060202903092705</v>
      </c>
      <c r="I624" s="589">
        <f t="shared" si="574"/>
        <v>0.80965249089309843</v>
      </c>
      <c r="J624" s="589">
        <f t="shared" si="574"/>
        <v>0.84714963574186797</v>
      </c>
      <c r="K624" s="589">
        <f t="shared" si="574"/>
        <v>1.04994256237679</v>
      </c>
      <c r="L624" s="590">
        <f t="shared" si="574"/>
        <v>1.142353506161</v>
      </c>
      <c r="M624" s="590">
        <f t="shared" si="574"/>
        <v>1.0812417876990341</v>
      </c>
      <c r="N624" s="590">
        <f t="shared" si="574"/>
        <v>0.95106892973782031</v>
      </c>
      <c r="O624" s="590">
        <f t="shared" si="574"/>
        <v>0.89163177277057071</v>
      </c>
      <c r="P624" s="589">
        <f t="shared" si="574"/>
        <v>1.0155656390751782</v>
      </c>
      <c r="Q624" s="590">
        <f t="shared" si="574"/>
        <v>0.92280714638511974</v>
      </c>
      <c r="R624" s="590">
        <f t="shared" si="574"/>
        <v>0.85434441845143461</v>
      </c>
      <c r="S624" s="590">
        <f t="shared" si="574"/>
        <v>0.92034138409898192</v>
      </c>
      <c r="T624" s="590">
        <f t="shared" si="574"/>
        <v>0.92625221128549395</v>
      </c>
      <c r="U624" s="589">
        <f t="shared" si="574"/>
        <v>0.90653830528263057</v>
      </c>
      <c r="V624" s="590">
        <f t="shared" si="574"/>
        <v>0.83585854576793994</v>
      </c>
      <c r="W624" s="590">
        <f>W21</f>
        <v>0.76212750173391153</v>
      </c>
      <c r="X624" s="590">
        <f>X21</f>
        <v>0.84873693846750187</v>
      </c>
      <c r="Y624" s="590">
        <f>Y21</f>
        <v>0.86279668080377425</v>
      </c>
      <c r="Z624" s="1011">
        <f>AVERAGE(V624:Y624)</f>
        <v>0.82737991669328192</v>
      </c>
      <c r="AA624" s="590">
        <f>AA21</f>
        <v>0.91223955970848836</v>
      </c>
      <c r="AB624" s="590">
        <f>AB21</f>
        <v>0.96461036015603763</v>
      </c>
      <c r="AC624" s="590">
        <f>AC21</f>
        <v>0.96389367685747984</v>
      </c>
      <c r="AD624" s="590">
        <f>AD21</f>
        <v>0.96389367685747984</v>
      </c>
      <c r="AE624" s="1011">
        <f>AVERAGE(AA624:AD624)</f>
        <v>0.95115931839487144</v>
      </c>
      <c r="AF624" s="589">
        <f t="shared" ref="AF624:AL624" si="575">AF21</f>
        <v>0.92987390002721582</v>
      </c>
      <c r="AG624" s="589">
        <f t="shared" si="575"/>
        <v>0.9645740723940851</v>
      </c>
      <c r="AH624" s="589">
        <f t="shared" si="575"/>
        <v>0.97523360246756785</v>
      </c>
      <c r="AI624" s="589">
        <f t="shared" si="575"/>
        <v>0.97523360246756785</v>
      </c>
      <c r="AJ624" s="589">
        <f t="shared" si="575"/>
        <v>0.97523360246756785</v>
      </c>
      <c r="AK624" s="589">
        <f t="shared" si="575"/>
        <v>0.97523360246756785</v>
      </c>
      <c r="AL624" s="589">
        <f t="shared" si="575"/>
        <v>0.97523360246756785</v>
      </c>
      <c r="AM624" s="651"/>
      <c r="AN624" s="92"/>
      <c r="AO624" s="92"/>
    </row>
    <row r="625" spans="2:41" s="83" customFormat="1">
      <c r="B625" s="95" t="s">
        <v>727</v>
      </c>
      <c r="C625" s="96"/>
      <c r="D625" s="163" t="s">
        <v>726</v>
      </c>
      <c r="E625" s="162"/>
      <c r="G625" s="589">
        <f t="shared" ref="G625:V625" si="576">G20</f>
        <v>23.849799999999998</v>
      </c>
      <c r="H625" s="589">
        <f t="shared" si="576"/>
        <v>19.067299999999999</v>
      </c>
      <c r="I625" s="589">
        <f t="shared" si="576"/>
        <v>15.707800000000001</v>
      </c>
      <c r="J625" s="589">
        <f t="shared" si="576"/>
        <v>17.112200000000001</v>
      </c>
      <c r="K625" s="589">
        <f t="shared" si="576"/>
        <v>17.077200000000001</v>
      </c>
      <c r="L625" s="590">
        <f t="shared" si="576"/>
        <v>16.753499999999999</v>
      </c>
      <c r="M625" s="590">
        <f t="shared" si="576"/>
        <v>16.536300000000001</v>
      </c>
      <c r="N625" s="590">
        <f t="shared" si="576"/>
        <v>15.0009</v>
      </c>
      <c r="O625" s="590">
        <f t="shared" si="576"/>
        <v>14.554</v>
      </c>
      <c r="P625" s="589">
        <f t="shared" si="576"/>
        <v>15.7027</v>
      </c>
      <c r="Q625" s="590">
        <f t="shared" si="576"/>
        <v>15.5662</v>
      </c>
      <c r="R625" s="590">
        <f t="shared" si="576"/>
        <v>14.9009</v>
      </c>
      <c r="S625" s="590">
        <f t="shared" si="576"/>
        <v>16.9999</v>
      </c>
      <c r="T625" s="590">
        <f t="shared" si="576"/>
        <v>17.334900000000001</v>
      </c>
      <c r="U625" s="589">
        <f t="shared" si="576"/>
        <v>16.2103</v>
      </c>
      <c r="V625" s="590">
        <f t="shared" si="576"/>
        <v>16.8947</v>
      </c>
      <c r="W625" s="590">
        <f>W20</f>
        <v>16.347899999999999</v>
      </c>
      <c r="X625" s="590">
        <f>X20</f>
        <v>24.272500000000001</v>
      </c>
      <c r="Y625" s="590">
        <f>Y20</f>
        <v>24.4404</v>
      </c>
      <c r="Z625" s="1011">
        <f>AVERAGE(V625:Y625)</f>
        <v>20.488875</v>
      </c>
      <c r="AA625" s="590">
        <f>AA20</f>
        <v>26.249600000000001</v>
      </c>
      <c r="AB625" s="590">
        <f>AB20</f>
        <v>26.6508</v>
      </c>
      <c r="AC625" s="590">
        <f>AC20</f>
        <v>25.41</v>
      </c>
      <c r="AD625" s="590">
        <f>AD20</f>
        <v>25.41</v>
      </c>
      <c r="AE625" s="1011">
        <f>AVERAGE(AA625:AD625)</f>
        <v>25.930099999999999</v>
      </c>
      <c r="AF625" s="589">
        <f t="shared" ref="AF625:AL625" si="577">AF20</f>
        <v>24</v>
      </c>
      <c r="AG625" s="589">
        <f t="shared" si="577"/>
        <v>21.2</v>
      </c>
      <c r="AH625" s="589">
        <f t="shared" si="577"/>
        <v>21.95</v>
      </c>
      <c r="AI625" s="589">
        <f t="shared" si="577"/>
        <v>21.95</v>
      </c>
      <c r="AJ625" s="589">
        <f t="shared" si="577"/>
        <v>21.95</v>
      </c>
      <c r="AK625" s="589">
        <f t="shared" si="577"/>
        <v>21.95</v>
      </c>
      <c r="AL625" s="589">
        <f t="shared" si="577"/>
        <v>21.95</v>
      </c>
      <c r="AM625" s="651"/>
      <c r="AN625" s="92"/>
      <c r="AO625" s="92"/>
    </row>
    <row r="626" spans="2:41" s="83" customFormat="1">
      <c r="B626" s="95" t="s">
        <v>727</v>
      </c>
      <c r="C626" s="96"/>
      <c r="D626" s="163" t="s">
        <v>683</v>
      </c>
      <c r="E626" s="162"/>
      <c r="G626" s="669">
        <f t="shared" ref="G626:V626" si="578">G19</f>
        <v>1411.2257</v>
      </c>
      <c r="H626" s="669">
        <f t="shared" si="578"/>
        <v>1266.4023999999999</v>
      </c>
      <c r="I626" s="669">
        <f t="shared" si="578"/>
        <v>1160.0624</v>
      </c>
      <c r="J626" s="669">
        <f t="shared" si="578"/>
        <v>1250.798</v>
      </c>
      <c r="K626" s="669">
        <f t="shared" si="578"/>
        <v>1257.1454000000001</v>
      </c>
      <c r="L626" s="671">
        <f t="shared" si="578"/>
        <v>1329.2849000000001</v>
      </c>
      <c r="M626" s="671">
        <f t="shared" si="578"/>
        <v>1305.9879000000001</v>
      </c>
      <c r="N626" s="671">
        <f t="shared" si="578"/>
        <v>1213.1938</v>
      </c>
      <c r="O626" s="671">
        <f t="shared" si="578"/>
        <v>1226.2831000000001</v>
      </c>
      <c r="P626" s="669">
        <f t="shared" si="578"/>
        <v>1268.4866999999999</v>
      </c>
      <c r="Q626" s="671">
        <f t="shared" si="578"/>
        <v>1303.7864999999999</v>
      </c>
      <c r="R626" s="671">
        <f t="shared" si="578"/>
        <v>1309.3877</v>
      </c>
      <c r="S626" s="671">
        <f t="shared" si="578"/>
        <v>1472.4746</v>
      </c>
      <c r="T626" s="671">
        <f t="shared" si="578"/>
        <v>1480.9604999999999</v>
      </c>
      <c r="U626" s="669">
        <f t="shared" si="578"/>
        <v>1392.596</v>
      </c>
      <c r="V626" s="671">
        <f t="shared" si="578"/>
        <v>1582.8008</v>
      </c>
      <c r="W626" s="671">
        <f>W19</f>
        <v>1709.4774</v>
      </c>
      <c r="X626" s="671">
        <f>X19</f>
        <v>1906.4287999999999</v>
      </c>
      <c r="Y626" s="671">
        <f>Y19</f>
        <v>1874.2347</v>
      </c>
      <c r="Z626" s="1012">
        <f>AVERAGE(V626:Y626)</f>
        <v>1768.2354249999999</v>
      </c>
      <c r="AA626" s="671">
        <f>AA19</f>
        <v>1794.0071</v>
      </c>
      <c r="AB626" s="671">
        <f>AB19</f>
        <v>1814.4565</v>
      </c>
      <c r="AC626" s="671">
        <f>AC19</f>
        <v>1780</v>
      </c>
      <c r="AD626" s="671">
        <f>AD19</f>
        <v>1780</v>
      </c>
      <c r="AE626" s="1012">
        <f>AVERAGE(AA626:AD626)</f>
        <v>1792.1159</v>
      </c>
      <c r="AF626" s="669">
        <f t="shared" ref="AF626:AL626" si="579">AF19</f>
        <v>1740</v>
      </c>
      <c r="AG626" s="669">
        <f t="shared" si="579"/>
        <v>1690</v>
      </c>
      <c r="AH626" s="669">
        <f t="shared" si="579"/>
        <v>1660</v>
      </c>
      <c r="AI626" s="669">
        <f t="shared" si="579"/>
        <v>1660</v>
      </c>
      <c r="AJ626" s="669">
        <f t="shared" si="579"/>
        <v>1660</v>
      </c>
      <c r="AK626" s="669">
        <f t="shared" si="579"/>
        <v>1660</v>
      </c>
      <c r="AL626" s="669">
        <f t="shared" si="579"/>
        <v>1660</v>
      </c>
      <c r="AM626" s="651"/>
      <c r="AN626" s="92"/>
      <c r="AO626" s="92"/>
    </row>
    <row r="627" spans="2:41" s="83" customFormat="1">
      <c r="B627" s="95" t="s">
        <v>619</v>
      </c>
      <c r="C627" s="96"/>
      <c r="D627" s="163" t="s">
        <v>620</v>
      </c>
      <c r="E627" s="162"/>
      <c r="G627" s="589">
        <f t="shared" ref="G627:V627" si="580">G23</f>
        <v>1.03</v>
      </c>
      <c r="H627" s="589">
        <f t="shared" si="580"/>
        <v>1.1046</v>
      </c>
      <c r="I627" s="589">
        <f t="shared" si="580"/>
        <v>1.2789999999999999</v>
      </c>
      <c r="J627" s="589">
        <f t="shared" si="580"/>
        <v>1.3248</v>
      </c>
      <c r="K627" s="589">
        <f t="shared" si="580"/>
        <v>1.2982</v>
      </c>
      <c r="L627" s="590">
        <f t="shared" si="580"/>
        <v>1.2647999999999999</v>
      </c>
      <c r="M627" s="590">
        <f t="shared" si="580"/>
        <v>1.2907999999999999</v>
      </c>
      <c r="N627" s="590">
        <f t="shared" si="580"/>
        <v>1.3068</v>
      </c>
      <c r="O627" s="590">
        <f t="shared" si="580"/>
        <v>1.3218000000000001</v>
      </c>
      <c r="P627" s="589">
        <f t="shared" si="580"/>
        <v>1.2961</v>
      </c>
      <c r="Q627" s="590">
        <f t="shared" si="580"/>
        <v>1.3295999999999999</v>
      </c>
      <c r="R627" s="590">
        <f t="shared" si="580"/>
        <v>1.3376999999999999</v>
      </c>
      <c r="S627" s="590">
        <f t="shared" si="580"/>
        <v>1.3204</v>
      </c>
      <c r="T627" s="590">
        <f t="shared" si="580"/>
        <v>1.3198000000000001</v>
      </c>
      <c r="U627" s="589">
        <f t="shared" si="580"/>
        <v>1.3268</v>
      </c>
      <c r="V627" s="590">
        <f t="shared" si="580"/>
        <v>1.3436999999999999</v>
      </c>
      <c r="W627" s="590">
        <f>W23</f>
        <v>1.3858999999999999</v>
      </c>
      <c r="X627" s="590">
        <f>X23</f>
        <v>1.3326</v>
      </c>
      <c r="Y627" s="590">
        <f>Y23</f>
        <v>1.3027</v>
      </c>
      <c r="Z627" s="1011">
        <f>AVERAGE(V627:Y627)</f>
        <v>1.3412249999999999</v>
      </c>
      <c r="AA627" s="590">
        <f>AA23</f>
        <v>1.266</v>
      </c>
      <c r="AB627" s="590">
        <f>AB23</f>
        <v>1.2287999999999999</v>
      </c>
      <c r="AC627" s="590">
        <f>AC23</f>
        <v>1.24</v>
      </c>
      <c r="AD627" s="590">
        <f>AD23</f>
        <v>1.24</v>
      </c>
      <c r="AE627" s="1011">
        <f>AVERAGE(AA627:AD627)</f>
        <v>1.2437</v>
      </c>
      <c r="AF627" s="589">
        <f t="shared" ref="AF627:AL627" si="581">AF23</f>
        <v>1.22</v>
      </c>
      <c r="AG627" s="589">
        <f t="shared" si="581"/>
        <v>1.22</v>
      </c>
      <c r="AH627" s="589">
        <f t="shared" si="581"/>
        <v>1.23</v>
      </c>
      <c r="AI627" s="589">
        <f t="shared" si="581"/>
        <v>1.23</v>
      </c>
      <c r="AJ627" s="589">
        <f t="shared" si="581"/>
        <v>1.23</v>
      </c>
      <c r="AK627" s="589">
        <f t="shared" si="581"/>
        <v>1.23</v>
      </c>
      <c r="AL627" s="589">
        <f t="shared" si="581"/>
        <v>1.23</v>
      </c>
      <c r="AM627" s="651"/>
      <c r="AN627" s="92"/>
      <c r="AO627" s="92"/>
    </row>
    <row r="628" spans="2:41" s="83" customFormat="1">
      <c r="B628" s="95"/>
      <c r="C628" s="96"/>
      <c r="D628" s="163"/>
      <c r="E628" s="162"/>
      <c r="G628" s="589"/>
      <c r="H628" s="589"/>
      <c r="I628" s="589"/>
      <c r="J628" s="589"/>
      <c r="K628" s="589"/>
      <c r="L628" s="590"/>
      <c r="M628" s="590"/>
      <c r="N628" s="590"/>
      <c r="O628" s="590"/>
      <c r="P628" s="589"/>
      <c r="Q628" s="590"/>
      <c r="R628" s="590"/>
      <c r="S628" s="590"/>
      <c r="T628" s="590"/>
      <c r="U628" s="589"/>
      <c r="V628" s="590"/>
      <c r="W628" s="1013"/>
      <c r="X628" s="1013"/>
      <c r="Y628" s="1013"/>
      <c r="Z628" s="466"/>
      <c r="AA628" s="711"/>
      <c r="AB628" s="711"/>
      <c r="AC628" s="711"/>
      <c r="AD628" s="711"/>
      <c r="AE628" s="466"/>
      <c r="AF628" s="466"/>
      <c r="AG628" s="201"/>
      <c r="AH628" s="92"/>
      <c r="AI628" s="92"/>
      <c r="AJ628" s="92"/>
      <c r="AK628" s="92"/>
      <c r="AL628" s="92"/>
      <c r="AM628" s="651"/>
      <c r="AN628" s="92"/>
      <c r="AO628" s="92"/>
    </row>
    <row r="629" spans="2:41" s="83" customFormat="1">
      <c r="B629" s="95"/>
      <c r="C629" s="96"/>
      <c r="D629" s="554" t="s">
        <v>729</v>
      </c>
      <c r="E629" s="653"/>
      <c r="F629" s="586"/>
      <c r="G629" s="605"/>
      <c r="H629" s="605"/>
      <c r="I629" s="605"/>
      <c r="J629" s="605"/>
      <c r="K629" s="605"/>
      <c r="L629" s="182"/>
      <c r="M629" s="182"/>
      <c r="N629" s="182"/>
      <c r="O629" s="182"/>
      <c r="P629" s="605"/>
      <c r="Q629" s="182"/>
      <c r="R629" s="182"/>
      <c r="S629" s="182"/>
      <c r="T629" s="182"/>
      <c r="U629" s="588"/>
      <c r="V629" s="705"/>
      <c r="W629" s="705"/>
      <c r="X629" s="705"/>
      <c r="Y629" s="705"/>
      <c r="Z629" s="588"/>
      <c r="AA629" s="705"/>
      <c r="AB629" s="705"/>
      <c r="AC629" s="705"/>
      <c r="AD629" s="705"/>
      <c r="AE629" s="588"/>
      <c r="AF629" s="588"/>
      <c r="AG629" s="588"/>
      <c r="AH629" s="588"/>
      <c r="AI629" s="588"/>
      <c r="AJ629" s="588"/>
      <c r="AK629" s="588"/>
      <c r="AL629" s="588"/>
      <c r="AM629" s="651"/>
      <c r="AN629" s="92"/>
      <c r="AO629" s="92"/>
    </row>
    <row r="630" spans="2:41" s="83" customFormat="1">
      <c r="B630" s="95" t="s">
        <v>633</v>
      </c>
      <c r="C630" s="96"/>
      <c r="D630" s="163" t="s">
        <v>171</v>
      </c>
      <c r="E630" s="162"/>
      <c r="G630" s="712">
        <f>((G617*1000)*(G623*2204.6))/1000000</f>
        <v>563.89258800000005</v>
      </c>
      <c r="H630" s="712">
        <f t="shared" ref="H630:T630" si="582">((H617*1000)*(H623*2204.6))/1000000</f>
        <v>598.46071600000005</v>
      </c>
      <c r="I630" s="712">
        <f t="shared" si="582"/>
        <v>590.74461599999995</v>
      </c>
      <c r="J630" s="712">
        <f t="shared" si="582"/>
        <v>653.44344000000001</v>
      </c>
      <c r="K630" s="712">
        <f t="shared" si="582"/>
        <v>892.40003400000001</v>
      </c>
      <c r="L630" s="716">
        <f t="shared" si="582"/>
        <v>264.14414900000003</v>
      </c>
      <c r="M630" s="716">
        <f t="shared" si="582"/>
        <v>239.04257339999998</v>
      </c>
      <c r="N630" s="716">
        <f t="shared" si="582"/>
        <v>188.62557599999997</v>
      </c>
      <c r="O630" s="716">
        <f t="shared" si="582"/>
        <v>196.76054999999997</v>
      </c>
      <c r="P630" s="712">
        <f t="shared" si="582"/>
        <v>890.19102479999992</v>
      </c>
      <c r="Q630" s="716">
        <f t="shared" si="582"/>
        <v>203.9166816</v>
      </c>
      <c r="R630" s="716">
        <f t="shared" si="582"/>
        <v>205.02780000000001</v>
      </c>
      <c r="S630" s="716">
        <f t="shared" si="582"/>
        <v>175.5037968</v>
      </c>
      <c r="T630" s="716">
        <f t="shared" si="582"/>
        <v>143.57237039999998</v>
      </c>
      <c r="U630" s="712">
        <f>((U617*1000)*(U623*2204.6))/1000000</f>
        <v>727.05062479999992</v>
      </c>
      <c r="V630" s="718">
        <f>((V617*1000)*(V623*2204.6))/1000000</f>
        <v>170.87965468749999</v>
      </c>
      <c r="W630" s="718">
        <f>((W617*1000)*(W623*2204.6))/1000000</f>
        <v>136.20542741935483</v>
      </c>
      <c r="X630" s="718">
        <f>((X617*1000)*(X623*2204.6))/1000000</f>
        <v>180.64017045454537</v>
      </c>
      <c r="Y630" s="718">
        <f>((Y617*1000)*(Y623*2204.6))/1000000</f>
        <v>208.94463281249998</v>
      </c>
      <c r="Z630" s="351">
        <f>SUM(V630:Y630)</f>
        <v>696.66988537390023</v>
      </c>
      <c r="AA630" s="718">
        <f>((AA617*1000)*(AA623*2204.6))/1000000</f>
        <v>192.19837142857142</v>
      </c>
      <c r="AB630" s="718">
        <f t="shared" ref="AB630:AD631" si="583">((AB617*1000)*(AB623*2204.6))/1000000</f>
        <v>199.91257096774191</v>
      </c>
      <c r="AC630" s="718">
        <f t="shared" si="583"/>
        <v>222.11280000000002</v>
      </c>
      <c r="AD630" s="718">
        <f t="shared" si="583"/>
        <v>246.60720000000001</v>
      </c>
      <c r="AE630" s="351">
        <f>SUM(AA630:AD630)</f>
        <v>860.83094239631339</v>
      </c>
      <c r="AF630" s="712">
        <f t="shared" ref="AF630:AL631" si="584">((AF617*1000)*(AF623*2204.6))/1000000</f>
        <v>946.06748003629752</v>
      </c>
      <c r="AG630" s="712">
        <f t="shared" si="584"/>
        <v>1007.1040916515425</v>
      </c>
      <c r="AH630" s="712">
        <f t="shared" si="584"/>
        <v>976.58578584392023</v>
      </c>
      <c r="AI630" s="712">
        <f t="shared" si="584"/>
        <v>915.54917422867516</v>
      </c>
      <c r="AJ630" s="712">
        <f t="shared" si="584"/>
        <v>778.05381599999998</v>
      </c>
      <c r="AK630" s="712">
        <f t="shared" si="584"/>
        <v>778.05381599999998</v>
      </c>
      <c r="AL630" s="712">
        <f t="shared" si="584"/>
        <v>778.05381599999998</v>
      </c>
      <c r="AM630" s="651"/>
      <c r="AN630" s="92"/>
      <c r="AO630" s="92"/>
    </row>
    <row r="631" spans="2:41" s="83" customFormat="1">
      <c r="B631" s="95" t="s">
        <v>633</v>
      </c>
      <c r="C631" s="96"/>
      <c r="D631" s="163" t="s">
        <v>701</v>
      </c>
      <c r="E631" s="162"/>
      <c r="G631" s="712">
        <f>((G618*1000)*(G624*2204.6))/1000000</f>
        <v>182.22097802371559</v>
      </c>
      <c r="H631" s="712">
        <f t="shared" ref="H631:V631" si="585">((H618*1000)*(H624*2204.6))/1000000</f>
        <v>163.25481446640322</v>
      </c>
      <c r="I631" s="712">
        <f t="shared" si="585"/>
        <v>147.25919021739128</v>
      </c>
      <c r="J631" s="712">
        <f t="shared" si="585"/>
        <v>180.78620521739134</v>
      </c>
      <c r="K631" s="712">
        <f t="shared" si="585"/>
        <v>198.60154940476173</v>
      </c>
      <c r="L631" s="716">
        <f t="shared" si="585"/>
        <v>46.842845238095244</v>
      </c>
      <c r="M631" s="716">
        <f t="shared" si="585"/>
        <v>35.517214112903233</v>
      </c>
      <c r="N631" s="716">
        <f t="shared" si="585"/>
        <v>25.999409374999981</v>
      </c>
      <c r="O631" s="716">
        <f t="shared" si="585"/>
        <v>22.998589453125</v>
      </c>
      <c r="P631" s="712">
        <f t="shared" si="585"/>
        <v>128.96156205533592</v>
      </c>
      <c r="Q631" s="716">
        <f t="shared" si="585"/>
        <v>35.398919047619046</v>
      </c>
      <c r="R631" s="716">
        <f t="shared" si="585"/>
        <v>31.64259344262295</v>
      </c>
      <c r="S631" s="716">
        <f t="shared" si="585"/>
        <v>36.318824615384614</v>
      </c>
      <c r="T631" s="716">
        <f t="shared" si="585"/>
        <v>32.672249999999998</v>
      </c>
      <c r="U631" s="712">
        <f t="shared" si="585"/>
        <v>136.10155108695653</v>
      </c>
      <c r="V631" s="718">
        <f t="shared" si="585"/>
        <v>31.695020500000009</v>
      </c>
      <c r="W631" s="718">
        <f>((W618*1000)*(W624*2204.6))/1000000</f>
        <v>31.923539516129043</v>
      </c>
      <c r="X631" s="718">
        <f>((X618*1000)*(X624*2204.6))/1000000</f>
        <v>31.24779509090909</v>
      </c>
      <c r="Y631" s="718">
        <f>((Y618*1000)*(Y624*2204.6))/1000000</f>
        <v>32.906703031250011</v>
      </c>
      <c r="Z631" s="351">
        <f>SUM(V631:Y631)</f>
        <v>127.77305813828815</v>
      </c>
      <c r="AA631" s="718">
        <f>((AA618*1000)*(AA624*2204.6))/1000000</f>
        <v>35.194658333333336</v>
      </c>
      <c r="AB631" s="718">
        <f t="shared" si="583"/>
        <v>40.83033600000001</v>
      </c>
      <c r="AC631" s="718">
        <f t="shared" si="583"/>
        <v>40.277250000000002</v>
      </c>
      <c r="AD631" s="718">
        <f t="shared" si="583"/>
        <v>44.718988938053094</v>
      </c>
      <c r="AE631" s="351">
        <f>SUM(AA631:AD631)</f>
        <v>161.02123327138645</v>
      </c>
      <c r="AF631" s="712">
        <f t="shared" si="584"/>
        <v>149.44499999999999</v>
      </c>
      <c r="AG631" s="712">
        <f t="shared" si="584"/>
        <v>155.02185</v>
      </c>
      <c r="AH631" s="712">
        <f t="shared" si="584"/>
        <v>156.73500000000001</v>
      </c>
      <c r="AI631" s="712">
        <f t="shared" si="584"/>
        <v>156.73500000000001</v>
      </c>
      <c r="AJ631" s="712">
        <f t="shared" si="584"/>
        <v>156.73500000000001</v>
      </c>
      <c r="AK631" s="712">
        <f t="shared" si="584"/>
        <v>156.73500000000001</v>
      </c>
      <c r="AL631" s="712">
        <f t="shared" si="584"/>
        <v>156.73500000000001</v>
      </c>
      <c r="AM631" s="651"/>
      <c r="AN631" s="92"/>
      <c r="AO631" s="92"/>
    </row>
    <row r="632" spans="2:41" s="83" customFormat="1">
      <c r="B632" s="95" t="s">
        <v>633</v>
      </c>
      <c r="C632" s="96"/>
      <c r="D632" s="163" t="s">
        <v>726</v>
      </c>
      <c r="E632" s="162"/>
      <c r="G632" s="712">
        <f>((G619*1000000)*G625)/1000000</f>
        <v>536.62049999999999</v>
      </c>
      <c r="H632" s="712">
        <f t="shared" ref="H632:V632" si="586">((H619*1000000)*H625)/1000000</f>
        <v>392.78638000000001</v>
      </c>
      <c r="I632" s="712">
        <f t="shared" si="586"/>
        <v>369.13330000000002</v>
      </c>
      <c r="J632" s="712">
        <f t="shared" si="586"/>
        <v>408.98158000000006</v>
      </c>
      <c r="K632" s="712">
        <f t="shared" si="586"/>
        <v>367.15980000000002</v>
      </c>
      <c r="L632" s="716">
        <f t="shared" si="586"/>
        <v>70.364699999999999</v>
      </c>
      <c r="M632" s="716">
        <f t="shared" si="586"/>
        <v>52.916159999999998</v>
      </c>
      <c r="N632" s="716">
        <f t="shared" si="586"/>
        <v>45.002699999999997</v>
      </c>
      <c r="O632" s="716">
        <f t="shared" si="586"/>
        <v>16.009399999999999</v>
      </c>
      <c r="P632" s="712">
        <f t="shared" si="586"/>
        <v>180.58105</v>
      </c>
      <c r="Q632" s="716">
        <f t="shared" si="586"/>
        <v>45.141979999999997</v>
      </c>
      <c r="R632" s="716">
        <f t="shared" si="586"/>
        <v>58.113509999999998</v>
      </c>
      <c r="S632" s="716">
        <f t="shared" si="586"/>
        <v>59.499650000000003</v>
      </c>
      <c r="T632" s="716">
        <f t="shared" si="586"/>
        <v>58.938659999999999</v>
      </c>
      <c r="U632" s="712">
        <f>((U619*1000000)*U625)/1000000</f>
        <v>222.08111</v>
      </c>
      <c r="V632" s="718">
        <f t="shared" si="586"/>
        <v>57.441980000000001</v>
      </c>
      <c r="W632" s="718">
        <f>((W619*1000000)*W625)/1000000</f>
        <v>49.043700000000001</v>
      </c>
      <c r="X632" s="718">
        <f>((X619*1000000)*X625)/1000000</f>
        <v>63.108499999999999</v>
      </c>
      <c r="Y632" s="718">
        <f>((Y619*1000000)*Y625)/1000000</f>
        <v>61.100999999999999</v>
      </c>
      <c r="Z632" s="351">
        <f>SUM(V632:Y632)</f>
        <v>230.69517999999999</v>
      </c>
      <c r="AA632" s="718">
        <f>((AA619*1000000)*AA625)/1000000</f>
        <v>70.873919999999998</v>
      </c>
      <c r="AB632" s="718">
        <f>((AB619*1000000)*AB625)/1000000</f>
        <v>71.957160000000002</v>
      </c>
      <c r="AC632" s="718">
        <f>((AC619*1000000)*AC625)/1000000</f>
        <v>75.975899999999996</v>
      </c>
      <c r="AD632" s="718">
        <f>((AD619*1000000)*AD625)/1000000</f>
        <v>84.354453982300882</v>
      </c>
      <c r="AE632" s="351">
        <f>SUM(AA632:AD632)</f>
        <v>303.16143398230088</v>
      </c>
      <c r="AF632" s="712">
        <f t="shared" ref="AF632:AL632" si="587">((AF619*1000000)*AF625)/1000000</f>
        <v>276</v>
      </c>
      <c r="AG632" s="712">
        <f t="shared" si="587"/>
        <v>243.8</v>
      </c>
      <c r="AH632" s="712">
        <f t="shared" si="587"/>
        <v>252.42500000000001</v>
      </c>
      <c r="AI632" s="712">
        <f t="shared" si="587"/>
        <v>252.42500000000001</v>
      </c>
      <c r="AJ632" s="712">
        <f t="shared" si="587"/>
        <v>252.42500000000001</v>
      </c>
      <c r="AK632" s="712">
        <f t="shared" si="587"/>
        <v>252.42500000000001</v>
      </c>
      <c r="AL632" s="712">
        <f t="shared" si="587"/>
        <v>252.42500000000001</v>
      </c>
      <c r="AM632" s="651"/>
      <c r="AN632" s="92"/>
      <c r="AO632" s="92"/>
    </row>
    <row r="633" spans="2:41" s="83" customFormat="1">
      <c r="B633" s="95" t="s">
        <v>633</v>
      </c>
      <c r="C633" s="96"/>
      <c r="D633" s="163" t="s">
        <v>683</v>
      </c>
      <c r="E633" s="162"/>
      <c r="G633" s="712">
        <f>((G620*1000)*G626)/1000000</f>
        <v>87.495993399999989</v>
      </c>
      <c r="H633" s="712">
        <f t="shared" ref="H633:V633" si="588">((H620*1000)*H626)/1000000</f>
        <v>62.940199279999995</v>
      </c>
      <c r="I633" s="712">
        <f t="shared" si="588"/>
        <v>65.079500640000006</v>
      </c>
      <c r="J633" s="712">
        <f t="shared" si="588"/>
        <v>62.414820200000001</v>
      </c>
      <c r="K633" s="712">
        <f t="shared" si="588"/>
        <v>58.457261100000004</v>
      </c>
      <c r="L633" s="716">
        <f t="shared" si="588"/>
        <v>14.489205410000002</v>
      </c>
      <c r="M633" s="716">
        <f t="shared" si="588"/>
        <v>13.712872950000001</v>
      </c>
      <c r="N633" s="716">
        <f t="shared" si="588"/>
        <v>12.495896140000001</v>
      </c>
      <c r="O633" s="716">
        <f t="shared" si="588"/>
        <v>4.1693625400000007</v>
      </c>
      <c r="P633" s="712">
        <f t="shared" si="588"/>
        <v>44.523883169999998</v>
      </c>
      <c r="Q633" s="716">
        <f t="shared" si="588"/>
        <v>8.6049909000000007</v>
      </c>
      <c r="R633" s="716">
        <f t="shared" si="588"/>
        <v>13.48669331</v>
      </c>
      <c r="S633" s="716">
        <f t="shared" si="588"/>
        <v>12.516034099999999</v>
      </c>
      <c r="T633" s="716">
        <f t="shared" si="588"/>
        <v>15.698181299999998</v>
      </c>
      <c r="U633" s="712">
        <f t="shared" si="588"/>
        <v>50.133456000000002</v>
      </c>
      <c r="V633" s="718">
        <f t="shared" si="588"/>
        <v>16.144568159999999</v>
      </c>
      <c r="W633" s="718">
        <f>((W620*1000)*W626)/1000000</f>
        <v>10.2568644</v>
      </c>
      <c r="X633" s="718">
        <f>((X620*1000)*X626)/1000000</f>
        <v>10.676001279999999</v>
      </c>
      <c r="Y633" s="718">
        <f>((Y620*1000)*Y626)/1000000</f>
        <v>10.870561260000001</v>
      </c>
      <c r="Z633" s="351">
        <f>SUM(V633:Y633)</f>
        <v>47.9479951</v>
      </c>
      <c r="AA633" s="718">
        <f>((AA620*1000)*AA626)/1000000</f>
        <v>12.01984757</v>
      </c>
      <c r="AB633" s="718">
        <f>((AB620*1000)*AB626)/1000000</f>
        <v>13.426978099999999</v>
      </c>
      <c r="AC633" s="718">
        <f>((AC620*1000)*AC626)/1000000</f>
        <v>13.374919999999999</v>
      </c>
      <c r="AD633" s="718">
        <f>((AD620*1000)*AD626)/1000000</f>
        <v>14.849894159292033</v>
      </c>
      <c r="AE633" s="351">
        <f>SUM(AA633:AD633)</f>
        <v>53.671639829292033</v>
      </c>
      <c r="AF633" s="712">
        <f t="shared" ref="AF633:AL633" si="589">((AF620*1000)*AF626)/1000000</f>
        <v>50.286000000000001</v>
      </c>
      <c r="AG633" s="712">
        <f t="shared" si="589"/>
        <v>48.841000000000001</v>
      </c>
      <c r="AH633" s="712">
        <f t="shared" si="589"/>
        <v>47.973999999999997</v>
      </c>
      <c r="AI633" s="712">
        <f t="shared" si="589"/>
        <v>47.973999999999997</v>
      </c>
      <c r="AJ633" s="712">
        <f t="shared" si="589"/>
        <v>47.973999999999997</v>
      </c>
      <c r="AK633" s="712">
        <f t="shared" si="589"/>
        <v>47.973999999999997</v>
      </c>
      <c r="AL633" s="712">
        <f t="shared" si="589"/>
        <v>47.973999999999997</v>
      </c>
      <c r="AM633" s="651"/>
      <c r="AN633" s="92"/>
      <c r="AO633" s="92"/>
    </row>
    <row r="634" spans="2:41" s="83" customFormat="1">
      <c r="B634" s="95" t="s">
        <v>633</v>
      </c>
      <c r="C634" s="96"/>
      <c r="D634" s="163" t="s">
        <v>730</v>
      </c>
      <c r="E634" s="162"/>
      <c r="G634" s="713">
        <f>SUM(G630:G633)</f>
        <v>1370.2300594237156</v>
      </c>
      <c r="H634" s="713">
        <f t="shared" ref="H634:U634" si="590">SUM(H630:H633)</f>
        <v>1217.4421097464033</v>
      </c>
      <c r="I634" s="713">
        <f t="shared" si="590"/>
        <v>1172.2166068573913</v>
      </c>
      <c r="J634" s="713">
        <f t="shared" si="590"/>
        <v>1305.6260454173914</v>
      </c>
      <c r="K634" s="713">
        <f t="shared" si="590"/>
        <v>1516.6186445047617</v>
      </c>
      <c r="L634" s="717">
        <f t="shared" si="590"/>
        <v>395.84089964809533</v>
      </c>
      <c r="M634" s="717">
        <f t="shared" si="590"/>
        <v>341.18882046290321</v>
      </c>
      <c r="N634" s="717">
        <f t="shared" si="590"/>
        <v>272.12358151499996</v>
      </c>
      <c r="O634" s="717">
        <f t="shared" si="590"/>
        <v>239.93790199312497</v>
      </c>
      <c r="P634" s="713">
        <f t="shared" si="590"/>
        <v>1244.2575200253359</v>
      </c>
      <c r="Q634" s="717">
        <f t="shared" si="590"/>
        <v>293.06257154761909</v>
      </c>
      <c r="R634" s="717">
        <f t="shared" si="590"/>
        <v>308.27059675262296</v>
      </c>
      <c r="S634" s="717">
        <f t="shared" si="590"/>
        <v>283.83830551538466</v>
      </c>
      <c r="T634" s="717">
        <f t="shared" si="590"/>
        <v>250.88146169999996</v>
      </c>
      <c r="U634" s="713">
        <f t="shared" si="590"/>
        <v>1135.3667418869566</v>
      </c>
      <c r="V634" s="718">
        <f>SUM(V630:V633)</f>
        <v>276.16122334749997</v>
      </c>
      <c r="W634" s="718">
        <f>SUM(W630:W633)</f>
        <v>227.42953133548389</v>
      </c>
      <c r="X634" s="718">
        <f>SUM(X630:X633)</f>
        <v>285.67246682545442</v>
      </c>
      <c r="Y634" s="718">
        <f>SUM(Y630:Y633)</f>
        <v>313.82289710374999</v>
      </c>
      <c r="Z634" s="351">
        <f>SUM(V634:Y634)</f>
        <v>1103.0861186121883</v>
      </c>
      <c r="AA634" s="718">
        <f>SUM(AA630:AA633)</f>
        <v>310.28679733190478</v>
      </c>
      <c r="AB634" s="718">
        <f>SUM(AB630:AB633)</f>
        <v>326.1270450677419</v>
      </c>
      <c r="AC634" s="718">
        <f>SUM(AC630:AC633)</f>
        <v>351.74086999999997</v>
      </c>
      <c r="AD634" s="718">
        <f>SUM(AD630:AD633)</f>
        <v>390.53053707964602</v>
      </c>
      <c r="AE634" s="351">
        <f>SUM(AA634:AD634)</f>
        <v>1378.6852494792927</v>
      </c>
      <c r="AF634" s="713">
        <f t="shared" ref="AF634:AL634" si="591">SUM(AF630:AF633)</f>
        <v>1421.7984800362976</v>
      </c>
      <c r="AG634" s="713">
        <f t="shared" si="591"/>
        <v>1454.7669416515423</v>
      </c>
      <c r="AH634" s="713">
        <f t="shared" si="591"/>
        <v>1433.7197858439201</v>
      </c>
      <c r="AI634" s="713">
        <f t="shared" si="591"/>
        <v>1372.6831742286749</v>
      </c>
      <c r="AJ634" s="713">
        <f t="shared" si="591"/>
        <v>1235.1878159999999</v>
      </c>
      <c r="AK634" s="713">
        <f t="shared" si="591"/>
        <v>1235.1878159999999</v>
      </c>
      <c r="AL634" s="713">
        <f t="shared" si="591"/>
        <v>1235.1878159999999</v>
      </c>
      <c r="AM634" s="651"/>
      <c r="AN634" s="92"/>
      <c r="AO634" s="92"/>
    </row>
    <row r="635" spans="2:41" s="83" customFormat="1">
      <c r="B635" s="95"/>
      <c r="C635" s="96"/>
      <c r="D635" s="163" t="s">
        <v>731</v>
      </c>
      <c r="E635" s="162"/>
      <c r="G635" s="351">
        <f>G636-G634</f>
        <v>380.7699405762844</v>
      </c>
      <c r="H635" s="351">
        <f t="shared" ref="H635:T635" si="592">H636-H634</f>
        <v>481.55789025359672</v>
      </c>
      <c r="I635" s="351">
        <f t="shared" si="592"/>
        <v>674.7833931426087</v>
      </c>
      <c r="J635" s="351">
        <f t="shared" si="592"/>
        <v>743.37395458260858</v>
      </c>
      <c r="K635" s="351">
        <f t="shared" si="592"/>
        <v>749.38135549523827</v>
      </c>
      <c r="L635" s="718">
        <f t="shared" si="592"/>
        <v>189.15910035190467</v>
      </c>
      <c r="M635" s="718">
        <f t="shared" si="592"/>
        <v>179.81117953709679</v>
      </c>
      <c r="N635" s="718">
        <f t="shared" si="592"/>
        <v>170.87641848500004</v>
      </c>
      <c r="O635" s="718">
        <f t="shared" si="592"/>
        <v>153.06209800687503</v>
      </c>
      <c r="P635" s="351">
        <f t="shared" si="592"/>
        <v>697.74247997466409</v>
      </c>
      <c r="Q635" s="718">
        <f t="shared" si="592"/>
        <v>177.93742845238091</v>
      </c>
      <c r="R635" s="718">
        <f t="shared" si="592"/>
        <v>187.72940324737704</v>
      </c>
      <c r="S635" s="718">
        <f t="shared" si="592"/>
        <v>172.16169448461534</v>
      </c>
      <c r="T635" s="718">
        <f t="shared" si="592"/>
        <v>155.11853830000004</v>
      </c>
      <c r="U635" s="351">
        <f t="shared" ref="U635:Z635" si="593">U636-U634</f>
        <v>693.63325811304344</v>
      </c>
      <c r="V635" s="718">
        <f>V636-V634</f>
        <v>175.83877665250003</v>
      </c>
      <c r="W635" s="718">
        <f t="shared" si="593"/>
        <v>167.57046866451611</v>
      </c>
      <c r="X635" s="718">
        <f t="shared" si="593"/>
        <v>155.32753317454558</v>
      </c>
      <c r="Y635" s="718">
        <f t="shared" si="593"/>
        <v>159.17710289625001</v>
      </c>
      <c r="Z635" s="351">
        <f t="shared" si="593"/>
        <v>657.91388138781167</v>
      </c>
      <c r="AA635" s="718">
        <f>AA636-AA634</f>
        <v>150.71320266809522</v>
      </c>
      <c r="AB635" s="718">
        <f>AB636-AB634</f>
        <v>138.8729549322581</v>
      </c>
      <c r="AC635" s="217">
        <f>(AE635-AA635-AB635)/2</f>
        <v>184.16386189372918</v>
      </c>
      <c r="AD635" s="217">
        <f>AE635-AA635-AB635-AC635</f>
        <v>184.16386189372918</v>
      </c>
      <c r="AE635" s="312">
        <f>Z635</f>
        <v>657.91388138781167</v>
      </c>
      <c r="AF635" s="312">
        <f t="shared" ref="AF635:AL635" si="594">AE635</f>
        <v>657.91388138781167</v>
      </c>
      <c r="AG635" s="312">
        <f t="shared" si="594"/>
        <v>657.91388138781167</v>
      </c>
      <c r="AH635" s="312">
        <f t="shared" si="594"/>
        <v>657.91388138781167</v>
      </c>
      <c r="AI635" s="312">
        <f t="shared" si="594"/>
        <v>657.91388138781167</v>
      </c>
      <c r="AJ635" s="312">
        <f t="shared" si="594"/>
        <v>657.91388138781167</v>
      </c>
      <c r="AK635" s="312">
        <f t="shared" si="594"/>
        <v>657.91388138781167</v>
      </c>
      <c r="AL635" s="312">
        <f t="shared" si="594"/>
        <v>657.91388138781167</v>
      </c>
      <c r="AM635" s="651"/>
      <c r="AN635" s="92"/>
      <c r="AO635" s="92"/>
    </row>
    <row r="636" spans="2:41" s="83" customFormat="1">
      <c r="B636" s="95"/>
      <c r="C636" s="96"/>
      <c r="D636" s="173" t="s">
        <v>638</v>
      </c>
      <c r="E636" s="554"/>
      <c r="F636" s="174"/>
      <c r="G636" s="175">
        <v>1751</v>
      </c>
      <c r="H636" s="175">
        <v>1699</v>
      </c>
      <c r="I636" s="175">
        <v>1847</v>
      </c>
      <c r="J636" s="175">
        <v>2049</v>
      </c>
      <c r="K636" s="175">
        <v>2266</v>
      </c>
      <c r="L636" s="176">
        <v>585</v>
      </c>
      <c r="M636" s="176">
        <v>521</v>
      </c>
      <c r="N636" s="176">
        <v>443</v>
      </c>
      <c r="O636" s="176">
        <v>393</v>
      </c>
      <c r="P636" s="175">
        <v>1942</v>
      </c>
      <c r="Q636" s="176">
        <v>471</v>
      </c>
      <c r="R636" s="177">
        <v>496</v>
      </c>
      <c r="S636" s="176">
        <v>456</v>
      </c>
      <c r="T636" s="176">
        <v>406</v>
      </c>
      <c r="U636" s="175">
        <v>1829</v>
      </c>
      <c r="V636" s="176">
        <v>452</v>
      </c>
      <c r="W636" s="176">
        <v>395</v>
      </c>
      <c r="X636" s="176">
        <v>441</v>
      </c>
      <c r="Y636" s="176">
        <v>473</v>
      </c>
      <c r="Z636" s="175">
        <v>1761</v>
      </c>
      <c r="AA636" s="176">
        <v>461</v>
      </c>
      <c r="AB636" s="176">
        <v>465</v>
      </c>
      <c r="AC636" s="1014">
        <f t="shared" ref="AC636:AL636" si="595">AC634+AC635</f>
        <v>535.90473189372915</v>
      </c>
      <c r="AD636" s="1014">
        <f t="shared" si="595"/>
        <v>574.6943989733752</v>
      </c>
      <c r="AE636" s="178">
        <f t="shared" si="595"/>
        <v>2036.5991308671043</v>
      </c>
      <c r="AF636" s="178">
        <f t="shared" si="595"/>
        <v>2079.7123614241091</v>
      </c>
      <c r="AG636" s="178">
        <f t="shared" si="595"/>
        <v>2112.680823039354</v>
      </c>
      <c r="AH636" s="178">
        <f t="shared" si="595"/>
        <v>2091.633667231732</v>
      </c>
      <c r="AI636" s="178">
        <f t="shared" si="595"/>
        <v>2030.5970556164866</v>
      </c>
      <c r="AJ636" s="178">
        <f t="shared" si="595"/>
        <v>1893.1016973878116</v>
      </c>
      <c r="AK636" s="178">
        <f t="shared" si="595"/>
        <v>1893.1016973878116</v>
      </c>
      <c r="AL636" s="178">
        <f t="shared" si="595"/>
        <v>1893.1016973878116</v>
      </c>
      <c r="AM636" s="651"/>
      <c r="AN636" s="92"/>
      <c r="AO636" s="92"/>
    </row>
    <row r="637" spans="2:41" s="83" customFormat="1">
      <c r="B637" s="95"/>
      <c r="C637" s="96"/>
      <c r="D637" s="163"/>
      <c r="E637" s="162"/>
      <c r="G637" s="589"/>
      <c r="H637" s="589"/>
      <c r="I637" s="589"/>
      <c r="J637" s="589"/>
      <c r="K637" s="589"/>
      <c r="L637" s="590"/>
      <c r="M637" s="590"/>
      <c r="N637" s="590"/>
      <c r="O637" s="590"/>
      <c r="P637" s="589"/>
      <c r="Q637" s="590"/>
      <c r="R637" s="590"/>
      <c r="S637" s="590"/>
      <c r="T637" s="590"/>
      <c r="U637" s="589"/>
      <c r="V637" s="590"/>
      <c r="W637" s="590"/>
      <c r="X637" s="1013"/>
      <c r="Y637" s="1013"/>
      <c r="Z637" s="466"/>
      <c r="AA637" s="711"/>
      <c r="AB637" s="711"/>
      <c r="AC637" s="711"/>
      <c r="AD637" s="711"/>
      <c r="AE637" s="466"/>
      <c r="AF637" s="466"/>
      <c r="AG637" s="201"/>
      <c r="AH637" s="92"/>
      <c r="AI637" s="92"/>
      <c r="AJ637" s="92"/>
      <c r="AK637" s="92"/>
      <c r="AL637" s="92"/>
      <c r="AM637" s="651"/>
      <c r="AN637" s="92"/>
      <c r="AO637" s="92"/>
    </row>
    <row r="638" spans="2:41" s="83" customFormat="1">
      <c r="B638" s="95"/>
      <c r="C638" s="96"/>
      <c r="E638" s="162"/>
      <c r="G638" s="589"/>
      <c r="H638" s="589"/>
      <c r="I638" s="589"/>
      <c r="J638" s="589"/>
      <c r="K638" s="589"/>
      <c r="L638" s="590"/>
      <c r="M638" s="590"/>
      <c r="N638" s="590"/>
      <c r="O638" s="590"/>
      <c r="P638" s="589"/>
      <c r="Q638" s="590"/>
      <c r="R638" s="590"/>
      <c r="S638" s="590"/>
      <c r="T638" s="590"/>
      <c r="U638" s="589"/>
      <c r="V638" s="590"/>
      <c r="W638" s="590"/>
      <c r="X638" s="1013"/>
      <c r="Y638" s="1013"/>
      <c r="Z638" s="466"/>
      <c r="AA638" s="711"/>
      <c r="AB638" s="711"/>
      <c r="AC638" s="711"/>
      <c r="AD638" s="711"/>
      <c r="AE638" s="466"/>
      <c r="AF638" s="466"/>
      <c r="AG638" s="201"/>
      <c r="AH638" s="92"/>
      <c r="AI638" s="92"/>
      <c r="AJ638" s="92"/>
      <c r="AK638" s="92"/>
      <c r="AL638" s="92"/>
      <c r="AM638" s="651"/>
      <c r="AN638" s="92"/>
      <c r="AO638" s="92"/>
    </row>
    <row r="639" spans="2:41" s="83" customFormat="1" hidden="1">
      <c r="B639" s="95"/>
      <c r="C639" s="96"/>
      <c r="D639" s="163" t="s">
        <v>732</v>
      </c>
      <c r="E639" s="162"/>
      <c r="G639" s="589"/>
      <c r="H639" s="589"/>
      <c r="I639" s="589"/>
      <c r="J639" s="589"/>
      <c r="K639" s="589"/>
      <c r="L639" s="590"/>
      <c r="M639" s="590"/>
      <c r="N639" s="590"/>
      <c r="O639" s="590"/>
      <c r="P639" s="589"/>
      <c r="Q639" s="590"/>
      <c r="R639" s="590"/>
      <c r="S639" s="590"/>
      <c r="T639" s="590"/>
      <c r="U639" s="589"/>
      <c r="V639" s="590"/>
      <c r="W639" s="590"/>
      <c r="X639" s="1013"/>
      <c r="Y639" s="1013"/>
      <c r="Z639" s="466"/>
      <c r="AA639" s="711"/>
      <c r="AB639" s="711"/>
      <c r="AC639" s="711"/>
      <c r="AD639" s="711"/>
      <c r="AE639" s="466"/>
      <c r="AF639" s="466"/>
      <c r="AG639" s="201"/>
      <c r="AH639" s="92"/>
      <c r="AI639" s="92"/>
      <c r="AJ639" s="92"/>
      <c r="AK639" s="92"/>
      <c r="AL639" s="92"/>
      <c r="AM639" s="651"/>
      <c r="AN639" s="92"/>
      <c r="AO639" s="92"/>
    </row>
    <row r="640" spans="2:41" s="83" customFormat="1" hidden="1">
      <c r="B640" s="95"/>
      <c r="C640" s="96"/>
      <c r="D640" s="163" t="s">
        <v>617</v>
      </c>
      <c r="E640" s="162"/>
      <c r="G640" s="589"/>
      <c r="H640" s="589"/>
      <c r="I640" s="589"/>
      <c r="J640" s="589"/>
      <c r="K640" s="589"/>
      <c r="L640" s="590"/>
      <c r="M640" s="590"/>
      <c r="N640" s="590"/>
      <c r="O640" s="590"/>
      <c r="P640" s="589"/>
      <c r="Q640" s="590"/>
      <c r="R640" s="590"/>
      <c r="S640" s="590"/>
      <c r="T640" s="590"/>
      <c r="U640" s="589"/>
      <c r="V640" s="590"/>
      <c r="W640" s="590"/>
      <c r="X640" s="1013"/>
      <c r="Y640" s="1013"/>
      <c r="Z640" s="466"/>
      <c r="AA640" s="711"/>
      <c r="AB640" s="711"/>
      <c r="AC640" s="711"/>
      <c r="AD640" s="711"/>
      <c r="AE640" s="466"/>
      <c r="AF640" s="466"/>
      <c r="AG640" s="201"/>
      <c r="AH640" s="92"/>
      <c r="AI640" s="92"/>
      <c r="AJ640" s="92"/>
      <c r="AK640" s="92"/>
      <c r="AL640" s="92"/>
      <c r="AM640" s="651"/>
      <c r="AN640" s="92"/>
      <c r="AO640" s="92"/>
    </row>
    <row r="641" spans="2:41" s="83" customFormat="1" hidden="1">
      <c r="B641" s="95"/>
      <c r="C641" s="96"/>
      <c r="D641" s="163" t="s">
        <v>733</v>
      </c>
      <c r="E641" s="162"/>
      <c r="G641" s="589"/>
      <c r="H641" s="589"/>
      <c r="I641" s="589"/>
      <c r="J641" s="589"/>
      <c r="K641" s="712">
        <f>K617</f>
        <v>309</v>
      </c>
      <c r="L641" s="590"/>
      <c r="M641" s="590"/>
      <c r="N641" s="590"/>
      <c r="O641" s="590"/>
      <c r="P641" s="712">
        <f>P617</f>
        <v>303.60000000000002</v>
      </c>
      <c r="Q641" s="590"/>
      <c r="R641" s="590"/>
      <c r="S641" s="590"/>
      <c r="T641" s="590"/>
      <c r="U641" s="712">
        <f>U617</f>
        <v>284.3</v>
      </c>
      <c r="V641" s="590"/>
      <c r="W641" s="590"/>
      <c r="X641" s="1013"/>
      <c r="Y641" s="1013"/>
      <c r="Z641" s="466"/>
      <c r="AA641" s="711"/>
      <c r="AB641" s="711"/>
      <c r="AC641" s="711"/>
      <c r="AD641" s="711"/>
      <c r="AE641" s="466"/>
      <c r="AF641" s="466"/>
      <c r="AG641" s="201"/>
      <c r="AH641" s="92"/>
      <c r="AI641" s="92"/>
      <c r="AJ641" s="92"/>
      <c r="AK641" s="92"/>
      <c r="AL641" s="92"/>
      <c r="AM641" s="651"/>
      <c r="AN641" s="92"/>
      <c r="AO641" s="92"/>
    </row>
    <row r="642" spans="2:41" s="83" customFormat="1" hidden="1">
      <c r="B642" s="95"/>
      <c r="C642" s="96"/>
      <c r="D642" s="163" t="s">
        <v>734</v>
      </c>
      <c r="E642" s="162"/>
      <c r="G642" s="589"/>
      <c r="H642" s="589"/>
      <c r="I642" s="589"/>
      <c r="J642" s="589"/>
      <c r="K642" s="712">
        <f>K618</f>
        <v>85.8</v>
      </c>
      <c r="L642" s="590"/>
      <c r="M642" s="590"/>
      <c r="N642" s="590"/>
      <c r="O642" s="590"/>
      <c r="P642" s="712">
        <f>P618</f>
        <v>57.6</v>
      </c>
      <c r="Q642" s="590"/>
      <c r="R642" s="590"/>
      <c r="S642" s="590"/>
      <c r="T642" s="590"/>
      <c r="U642" s="712">
        <f>U618</f>
        <v>68.099999999999994</v>
      </c>
      <c r="V642" s="590"/>
      <c r="W642" s="590"/>
      <c r="X642" s="1013"/>
      <c r="Y642" s="1013"/>
      <c r="Z642" s="466"/>
      <c r="AA642" s="711"/>
      <c r="AB642" s="711"/>
      <c r="AC642" s="711"/>
      <c r="AD642" s="711"/>
      <c r="AE642" s="466"/>
      <c r="AF642" s="466"/>
      <c r="AG642" s="201"/>
      <c r="AH642" s="92"/>
      <c r="AI642" s="92"/>
      <c r="AJ642" s="92"/>
      <c r="AK642" s="92"/>
      <c r="AL642" s="92"/>
      <c r="AM642" s="651"/>
      <c r="AN642" s="92"/>
      <c r="AO642" s="92"/>
    </row>
    <row r="643" spans="2:41" s="83" customFormat="1" hidden="1">
      <c r="B643" s="95"/>
      <c r="C643" s="96"/>
      <c r="D643" s="163" t="s">
        <v>735</v>
      </c>
      <c r="E643" s="162"/>
      <c r="G643" s="589"/>
      <c r="H643" s="589"/>
      <c r="I643" s="589"/>
      <c r="J643" s="589"/>
      <c r="K643" s="712">
        <v>22</v>
      </c>
      <c r="L643" s="590"/>
      <c r="M643" s="590"/>
      <c r="N643" s="590"/>
      <c r="O643" s="590"/>
      <c r="P643" s="712">
        <v>12</v>
      </c>
      <c r="Q643" s="590"/>
      <c r="R643" s="590"/>
      <c r="S643" s="590"/>
      <c r="T643" s="590"/>
      <c r="U643" s="712">
        <v>14</v>
      </c>
      <c r="V643" s="590"/>
      <c r="W643" s="590"/>
      <c r="X643" s="1013"/>
      <c r="Y643" s="1013"/>
      <c r="Z643" s="466"/>
      <c r="AA643" s="711"/>
      <c r="AB643" s="711"/>
      <c r="AC643" s="711"/>
      <c r="AD643" s="711"/>
      <c r="AE643" s="466"/>
      <c r="AF643" s="466"/>
      <c r="AG643" s="201"/>
      <c r="AH643" s="92"/>
      <c r="AI643" s="92"/>
      <c r="AJ643" s="92"/>
      <c r="AK643" s="92"/>
      <c r="AL643" s="92"/>
      <c r="AM643" s="651"/>
      <c r="AN643" s="92"/>
      <c r="AO643" s="92"/>
    </row>
    <row r="644" spans="2:41" s="83" customFormat="1" hidden="1">
      <c r="B644" s="95"/>
      <c r="C644" s="96"/>
      <c r="D644" s="163" t="s">
        <v>736</v>
      </c>
      <c r="E644" s="162"/>
      <c r="G644" s="589"/>
      <c r="H644" s="589"/>
      <c r="I644" s="589"/>
      <c r="J644" s="589"/>
      <c r="K644" s="712">
        <v>47</v>
      </c>
      <c r="L644" s="590"/>
      <c r="M644" s="590"/>
      <c r="N644" s="590"/>
      <c r="O644" s="590"/>
      <c r="P644" s="712">
        <v>35</v>
      </c>
      <c r="Q644" s="590"/>
      <c r="R644" s="590"/>
      <c r="S644" s="590"/>
      <c r="T644" s="590"/>
      <c r="U644" s="712">
        <f>U620</f>
        <v>36</v>
      </c>
      <c r="V644" s="590"/>
      <c r="W644" s="590"/>
      <c r="X644" s="1013"/>
      <c r="Y644" s="1013"/>
      <c r="Z644" s="466"/>
      <c r="AA644" s="711"/>
      <c r="AB644" s="711"/>
      <c r="AC644" s="711"/>
      <c r="AD644" s="711"/>
      <c r="AE644" s="466"/>
      <c r="AF644" s="466"/>
      <c r="AG644" s="201"/>
      <c r="AH644" s="92"/>
      <c r="AI644" s="92"/>
      <c r="AJ644" s="92"/>
      <c r="AK644" s="92"/>
      <c r="AL644" s="92"/>
      <c r="AM644" s="651"/>
      <c r="AN644" s="92"/>
      <c r="AO644" s="92"/>
    </row>
    <row r="645" spans="2:41" s="83" customFormat="1" hidden="1">
      <c r="B645" s="95"/>
      <c r="C645" s="96"/>
      <c r="D645" s="163"/>
      <c r="E645" s="162"/>
      <c r="G645" s="589"/>
      <c r="H645" s="589"/>
      <c r="I645" s="589"/>
      <c r="J645" s="589"/>
      <c r="K645" s="589"/>
      <c r="L645" s="590"/>
      <c r="M645" s="590"/>
      <c r="N645" s="590"/>
      <c r="O645" s="590"/>
      <c r="P645" s="589"/>
      <c r="Q645" s="590"/>
      <c r="R645" s="590"/>
      <c r="S645" s="590"/>
      <c r="T645" s="590"/>
      <c r="U645" s="589"/>
      <c r="V645" s="590"/>
      <c r="W645" s="590"/>
      <c r="X645" s="1013"/>
      <c r="Y645" s="1013"/>
      <c r="Z645" s="466"/>
      <c r="AA645" s="711"/>
      <c r="AB645" s="711"/>
      <c r="AC645" s="711"/>
      <c r="AD645" s="711"/>
      <c r="AE645" s="466"/>
      <c r="AF645" s="466"/>
      <c r="AG645" s="201"/>
      <c r="AH645" s="92"/>
      <c r="AI645" s="92"/>
      <c r="AJ645" s="92"/>
      <c r="AK645" s="92"/>
      <c r="AL645" s="92"/>
      <c r="AM645" s="651"/>
      <c r="AN645" s="92"/>
      <c r="AO645" s="92"/>
    </row>
    <row r="646" spans="2:41" s="83" customFormat="1" hidden="1">
      <c r="B646" s="95"/>
      <c r="C646" s="96"/>
      <c r="D646" s="163"/>
      <c r="E646" s="162"/>
      <c r="G646" s="589"/>
      <c r="H646" s="589"/>
      <c r="I646" s="589"/>
      <c r="J646" s="589"/>
      <c r="K646" s="589"/>
      <c r="L646" s="590"/>
      <c r="M646" s="590"/>
      <c r="N646" s="590"/>
      <c r="O646" s="590"/>
      <c r="P646" s="589"/>
      <c r="Q646" s="590"/>
      <c r="R646" s="590"/>
      <c r="S646" s="590"/>
      <c r="T646" s="590"/>
      <c r="U646" s="589"/>
      <c r="V646" s="590"/>
      <c r="W646" s="590"/>
      <c r="X646" s="1013"/>
      <c r="Y646" s="1013"/>
      <c r="Z646" s="466"/>
      <c r="AA646" s="711"/>
      <c r="AB646" s="711"/>
      <c r="AC646" s="711"/>
      <c r="AD646" s="711"/>
      <c r="AE646" s="466"/>
      <c r="AF646" s="466"/>
      <c r="AG646" s="201"/>
      <c r="AH646" s="92"/>
      <c r="AI646" s="92"/>
      <c r="AJ646" s="92"/>
      <c r="AK646" s="92"/>
      <c r="AL646" s="92"/>
      <c r="AM646" s="651"/>
      <c r="AN646" s="92"/>
      <c r="AO646" s="92"/>
    </row>
    <row r="647" spans="2:41" s="83" customFormat="1" hidden="1">
      <c r="B647" s="95"/>
      <c r="C647" s="96"/>
      <c r="D647" s="163" t="s">
        <v>737</v>
      </c>
      <c r="E647" s="162"/>
      <c r="G647" s="589"/>
      <c r="H647" s="589"/>
      <c r="I647" s="589"/>
      <c r="J647" s="589"/>
      <c r="K647" s="589"/>
      <c r="L647" s="590"/>
      <c r="M647" s="590"/>
      <c r="N647" s="590"/>
      <c r="O647" s="590"/>
      <c r="P647" s="589"/>
      <c r="Q647" s="590"/>
      <c r="R647" s="590"/>
      <c r="S647" s="590"/>
      <c r="T647" s="590"/>
      <c r="U647" s="589"/>
      <c r="V647" s="590"/>
      <c r="W647" s="590"/>
      <c r="X647" s="1013"/>
      <c r="Y647" s="1013"/>
      <c r="Z647" s="466"/>
      <c r="AA647" s="711"/>
      <c r="AB647" s="711"/>
      <c r="AC647" s="711"/>
      <c r="AD647" s="711"/>
      <c r="AE647" s="466"/>
      <c r="AF647" s="466"/>
      <c r="AG647" s="201"/>
      <c r="AH647" s="92"/>
      <c r="AI647" s="92"/>
      <c r="AJ647" s="92"/>
      <c r="AK647" s="92"/>
      <c r="AL647" s="92"/>
      <c r="AM647" s="651"/>
      <c r="AN647" s="92"/>
      <c r="AO647" s="92"/>
    </row>
    <row r="648" spans="2:41" s="83" customFormat="1" hidden="1">
      <c r="B648" s="95"/>
      <c r="C648" s="96"/>
      <c r="D648" s="163" t="s">
        <v>171</v>
      </c>
      <c r="E648" s="162"/>
      <c r="G648" s="589"/>
      <c r="H648" s="589"/>
      <c r="I648" s="589"/>
      <c r="J648" s="589"/>
      <c r="K648" s="589">
        <f>K623</f>
        <v>1.31</v>
      </c>
      <c r="L648" s="590"/>
      <c r="M648" s="590"/>
      <c r="N648" s="590"/>
      <c r="O648" s="590"/>
      <c r="P648" s="589">
        <f>P623</f>
        <v>1.33</v>
      </c>
      <c r="Q648" s="590"/>
      <c r="R648" s="590"/>
      <c r="S648" s="590"/>
      <c r="T648" s="590"/>
      <c r="U648" s="589">
        <f>U623</f>
        <v>1.1599999999999999</v>
      </c>
      <c r="V648" s="590"/>
      <c r="W648" s="590"/>
      <c r="X648" s="1013"/>
      <c r="Y648" s="1013"/>
      <c r="Z648" s="466"/>
      <c r="AA648" s="711"/>
      <c r="AB648" s="711"/>
      <c r="AC648" s="711"/>
      <c r="AD648" s="711"/>
      <c r="AE648" s="466"/>
      <c r="AF648" s="466"/>
      <c r="AG648" s="201"/>
      <c r="AH648" s="92"/>
      <c r="AI648" s="92"/>
      <c r="AJ648" s="92"/>
      <c r="AK648" s="92"/>
      <c r="AL648" s="92"/>
      <c r="AM648" s="651"/>
      <c r="AN648" s="92"/>
      <c r="AO648" s="92"/>
    </row>
    <row r="649" spans="2:41" s="83" customFormat="1" hidden="1">
      <c r="B649" s="95"/>
      <c r="C649" s="96"/>
      <c r="D649" s="163" t="s">
        <v>701</v>
      </c>
      <c r="E649" s="162"/>
      <c r="G649" s="589"/>
      <c r="H649" s="589"/>
      <c r="I649" s="589"/>
      <c r="J649" s="589"/>
      <c r="K649" s="589">
        <f>K624</f>
        <v>1.04994256237679</v>
      </c>
      <c r="L649" s="590"/>
      <c r="M649" s="590"/>
      <c r="N649" s="590"/>
      <c r="O649" s="590"/>
      <c r="P649" s="589">
        <f>P624</f>
        <v>1.0155656390751782</v>
      </c>
      <c r="Q649" s="590"/>
      <c r="R649" s="590"/>
      <c r="S649" s="590"/>
      <c r="T649" s="590"/>
      <c r="U649" s="589">
        <f>U624</f>
        <v>0.90653830528263057</v>
      </c>
      <c r="V649" s="590"/>
      <c r="W649" s="590"/>
      <c r="X649" s="1013"/>
      <c r="Y649" s="1013"/>
      <c r="Z649" s="466"/>
      <c r="AA649" s="711"/>
      <c r="AB649" s="711"/>
      <c r="AC649" s="711"/>
      <c r="AD649" s="711"/>
      <c r="AE649" s="466"/>
      <c r="AF649" s="466"/>
      <c r="AG649" s="201"/>
      <c r="AH649" s="92"/>
      <c r="AI649" s="92"/>
      <c r="AJ649" s="92"/>
      <c r="AK649" s="92"/>
      <c r="AL649" s="92"/>
      <c r="AM649" s="651"/>
      <c r="AN649" s="92"/>
      <c r="AO649" s="92"/>
    </row>
    <row r="650" spans="2:41" s="83" customFormat="1" hidden="1">
      <c r="B650" s="95"/>
      <c r="C650" s="96"/>
      <c r="D650" s="163" t="s">
        <v>726</v>
      </c>
      <c r="E650" s="162"/>
      <c r="G650" s="589"/>
      <c r="H650" s="589"/>
      <c r="I650" s="589"/>
      <c r="J650" s="589"/>
      <c r="K650" s="589">
        <v>17.18</v>
      </c>
      <c r="L650" s="590"/>
      <c r="M650" s="590"/>
      <c r="N650" s="590"/>
      <c r="O650" s="590"/>
      <c r="P650" s="589">
        <v>16.48</v>
      </c>
      <c r="Q650" s="590"/>
      <c r="R650" s="590"/>
      <c r="S650" s="590"/>
      <c r="T650" s="590"/>
      <c r="U650" s="589">
        <v>16.23</v>
      </c>
      <c r="V650" s="590"/>
      <c r="W650" s="590"/>
      <c r="X650" s="1013"/>
      <c r="Y650" s="1013"/>
      <c r="Z650" s="466"/>
      <c r="AA650" s="711"/>
      <c r="AB650" s="711"/>
      <c r="AC650" s="711"/>
      <c r="AD650" s="711"/>
      <c r="AE650" s="466"/>
      <c r="AF650" s="466"/>
      <c r="AG650" s="201"/>
      <c r="AH650" s="92"/>
      <c r="AI650" s="92"/>
      <c r="AJ650" s="92"/>
      <c r="AK650" s="92"/>
      <c r="AL650" s="92"/>
      <c r="AM650" s="651"/>
      <c r="AN650" s="92"/>
      <c r="AO650" s="92"/>
    </row>
    <row r="651" spans="2:41" s="83" customFormat="1" hidden="1">
      <c r="B651" s="95"/>
      <c r="C651" s="96"/>
      <c r="D651" s="163" t="s">
        <v>683</v>
      </c>
      <c r="E651" s="162"/>
      <c r="G651" s="589"/>
      <c r="H651" s="589"/>
      <c r="I651" s="589"/>
      <c r="J651" s="589"/>
      <c r="K651" s="589">
        <v>1257</v>
      </c>
      <c r="L651" s="590"/>
      <c r="M651" s="590"/>
      <c r="N651" s="590"/>
      <c r="O651" s="590"/>
      <c r="P651" s="589">
        <v>1268</v>
      </c>
      <c r="Q651" s="590"/>
      <c r="R651" s="590"/>
      <c r="S651" s="590"/>
      <c r="T651" s="590"/>
      <c r="U651" s="589">
        <v>1300</v>
      </c>
      <c r="V651" s="590"/>
      <c r="W651" s="590"/>
      <c r="X651" s="1013"/>
      <c r="Y651" s="1013"/>
      <c r="Z651" s="466"/>
      <c r="AA651" s="711"/>
      <c r="AB651" s="711"/>
      <c r="AC651" s="711"/>
      <c r="AD651" s="711"/>
      <c r="AE651" s="466"/>
      <c r="AF651" s="466"/>
      <c r="AG651" s="201"/>
      <c r="AH651" s="92"/>
      <c r="AI651" s="92"/>
      <c r="AJ651" s="92"/>
      <c r="AK651" s="92"/>
      <c r="AL651" s="92"/>
      <c r="AM651" s="651"/>
      <c r="AN651" s="92"/>
      <c r="AO651" s="92"/>
    </row>
    <row r="652" spans="2:41" s="83" customFormat="1" hidden="1">
      <c r="B652" s="95"/>
      <c r="C652" s="96"/>
      <c r="D652" s="163" t="s">
        <v>620</v>
      </c>
      <c r="E652" s="162"/>
      <c r="G652" s="589"/>
      <c r="H652" s="589"/>
      <c r="I652" s="589"/>
      <c r="J652" s="589"/>
      <c r="K652" s="589"/>
      <c r="L652" s="590"/>
      <c r="M652" s="590"/>
      <c r="N652" s="590"/>
      <c r="O652" s="590"/>
      <c r="P652" s="589"/>
      <c r="Q652" s="590"/>
      <c r="R652" s="590"/>
      <c r="S652" s="590"/>
      <c r="T652" s="590"/>
      <c r="U652" s="589"/>
      <c r="V652" s="590"/>
      <c r="W652" s="590"/>
      <c r="X652" s="1013"/>
      <c r="Y652" s="1013"/>
      <c r="Z652" s="466"/>
      <c r="AA652" s="711"/>
      <c r="AB652" s="711"/>
      <c r="AC652" s="711"/>
      <c r="AD652" s="711"/>
      <c r="AE652" s="466"/>
      <c r="AF652" s="466"/>
      <c r="AG652" s="201"/>
      <c r="AH652" s="92"/>
      <c r="AI652" s="92"/>
      <c r="AJ652" s="92"/>
      <c r="AK652" s="92"/>
      <c r="AL652" s="92"/>
      <c r="AM652" s="651"/>
      <c r="AN652" s="92"/>
      <c r="AO652" s="92"/>
    </row>
    <row r="653" spans="2:41" s="83" customFormat="1" hidden="1">
      <c r="B653" s="95"/>
      <c r="C653" s="96"/>
      <c r="D653" s="163"/>
      <c r="E653" s="162"/>
      <c r="G653" s="589"/>
      <c r="H653" s="589"/>
      <c r="I653" s="589"/>
      <c r="J653" s="589"/>
      <c r="K653" s="589"/>
      <c r="L653" s="590"/>
      <c r="M653" s="590"/>
      <c r="N653" s="590"/>
      <c r="O653" s="590"/>
      <c r="P653" s="589"/>
      <c r="Q653" s="590"/>
      <c r="R653" s="590"/>
      <c r="S653" s="590"/>
      <c r="T653" s="590"/>
      <c r="U653" s="589"/>
      <c r="V653" s="590"/>
      <c r="W653" s="590"/>
      <c r="X653" s="1013"/>
      <c r="Y653" s="1013"/>
      <c r="Z653" s="466"/>
      <c r="AA653" s="711"/>
      <c r="AB653" s="711"/>
      <c r="AC653" s="711"/>
      <c r="AD653" s="711"/>
      <c r="AE653" s="466"/>
      <c r="AF653" s="466"/>
      <c r="AG653" s="201"/>
      <c r="AH653" s="92"/>
      <c r="AI653" s="92"/>
      <c r="AJ653" s="92"/>
      <c r="AK653" s="92"/>
      <c r="AL653" s="92"/>
      <c r="AM653" s="651"/>
      <c r="AN653" s="92"/>
      <c r="AO653" s="92"/>
    </row>
    <row r="654" spans="2:41" s="83" customFormat="1" hidden="1">
      <c r="B654" s="95"/>
      <c r="C654" s="96"/>
      <c r="D654" s="554" t="s">
        <v>729</v>
      </c>
      <c r="E654" s="162"/>
      <c r="G654" s="589"/>
      <c r="H654" s="589"/>
      <c r="I654" s="589"/>
      <c r="J654" s="589"/>
      <c r="K654" s="589"/>
      <c r="L654" s="590"/>
      <c r="M654" s="590"/>
      <c r="N654" s="590"/>
      <c r="O654" s="590"/>
      <c r="P654" s="589"/>
      <c r="Q654" s="590"/>
      <c r="R654" s="590"/>
      <c r="S654" s="590"/>
      <c r="T654" s="590"/>
      <c r="U654" s="589"/>
      <c r="V654" s="590"/>
      <c r="W654" s="590"/>
      <c r="X654" s="1013"/>
      <c r="Y654" s="1013"/>
      <c r="Z654" s="466"/>
      <c r="AA654" s="711"/>
      <c r="AB654" s="711"/>
      <c r="AC654" s="711"/>
      <c r="AD654" s="711"/>
      <c r="AE654" s="466"/>
      <c r="AF654" s="466"/>
      <c r="AG654" s="201"/>
      <c r="AH654" s="92"/>
      <c r="AI654" s="92"/>
      <c r="AJ654" s="92"/>
      <c r="AK654" s="92"/>
      <c r="AL654" s="92"/>
      <c r="AM654" s="651"/>
      <c r="AN654" s="92"/>
      <c r="AO654" s="92"/>
    </row>
    <row r="655" spans="2:41" s="83" customFormat="1" hidden="1">
      <c r="B655" s="95"/>
      <c r="C655" s="96"/>
      <c r="D655" s="163" t="s">
        <v>171</v>
      </c>
      <c r="E655" s="162"/>
      <c r="G655" s="589"/>
      <c r="H655" s="589"/>
      <c r="I655" s="589"/>
      <c r="J655" s="589"/>
      <c r="K655" s="669">
        <v>1162</v>
      </c>
      <c r="L655" s="671"/>
      <c r="M655" s="671"/>
      <c r="N655" s="671"/>
      <c r="O655" s="671"/>
      <c r="P655" s="669">
        <v>1157</v>
      </c>
      <c r="Q655" s="671"/>
      <c r="R655" s="671"/>
      <c r="S655" s="671"/>
      <c r="T655" s="671"/>
      <c r="U655" s="669">
        <v>967</v>
      </c>
      <c r="V655" s="590"/>
      <c r="W655" s="590"/>
      <c r="X655" s="1013"/>
      <c r="Y655" s="1013"/>
      <c r="Z655" s="466"/>
      <c r="AA655" s="711"/>
      <c r="AB655" s="711"/>
      <c r="AC655" s="711"/>
      <c r="AD655" s="711"/>
      <c r="AE655" s="466"/>
      <c r="AF655" s="466"/>
      <c r="AG655" s="201"/>
      <c r="AH655" s="92"/>
      <c r="AI655" s="92"/>
      <c r="AJ655" s="92"/>
      <c r="AK655" s="92"/>
      <c r="AL655" s="92"/>
      <c r="AM655" s="651"/>
      <c r="AN655" s="92"/>
      <c r="AO655" s="92"/>
    </row>
    <row r="656" spans="2:41" s="83" customFormat="1" hidden="1">
      <c r="B656" s="95"/>
      <c r="C656" s="96"/>
      <c r="D656" s="163" t="s">
        <v>701</v>
      </c>
      <c r="E656" s="162"/>
      <c r="G656" s="589"/>
      <c r="H656" s="589"/>
      <c r="I656" s="589"/>
      <c r="J656" s="589"/>
      <c r="K656" s="669">
        <v>258</v>
      </c>
      <c r="L656" s="671"/>
      <c r="M656" s="671"/>
      <c r="N656" s="671"/>
      <c r="O656" s="671"/>
      <c r="P656" s="669">
        <v>168</v>
      </c>
      <c r="Q656" s="671"/>
      <c r="R656" s="671"/>
      <c r="S656" s="671"/>
      <c r="T656" s="671"/>
      <c r="U656" s="669">
        <v>182</v>
      </c>
      <c r="V656" s="590"/>
      <c r="W656" s="590"/>
      <c r="X656" s="1013"/>
      <c r="Y656" s="1013"/>
      <c r="Z656" s="466"/>
      <c r="AA656" s="711"/>
      <c r="AB656" s="711"/>
      <c r="AC656" s="711"/>
      <c r="AD656" s="711"/>
      <c r="AE656" s="466"/>
      <c r="AF656" s="466"/>
      <c r="AG656" s="201"/>
      <c r="AH656" s="92"/>
      <c r="AI656" s="92"/>
      <c r="AJ656" s="92"/>
      <c r="AK656" s="92"/>
      <c r="AL656" s="92"/>
      <c r="AM656" s="651"/>
      <c r="AN656" s="92"/>
      <c r="AO656" s="92"/>
    </row>
    <row r="657" spans="2:41" s="83" customFormat="1" hidden="1">
      <c r="B657" s="95"/>
      <c r="C657" s="96"/>
      <c r="D657" s="163" t="s">
        <v>726</v>
      </c>
      <c r="E657" s="162"/>
      <c r="G657" s="589"/>
      <c r="H657" s="589"/>
      <c r="I657" s="589"/>
      <c r="J657" s="589"/>
      <c r="K657" s="669">
        <v>480</v>
      </c>
      <c r="L657" s="671"/>
      <c r="M657" s="671"/>
      <c r="N657" s="671"/>
      <c r="O657" s="671"/>
      <c r="P657" s="669">
        <v>246</v>
      </c>
      <c r="Q657" s="671"/>
      <c r="R657" s="671"/>
      <c r="S657" s="671"/>
      <c r="T657" s="671"/>
      <c r="U657" s="669">
        <v>296</v>
      </c>
      <c r="V657" s="590"/>
      <c r="W657" s="590"/>
      <c r="X657" s="1013"/>
      <c r="Y657" s="1013"/>
      <c r="Z657" s="466"/>
      <c r="AA657" s="711"/>
      <c r="AB657" s="711"/>
      <c r="AC657" s="711"/>
      <c r="AD657" s="711"/>
      <c r="AE657" s="466"/>
      <c r="AF657" s="466"/>
      <c r="AG657" s="201"/>
      <c r="AH657" s="92"/>
      <c r="AI657" s="92"/>
      <c r="AJ657" s="92"/>
      <c r="AK657" s="92"/>
      <c r="AL657" s="92"/>
      <c r="AM657" s="651"/>
      <c r="AN657" s="92"/>
      <c r="AO657" s="92"/>
    </row>
    <row r="658" spans="2:41" s="83" customFormat="1" hidden="1">
      <c r="B658" s="95"/>
      <c r="C658" s="96"/>
      <c r="D658" s="163" t="s">
        <v>683</v>
      </c>
      <c r="E658" s="162"/>
      <c r="G658" s="589"/>
      <c r="H658" s="589"/>
      <c r="I658" s="589"/>
      <c r="J658" s="589"/>
      <c r="K658" s="669">
        <v>76</v>
      </c>
      <c r="L658" s="671"/>
      <c r="M658" s="671"/>
      <c r="N658" s="671"/>
      <c r="O658" s="671"/>
      <c r="P658" s="669">
        <v>58</v>
      </c>
      <c r="Q658" s="671"/>
      <c r="R658" s="671"/>
      <c r="S658" s="671"/>
      <c r="T658" s="671"/>
      <c r="U658" s="669">
        <v>62</v>
      </c>
      <c r="V658" s="590"/>
      <c r="W658" s="590"/>
      <c r="X658" s="1013"/>
      <c r="Y658" s="1013"/>
      <c r="Z658" s="466"/>
      <c r="AA658" s="711"/>
      <c r="AB658" s="711"/>
      <c r="AC658" s="711"/>
      <c r="AD658" s="711"/>
      <c r="AE658" s="466"/>
      <c r="AF658" s="466"/>
      <c r="AG658" s="201"/>
      <c r="AH658" s="92"/>
      <c r="AI658" s="92"/>
      <c r="AJ658" s="92"/>
      <c r="AK658" s="92"/>
      <c r="AL658" s="92"/>
      <c r="AM658" s="651"/>
      <c r="AN658" s="92"/>
      <c r="AO658" s="92"/>
    </row>
    <row r="659" spans="2:41" s="83" customFormat="1" hidden="1">
      <c r="B659" s="95"/>
      <c r="C659" s="96"/>
      <c r="D659" s="163" t="s">
        <v>730</v>
      </c>
      <c r="E659" s="162"/>
      <c r="G659" s="589"/>
      <c r="H659" s="589"/>
      <c r="I659" s="589"/>
      <c r="J659" s="589"/>
      <c r="K659" s="669">
        <v>1976</v>
      </c>
      <c r="L659" s="671"/>
      <c r="M659" s="671"/>
      <c r="N659" s="671"/>
      <c r="O659" s="671"/>
      <c r="P659" s="669">
        <v>1630</v>
      </c>
      <c r="Q659" s="671"/>
      <c r="R659" s="671"/>
      <c r="S659" s="671"/>
      <c r="T659" s="671"/>
      <c r="U659" s="669">
        <v>1507</v>
      </c>
      <c r="V659" s="590"/>
      <c r="W659" s="590"/>
      <c r="X659" s="1013"/>
      <c r="Y659" s="1013"/>
      <c r="Z659" s="466"/>
      <c r="AA659" s="711"/>
      <c r="AB659" s="711"/>
      <c r="AC659" s="711"/>
      <c r="AD659" s="711"/>
      <c r="AE659" s="466"/>
      <c r="AF659" s="466"/>
      <c r="AG659" s="201"/>
      <c r="AH659" s="92"/>
      <c r="AI659" s="92"/>
      <c r="AJ659" s="92"/>
      <c r="AK659" s="92"/>
      <c r="AL659" s="92"/>
      <c r="AM659" s="651"/>
      <c r="AN659" s="92"/>
      <c r="AO659" s="92"/>
    </row>
    <row r="660" spans="2:41" s="83" customFormat="1" hidden="1">
      <c r="B660" s="95"/>
      <c r="C660" s="96"/>
      <c r="D660" s="163"/>
      <c r="E660" s="162"/>
      <c r="G660" s="589"/>
      <c r="H660" s="589"/>
      <c r="I660" s="589"/>
      <c r="J660" s="589"/>
      <c r="K660" s="589"/>
      <c r="L660" s="590"/>
      <c r="M660" s="590"/>
      <c r="N660" s="590"/>
      <c r="O660" s="590"/>
      <c r="P660" s="589"/>
      <c r="Q660" s="590"/>
      <c r="R660" s="590"/>
      <c r="S660" s="590"/>
      <c r="T660" s="590"/>
      <c r="U660" s="589"/>
      <c r="V660" s="590"/>
      <c r="W660" s="590"/>
      <c r="X660" s="1013"/>
      <c r="Y660" s="1013"/>
      <c r="Z660" s="466"/>
      <c r="AA660" s="711"/>
      <c r="AB660" s="711"/>
      <c r="AC660" s="711"/>
      <c r="AD660" s="711"/>
      <c r="AE660" s="466"/>
      <c r="AF660" s="466"/>
      <c r="AG660" s="201"/>
      <c r="AH660" s="92"/>
      <c r="AI660" s="92"/>
      <c r="AJ660" s="92"/>
      <c r="AK660" s="92"/>
      <c r="AL660" s="92"/>
      <c r="AM660" s="651"/>
      <c r="AN660" s="92"/>
      <c r="AO660" s="92"/>
    </row>
    <row r="661" spans="2:41" s="83" customFormat="1" hidden="1">
      <c r="B661" s="95"/>
      <c r="C661" s="96"/>
      <c r="D661" s="163" t="s">
        <v>738</v>
      </c>
      <c r="E661" s="162"/>
      <c r="G661" s="589"/>
      <c r="H661" s="589"/>
      <c r="I661" s="589"/>
      <c r="J661" s="589"/>
      <c r="K661" s="589"/>
      <c r="L661" s="590"/>
      <c r="M661" s="590"/>
      <c r="N661" s="590"/>
      <c r="O661" s="590"/>
      <c r="P661" s="589"/>
      <c r="Q661" s="590"/>
      <c r="R661" s="590"/>
      <c r="S661" s="590"/>
      <c r="T661" s="590"/>
      <c r="U661" s="589"/>
      <c r="V661" s="590"/>
      <c r="W661" s="590"/>
      <c r="X661" s="1013"/>
      <c r="Y661" s="1013"/>
      <c r="Z661" s="466"/>
      <c r="AA661" s="711"/>
      <c r="AB661" s="711"/>
      <c r="AC661" s="711"/>
      <c r="AD661" s="711"/>
      <c r="AE661" s="466"/>
      <c r="AF661" s="466"/>
      <c r="AG661" s="201"/>
      <c r="AH661" s="92"/>
      <c r="AI661" s="92"/>
      <c r="AJ661" s="92"/>
      <c r="AK661" s="92"/>
      <c r="AL661" s="92"/>
      <c r="AM661" s="651"/>
      <c r="AN661" s="92"/>
      <c r="AO661" s="92"/>
    </row>
    <row r="662" spans="2:41" s="83" customFormat="1" hidden="1">
      <c r="B662" s="95"/>
      <c r="C662" s="96"/>
      <c r="D662" s="163" t="s">
        <v>171</v>
      </c>
      <c r="E662" s="162"/>
      <c r="G662" s="589"/>
      <c r="H662" s="589"/>
      <c r="I662" s="589"/>
      <c r="J662" s="589"/>
      <c r="K662" s="712">
        <f>((K641*1000)*(K648*2204.6))/1000000</f>
        <v>892.40003400000001</v>
      </c>
      <c r="L662" s="590"/>
      <c r="M662" s="590"/>
      <c r="N662" s="590"/>
      <c r="O662" s="590"/>
      <c r="P662" s="712">
        <f>((P641*1000)*(P648*2204.6))/1000000</f>
        <v>890.19102479999992</v>
      </c>
      <c r="Q662" s="590"/>
      <c r="R662" s="590"/>
      <c r="S662" s="590"/>
      <c r="T662" s="590"/>
      <c r="U662" s="712">
        <f>((U641*1000)*(U648*2204.6))/1000000</f>
        <v>727.05062479999992</v>
      </c>
      <c r="V662" s="590"/>
      <c r="W662" s="590"/>
      <c r="X662" s="1013"/>
      <c r="Y662" s="1013"/>
      <c r="Z662" s="466"/>
      <c r="AA662" s="711"/>
      <c r="AB662" s="711"/>
      <c r="AC662" s="711"/>
      <c r="AD662" s="711"/>
      <c r="AE662" s="466"/>
      <c r="AF662" s="466"/>
      <c r="AG662" s="201"/>
      <c r="AH662" s="92"/>
      <c r="AI662" s="92"/>
      <c r="AJ662" s="92"/>
      <c r="AK662" s="92"/>
      <c r="AL662" s="92"/>
      <c r="AM662" s="651"/>
      <c r="AN662" s="92"/>
      <c r="AO662" s="92"/>
    </row>
    <row r="663" spans="2:41" s="83" customFormat="1" hidden="1">
      <c r="B663" s="95"/>
      <c r="C663" s="96"/>
      <c r="D663" s="163" t="s">
        <v>701</v>
      </c>
      <c r="E663" s="162"/>
      <c r="G663" s="589"/>
      <c r="H663" s="589"/>
      <c r="I663" s="589"/>
      <c r="J663" s="589"/>
      <c r="K663" s="712">
        <f>((K642*1000)*(K649*2204.6))/1000000</f>
        <v>198.60154940476173</v>
      </c>
      <c r="L663" s="590"/>
      <c r="M663" s="590"/>
      <c r="N663" s="590"/>
      <c r="O663" s="590"/>
      <c r="P663" s="712">
        <f>((P642*1000)*(P649*2204.6))/1000000</f>
        <v>128.96156205533592</v>
      </c>
      <c r="Q663" s="590"/>
      <c r="R663" s="590"/>
      <c r="S663" s="590"/>
      <c r="T663" s="590"/>
      <c r="U663" s="712">
        <f>((U642*1000)*(U649*2204.6))/1000000</f>
        <v>136.10155108695653</v>
      </c>
      <c r="V663" s="590"/>
      <c r="W663" s="590"/>
      <c r="X663" s="1013"/>
      <c r="Y663" s="1013"/>
      <c r="Z663" s="466"/>
      <c r="AA663" s="711"/>
      <c r="AB663" s="711"/>
      <c r="AC663" s="711"/>
      <c r="AD663" s="711"/>
      <c r="AE663" s="466"/>
      <c r="AF663" s="466"/>
      <c r="AG663" s="201"/>
      <c r="AH663" s="92"/>
      <c r="AI663" s="92"/>
      <c r="AJ663" s="92"/>
      <c r="AK663" s="92"/>
      <c r="AL663" s="92"/>
      <c r="AM663" s="651"/>
      <c r="AN663" s="92"/>
      <c r="AO663" s="92"/>
    </row>
    <row r="664" spans="2:41" s="83" customFormat="1" hidden="1">
      <c r="B664" s="95"/>
      <c r="C664" s="96"/>
      <c r="D664" s="163" t="s">
        <v>726</v>
      </c>
      <c r="E664" s="162"/>
      <c r="G664" s="589"/>
      <c r="H664" s="589"/>
      <c r="I664" s="589"/>
      <c r="J664" s="589"/>
      <c r="K664" s="712">
        <f>((K643*1000000)*K650)/1000000</f>
        <v>377.96</v>
      </c>
      <c r="L664" s="590"/>
      <c r="M664" s="590"/>
      <c r="N664" s="590"/>
      <c r="O664" s="590"/>
      <c r="P664" s="712">
        <f>((P643*1000000)*P650)/1000000</f>
        <v>197.76</v>
      </c>
      <c r="Q664" s="590"/>
      <c r="R664" s="590"/>
      <c r="S664" s="590"/>
      <c r="T664" s="590"/>
      <c r="U664" s="712">
        <f>((U643*1000000)*U650)/1000000</f>
        <v>227.22</v>
      </c>
      <c r="V664" s="590"/>
      <c r="W664" s="590"/>
      <c r="X664" s="1013"/>
      <c r="Y664" s="1013"/>
      <c r="Z664" s="466"/>
      <c r="AA664" s="711"/>
      <c r="AB664" s="711"/>
      <c r="AC664" s="711"/>
      <c r="AD664" s="711"/>
      <c r="AE664" s="466"/>
      <c r="AF664" s="466"/>
      <c r="AG664" s="201"/>
      <c r="AH664" s="92"/>
      <c r="AI664" s="92"/>
      <c r="AJ664" s="92"/>
      <c r="AK664" s="92"/>
      <c r="AL664" s="92"/>
      <c r="AM664" s="651"/>
      <c r="AN664" s="92"/>
      <c r="AO664" s="92"/>
    </row>
    <row r="665" spans="2:41" s="83" customFormat="1" hidden="1">
      <c r="B665" s="95"/>
      <c r="C665" s="96"/>
      <c r="D665" s="163" t="s">
        <v>683</v>
      </c>
      <c r="E665" s="162"/>
      <c r="G665" s="589"/>
      <c r="H665" s="589"/>
      <c r="I665" s="589"/>
      <c r="J665" s="589"/>
      <c r="K665" s="712">
        <f>((K644*1000)*K651)/1000000</f>
        <v>59.079000000000001</v>
      </c>
      <c r="L665" s="590"/>
      <c r="M665" s="590"/>
      <c r="N665" s="590"/>
      <c r="O665" s="590"/>
      <c r="P665" s="712">
        <f>((P644*1000)*P651)/1000000</f>
        <v>44.38</v>
      </c>
      <c r="Q665" s="590"/>
      <c r="R665" s="590"/>
      <c r="S665" s="590"/>
      <c r="T665" s="590"/>
      <c r="U665" s="712">
        <f>((U644*1000)*U651)/1000000</f>
        <v>46.8</v>
      </c>
      <c r="V665" s="590"/>
      <c r="W665" s="590"/>
      <c r="X665" s="1013"/>
      <c r="Y665" s="1013"/>
      <c r="Z665" s="466"/>
      <c r="AA665" s="711"/>
      <c r="AB665" s="711"/>
      <c r="AC665" s="711"/>
      <c r="AD665" s="711"/>
      <c r="AE665" s="466"/>
      <c r="AF665" s="466"/>
      <c r="AG665" s="201"/>
      <c r="AH665" s="92"/>
      <c r="AI665" s="92"/>
      <c r="AJ665" s="92"/>
      <c r="AK665" s="92"/>
      <c r="AL665" s="92"/>
      <c r="AM665" s="651"/>
      <c r="AN665" s="92"/>
      <c r="AO665" s="92"/>
    </row>
    <row r="666" spans="2:41" s="83" customFormat="1" hidden="1">
      <c r="B666" s="95"/>
      <c r="C666" s="96"/>
      <c r="D666" s="163" t="s">
        <v>730</v>
      </c>
      <c r="E666" s="162"/>
      <c r="G666" s="589"/>
      <c r="H666" s="589"/>
      <c r="I666" s="589"/>
      <c r="J666" s="589"/>
      <c r="K666" s="713">
        <f>SUM(K662:K665)</f>
        <v>1528.0405834047617</v>
      </c>
      <c r="L666" s="590"/>
      <c r="M666" s="590"/>
      <c r="N666" s="590"/>
      <c r="O666" s="590"/>
      <c r="P666" s="713">
        <f>SUM(P662:P665)</f>
        <v>1261.2925868553359</v>
      </c>
      <c r="Q666" s="590"/>
      <c r="R666" s="590"/>
      <c r="S666" s="590"/>
      <c r="T666" s="590"/>
      <c r="U666" s="713">
        <f>SUM(U662:U665)</f>
        <v>1137.1721758869564</v>
      </c>
      <c r="V666" s="590"/>
      <c r="W666" s="590"/>
      <c r="X666" s="1013"/>
      <c r="Y666" s="1013"/>
      <c r="Z666" s="466"/>
      <c r="AA666" s="711"/>
      <c r="AB666" s="711"/>
      <c r="AC666" s="711"/>
      <c r="AD666" s="711"/>
      <c r="AE666" s="466"/>
      <c r="AF666" s="466"/>
      <c r="AG666" s="201"/>
      <c r="AH666" s="92"/>
      <c r="AI666" s="92"/>
      <c r="AJ666" s="92"/>
      <c r="AK666" s="92"/>
      <c r="AL666" s="92"/>
      <c r="AM666" s="651"/>
      <c r="AN666" s="92"/>
      <c r="AO666" s="92"/>
    </row>
    <row r="667" spans="2:41" s="83" customFormat="1" hidden="1">
      <c r="B667" s="95"/>
      <c r="C667" s="96"/>
      <c r="D667" s="163"/>
      <c r="E667" s="162"/>
      <c r="G667" s="589"/>
      <c r="H667" s="589"/>
      <c r="I667" s="589"/>
      <c r="J667" s="589"/>
      <c r="K667" s="589"/>
      <c r="L667" s="590"/>
      <c r="M667" s="590"/>
      <c r="N667" s="590"/>
      <c r="O667" s="590"/>
      <c r="P667" s="589"/>
      <c r="Q667" s="590"/>
      <c r="R667" s="590"/>
      <c r="S667" s="590"/>
      <c r="T667" s="590"/>
      <c r="U667" s="589"/>
      <c r="V667" s="590"/>
      <c r="W667" s="590"/>
      <c r="X667" s="1013"/>
      <c r="Y667" s="1013"/>
      <c r="Z667" s="466"/>
      <c r="AA667" s="711"/>
      <c r="AB667" s="711"/>
      <c r="AC667" s="711"/>
      <c r="AD667" s="711"/>
      <c r="AE667" s="466"/>
      <c r="AF667" s="466"/>
      <c r="AG667" s="201"/>
      <c r="AH667" s="92"/>
      <c r="AI667" s="92"/>
      <c r="AJ667" s="92"/>
      <c r="AK667" s="92"/>
      <c r="AL667" s="92"/>
      <c r="AM667" s="651"/>
      <c r="AN667" s="92"/>
      <c r="AO667" s="92"/>
    </row>
    <row r="668" spans="2:41" s="83" customFormat="1" hidden="1">
      <c r="B668" s="95"/>
      <c r="C668" s="96"/>
      <c r="D668" s="163" t="s">
        <v>739</v>
      </c>
      <c r="E668" s="162"/>
      <c r="G668" s="589"/>
      <c r="H668" s="589"/>
      <c r="I668" s="589"/>
      <c r="J668" s="589"/>
      <c r="K668" s="589"/>
      <c r="L668" s="590"/>
      <c r="M668" s="590"/>
      <c r="N668" s="590"/>
      <c r="O668" s="590"/>
      <c r="P668" s="589"/>
      <c r="Q668" s="590"/>
      <c r="R668" s="590"/>
      <c r="S668" s="590"/>
      <c r="T668" s="590"/>
      <c r="U668" s="589"/>
      <c r="V668" s="590"/>
      <c r="W668" s="590"/>
      <c r="X668" s="1013"/>
      <c r="Y668" s="1013"/>
      <c r="Z668" s="466"/>
      <c r="AA668" s="711"/>
      <c r="AB668" s="711"/>
      <c r="AC668" s="711"/>
      <c r="AD668" s="711"/>
      <c r="AE668" s="466"/>
      <c r="AF668" s="466"/>
      <c r="AG668" s="201"/>
      <c r="AH668" s="92"/>
      <c r="AI668" s="92"/>
      <c r="AJ668" s="92"/>
      <c r="AK668" s="92"/>
      <c r="AL668" s="92"/>
      <c r="AM668" s="651"/>
      <c r="AN668" s="92"/>
      <c r="AO668" s="92"/>
    </row>
    <row r="669" spans="2:41" s="83" customFormat="1" hidden="1">
      <c r="B669" s="95"/>
      <c r="C669" s="96"/>
      <c r="D669" s="163" t="s">
        <v>171</v>
      </c>
      <c r="E669" s="162"/>
      <c r="G669" s="589"/>
      <c r="H669" s="589"/>
      <c r="I669" s="589"/>
      <c r="J669" s="589"/>
      <c r="K669" s="714">
        <f>K655/K662</f>
        <v>1.3021066290098327</v>
      </c>
      <c r="L669" s="590"/>
      <c r="M669" s="590"/>
      <c r="N669" s="590"/>
      <c r="O669" s="590"/>
      <c r="P669" s="714">
        <f>P655/P662</f>
        <v>1.2997210348868034</v>
      </c>
      <c r="Q669" s="590"/>
      <c r="R669" s="590"/>
      <c r="S669" s="590"/>
      <c r="T669" s="590"/>
      <c r="U669" s="714">
        <f>U655/U662</f>
        <v>1.330031179418911</v>
      </c>
      <c r="V669" s="590"/>
      <c r="W669" s="590"/>
      <c r="X669" s="1013"/>
      <c r="Y669" s="1013"/>
      <c r="Z669" s="466"/>
      <c r="AA669" s="711"/>
      <c r="AB669" s="711"/>
      <c r="AC669" s="711"/>
      <c r="AD669" s="711"/>
      <c r="AE669" s="466"/>
      <c r="AF669" s="466"/>
      <c r="AG669" s="201"/>
      <c r="AH669" s="92"/>
      <c r="AI669" s="92"/>
      <c r="AJ669" s="92"/>
      <c r="AK669" s="92"/>
      <c r="AL669" s="92"/>
      <c r="AM669" s="651"/>
      <c r="AN669" s="92"/>
      <c r="AO669" s="92"/>
    </row>
    <row r="670" spans="2:41" s="83" customFormat="1" hidden="1">
      <c r="B670" s="95"/>
      <c r="C670" s="96"/>
      <c r="D670" s="163" t="s">
        <v>701</v>
      </c>
      <c r="E670" s="162"/>
      <c r="G670" s="589"/>
      <c r="H670" s="589"/>
      <c r="I670" s="589"/>
      <c r="J670" s="589"/>
      <c r="K670" s="714">
        <f>K656/K663</f>
        <v>1.2990835206133298</v>
      </c>
      <c r="L670" s="590"/>
      <c r="M670" s="590"/>
      <c r="N670" s="590"/>
      <c r="O670" s="590"/>
      <c r="P670" s="714">
        <f>P656/P663</f>
        <v>1.3027137491395548</v>
      </c>
      <c r="Q670" s="590"/>
      <c r="R670" s="590"/>
      <c r="S670" s="590"/>
      <c r="T670" s="590"/>
      <c r="U670" s="714">
        <f>U656/U663</f>
        <v>1.3372367805251428</v>
      </c>
      <c r="V670" s="590"/>
      <c r="W670" s="590"/>
      <c r="X670" s="1013"/>
      <c r="Y670" s="1013"/>
      <c r="Z670" s="466"/>
      <c r="AA670" s="711"/>
      <c r="AB670" s="711"/>
      <c r="AC670" s="711"/>
      <c r="AD670" s="711"/>
      <c r="AE670" s="466"/>
      <c r="AF670" s="466"/>
      <c r="AG670" s="201"/>
      <c r="AH670" s="92"/>
      <c r="AI670" s="92"/>
      <c r="AJ670" s="92"/>
      <c r="AK670" s="92"/>
      <c r="AL670" s="92"/>
      <c r="AM670" s="651"/>
      <c r="AN670" s="92"/>
      <c r="AO670" s="92"/>
    </row>
    <row r="671" spans="2:41" s="83" customFormat="1" hidden="1">
      <c r="B671" s="95"/>
      <c r="C671" s="96"/>
      <c r="D671" s="163" t="s">
        <v>726</v>
      </c>
      <c r="E671" s="162"/>
      <c r="G671" s="589"/>
      <c r="H671" s="589"/>
      <c r="I671" s="589"/>
      <c r="J671" s="589"/>
      <c r="K671" s="714">
        <f>K657/K664</f>
        <v>1.2699756587998732</v>
      </c>
      <c r="L671" s="590"/>
      <c r="M671" s="590"/>
      <c r="N671" s="590"/>
      <c r="O671" s="590"/>
      <c r="P671" s="714">
        <f>P657/P664</f>
        <v>1.2439320388349515</v>
      </c>
      <c r="Q671" s="590"/>
      <c r="R671" s="590"/>
      <c r="S671" s="590"/>
      <c r="T671" s="590"/>
      <c r="U671" s="714">
        <f>U657/U664</f>
        <v>1.3027022269166446</v>
      </c>
      <c r="V671" s="590"/>
      <c r="W671" s="590"/>
      <c r="X671" s="1013"/>
      <c r="Y671" s="1013"/>
      <c r="Z671" s="466"/>
      <c r="AA671" s="711"/>
      <c r="AB671" s="711"/>
      <c r="AC671" s="711"/>
      <c r="AD671" s="711"/>
      <c r="AE671" s="466"/>
      <c r="AF671" s="466"/>
      <c r="AG671" s="201"/>
      <c r="AH671" s="92"/>
      <c r="AI671" s="92"/>
      <c r="AJ671" s="92"/>
      <c r="AK671" s="92"/>
      <c r="AL671" s="92"/>
      <c r="AM671" s="651"/>
      <c r="AN671" s="92"/>
      <c r="AO671" s="92"/>
    </row>
    <row r="672" spans="2:41" s="83" customFormat="1" hidden="1">
      <c r="B672" s="95"/>
      <c r="C672" s="96"/>
      <c r="D672" s="163" t="s">
        <v>683</v>
      </c>
      <c r="E672" s="162"/>
      <c r="G672" s="589"/>
      <c r="H672" s="589"/>
      <c r="I672" s="589"/>
      <c r="J672" s="589"/>
      <c r="K672" s="714">
        <f>K658/K665</f>
        <v>1.2864131078725096</v>
      </c>
      <c r="L672" s="590"/>
      <c r="M672" s="590"/>
      <c r="N672" s="590"/>
      <c r="O672" s="590"/>
      <c r="P672" s="714">
        <f>P658/P665</f>
        <v>1.3068949977467328</v>
      </c>
      <c r="Q672" s="590"/>
      <c r="R672" s="590"/>
      <c r="S672" s="590"/>
      <c r="T672" s="590"/>
      <c r="U672" s="714">
        <f>U658/U665</f>
        <v>1.324786324786325</v>
      </c>
      <c r="V672" s="590"/>
      <c r="W672" s="590"/>
      <c r="X672" s="1013"/>
      <c r="Y672" s="1013"/>
      <c r="Z672" s="466"/>
      <c r="AA672" s="711"/>
      <c r="AB672" s="711"/>
      <c r="AC672" s="711"/>
      <c r="AD672" s="711"/>
      <c r="AE672" s="466"/>
      <c r="AF672" s="466"/>
      <c r="AG672" s="201"/>
      <c r="AH672" s="92"/>
      <c r="AI672" s="92"/>
      <c r="AJ672" s="92"/>
      <c r="AK672" s="92"/>
      <c r="AL672" s="92"/>
      <c r="AM672" s="651"/>
      <c r="AN672" s="92"/>
      <c r="AO672" s="92"/>
    </row>
    <row r="673" spans="2:41" s="83" customFormat="1" hidden="1">
      <c r="B673" s="95"/>
      <c r="C673" s="96"/>
      <c r="D673" s="163" t="s">
        <v>730</v>
      </c>
      <c r="E673" s="162"/>
      <c r="G673" s="589"/>
      <c r="H673" s="589"/>
      <c r="I673" s="589"/>
      <c r="J673" s="589"/>
      <c r="K673" s="714">
        <f>K659/K666</f>
        <v>1.2931593711975244</v>
      </c>
      <c r="L673" s="590"/>
      <c r="M673" s="590"/>
      <c r="N673" s="590"/>
      <c r="O673" s="590"/>
      <c r="P673" s="714">
        <f>P659/P666</f>
        <v>1.2923250457405193</v>
      </c>
      <c r="Q673" s="590"/>
      <c r="R673" s="590"/>
      <c r="S673" s="590"/>
      <c r="T673" s="590"/>
      <c r="U673" s="714">
        <f>U659/U666</f>
        <v>1.325217088454165</v>
      </c>
      <c r="V673" s="590"/>
      <c r="W673" s="590"/>
      <c r="X673" s="1013"/>
      <c r="Y673" s="1013"/>
      <c r="Z673" s="466"/>
      <c r="AA673" s="711"/>
      <c r="AB673" s="711"/>
      <c r="AC673" s="711"/>
      <c r="AD673" s="711"/>
      <c r="AE673" s="466"/>
      <c r="AF673" s="466"/>
      <c r="AG673" s="201"/>
      <c r="AH673" s="92"/>
      <c r="AI673" s="92"/>
      <c r="AJ673" s="92"/>
      <c r="AK673" s="92"/>
      <c r="AL673" s="92"/>
      <c r="AM673" s="651"/>
      <c r="AN673" s="92"/>
      <c r="AO673" s="92"/>
    </row>
    <row r="674" spans="2:41" s="83" customFormat="1">
      <c r="B674" s="95"/>
      <c r="C674" s="96"/>
      <c r="D674" s="554" t="s">
        <v>740</v>
      </c>
      <c r="E674" s="653"/>
      <c r="F674" s="586"/>
      <c r="G674" s="605"/>
      <c r="H674" s="605"/>
      <c r="I674" s="605"/>
      <c r="J674" s="605"/>
      <c r="K674" s="605"/>
      <c r="L674" s="182"/>
      <c r="M674" s="182"/>
      <c r="N674" s="182"/>
      <c r="O674" s="182"/>
      <c r="P674" s="605"/>
      <c r="Q674" s="182"/>
      <c r="R674" s="182"/>
      <c r="S674" s="182"/>
      <c r="T674" s="182"/>
      <c r="U674" s="588"/>
      <c r="V674" s="705"/>
      <c r="W674" s="705"/>
      <c r="X674" s="705"/>
      <c r="Y674" s="705"/>
      <c r="Z674" s="588"/>
      <c r="AA674" s="705"/>
      <c r="AB674" s="705"/>
      <c r="AC674" s="705"/>
      <c r="AD674" s="705"/>
      <c r="AE674" s="588"/>
      <c r="AF674" s="588"/>
      <c r="AG674" s="588"/>
      <c r="AH674" s="588"/>
      <c r="AI674" s="588"/>
      <c r="AJ674" s="588"/>
      <c r="AK674" s="588"/>
      <c r="AL674" s="588"/>
      <c r="AM674" s="651"/>
      <c r="AN674" s="92"/>
      <c r="AO674" s="92"/>
    </row>
    <row r="675" spans="2:41" s="83" customFormat="1">
      <c r="B675" s="95" t="s">
        <v>633</v>
      </c>
      <c r="C675" s="96"/>
      <c r="D675" s="715" t="s">
        <v>743</v>
      </c>
      <c r="E675" s="557"/>
      <c r="F675" s="558"/>
      <c r="G675" s="1105">
        <v>-228</v>
      </c>
      <c r="H675" s="1105">
        <v>-275</v>
      </c>
      <c r="I675" s="1105">
        <v>-337</v>
      </c>
      <c r="J675" s="1105">
        <v>-430</v>
      </c>
      <c r="K675" s="1105">
        <v>-635</v>
      </c>
      <c r="L675" s="685">
        <v>-185</v>
      </c>
      <c r="M675" s="685">
        <v>-162</v>
      </c>
      <c r="N675" s="1104">
        <v>-154</v>
      </c>
      <c r="O675" s="1104">
        <v>-149</v>
      </c>
      <c r="P675" s="1105">
        <v>-650</v>
      </c>
      <c r="Q675" s="1104">
        <v>-132</v>
      </c>
      <c r="R675" s="1104">
        <v>-140</v>
      </c>
      <c r="S675" s="1104">
        <v>-136</v>
      </c>
      <c r="T675" s="1104">
        <v>-111</v>
      </c>
      <c r="U675" s="1105">
        <v>-519</v>
      </c>
      <c r="V675" s="1104">
        <v>-96</v>
      </c>
      <c r="W675" s="1104">
        <v>-89</v>
      </c>
      <c r="X675" s="1104">
        <v>-139</v>
      </c>
      <c r="Y675" s="1104">
        <v>-140</v>
      </c>
      <c r="Z675" s="606">
        <f>SUM(V675:Y675)</f>
        <v>-464</v>
      </c>
      <c r="AA675" s="1104">
        <v>-130</v>
      </c>
      <c r="AB675" s="1104">
        <v>-106</v>
      </c>
      <c r="AC675" s="685">
        <f>-(AC757*0.3)*(AC761*2204.6)/1000</f>
        <v>-126</v>
      </c>
      <c r="AD675" s="685">
        <f>-(AD757*0.3)*(AD761*2204.6)/1000</f>
        <v>-173.376</v>
      </c>
      <c r="AE675" s="606">
        <f t="shared" ref="AE675:AE683" si="596">SUM(AA675:AD675)</f>
        <v>-535.37599999999998</v>
      </c>
      <c r="AF675" s="606">
        <f>-(AF757*0.3)*(AF761*2204.6)/1000</f>
        <v>-465.1265880217785</v>
      </c>
      <c r="AG675" s="606">
        <f t="shared" ref="AG675:AL675" si="597">-(AG757*0.3)*(AG761*2204.6)/1000</f>
        <v>-495.13475499092556</v>
      </c>
      <c r="AH675" s="606">
        <f t="shared" si="597"/>
        <v>-480.13067150635209</v>
      </c>
      <c r="AI675" s="606">
        <f t="shared" si="597"/>
        <v>-450.12250453720509</v>
      </c>
      <c r="AJ675" s="606">
        <f t="shared" si="597"/>
        <v>-382.524</v>
      </c>
      <c r="AK675" s="606">
        <f t="shared" si="597"/>
        <v>-382.524</v>
      </c>
      <c r="AL675" s="606">
        <f t="shared" si="597"/>
        <v>-382.524</v>
      </c>
      <c r="AM675" s="651"/>
      <c r="AN675" s="92"/>
      <c r="AO675" s="92"/>
    </row>
    <row r="676" spans="2:41" s="83" customFormat="1">
      <c r="B676" s="95" t="s">
        <v>633</v>
      </c>
      <c r="C676" s="96"/>
      <c r="D676" s="715" t="s">
        <v>744</v>
      </c>
      <c r="E676" s="557"/>
      <c r="F676" s="558"/>
      <c r="G676" s="1105">
        <v>-917</v>
      </c>
      <c r="H676" s="1105">
        <v>-767</v>
      </c>
      <c r="I676" s="1105">
        <v>-783</v>
      </c>
      <c r="J676" s="1105">
        <v>-846</v>
      </c>
      <c r="K676" s="1105">
        <v>-845</v>
      </c>
      <c r="L676" s="1104">
        <v>-179</v>
      </c>
      <c r="M676" s="1104">
        <v>-159</v>
      </c>
      <c r="N676" s="1104">
        <v>-149</v>
      </c>
      <c r="O676" s="1104">
        <v>-103</v>
      </c>
      <c r="P676" s="1105">
        <v>-590</v>
      </c>
      <c r="Q676" s="1104">
        <v>-168</v>
      </c>
      <c r="R676" s="1104">
        <v>-178</v>
      </c>
      <c r="S676" s="1104">
        <v>-154</v>
      </c>
      <c r="T676" s="1104">
        <v>-144</v>
      </c>
      <c r="U676" s="1105">
        <v>-644</v>
      </c>
      <c r="V676" s="611">
        <v>-181</v>
      </c>
      <c r="W676" s="611">
        <f>W677-W675</f>
        <v>-128</v>
      </c>
      <c r="X676" s="611">
        <f>X677-X675</f>
        <v>-128</v>
      </c>
      <c r="Y676" s="685">
        <f>Y677-Y675</f>
        <v>-136</v>
      </c>
      <c r="Z676" s="606">
        <f>SUM(V676:Y676)</f>
        <v>-573</v>
      </c>
      <c r="AA676" s="611">
        <f>AA677-AA675</f>
        <v>-128</v>
      </c>
      <c r="AB676" s="611">
        <f>AB677-AB675</f>
        <v>-179</v>
      </c>
      <c r="AC676" s="685">
        <f>AC677-AC675</f>
        <v>-225.74086999999997</v>
      </c>
      <c r="AD676" s="685">
        <f>AD677-AD675</f>
        <v>-217.15453707964602</v>
      </c>
      <c r="AE676" s="606">
        <f t="shared" si="596"/>
        <v>-749.89540707964602</v>
      </c>
      <c r="AF676" s="606">
        <f>AF677-AF675</f>
        <v>-956.67189201451913</v>
      </c>
      <c r="AG676" s="606">
        <f t="shared" ref="AG676:AL676" si="598">AG677-AG675</f>
        <v>-959.63218666061675</v>
      </c>
      <c r="AH676" s="606">
        <f t="shared" si="598"/>
        <v>-953.58911433756805</v>
      </c>
      <c r="AI676" s="606">
        <f t="shared" si="598"/>
        <v>-922.56066969146991</v>
      </c>
      <c r="AJ676" s="606">
        <f t="shared" si="598"/>
        <v>-852.66381599999988</v>
      </c>
      <c r="AK676" s="606">
        <f t="shared" si="598"/>
        <v>-852.66381599999988</v>
      </c>
      <c r="AL676" s="606">
        <f t="shared" si="598"/>
        <v>-852.66381599999988</v>
      </c>
      <c r="AM676" s="651"/>
      <c r="AN676" s="92"/>
      <c r="AO676" s="92"/>
    </row>
    <row r="677" spans="2:41" s="83" customFormat="1">
      <c r="B677" s="95" t="s">
        <v>633</v>
      </c>
      <c r="C677" s="96"/>
      <c r="D677" s="163" t="s">
        <v>745</v>
      </c>
      <c r="E677" s="162"/>
      <c r="G677" s="90">
        <v>-1145</v>
      </c>
      <c r="H677" s="90">
        <v>-1042</v>
      </c>
      <c r="I677" s="90">
        <v>-1120</v>
      </c>
      <c r="J677" s="90">
        <v>-1276</v>
      </c>
      <c r="K677" s="90">
        <v>-1480</v>
      </c>
      <c r="L677" s="91">
        <v>-364</v>
      </c>
      <c r="M677" s="91">
        <v>-321</v>
      </c>
      <c r="N677" s="91">
        <v>-303</v>
      </c>
      <c r="O677" s="91">
        <v>-252</v>
      </c>
      <c r="P677" s="90">
        <v>-1240</v>
      </c>
      <c r="Q677" s="91">
        <v>-300</v>
      </c>
      <c r="R677" s="91">
        <v>-322</v>
      </c>
      <c r="S677" s="91">
        <v>-290</v>
      </c>
      <c r="T677" s="91">
        <v>-255</v>
      </c>
      <c r="U677" s="90">
        <v>-1163</v>
      </c>
      <c r="V677" s="91">
        <v>-277</v>
      </c>
      <c r="W677" s="91">
        <v>-217</v>
      </c>
      <c r="X677" s="91">
        <v>-267</v>
      </c>
      <c r="Y677" s="91">
        <v>-276</v>
      </c>
      <c r="Z677" s="95">
        <f>SUM(V677:Y677)</f>
        <v>-1037</v>
      </c>
      <c r="AA677" s="91">
        <v>-258</v>
      </c>
      <c r="AB677" s="91">
        <v>-285</v>
      </c>
      <c r="AC677" s="126">
        <f>-AC634</f>
        <v>-351.74086999999997</v>
      </c>
      <c r="AD677" s="126">
        <f>-AD634</f>
        <v>-390.53053707964602</v>
      </c>
      <c r="AE677" s="95">
        <f t="shared" si="596"/>
        <v>-1285.271407079646</v>
      </c>
      <c r="AF677" s="95">
        <f>-AF634</f>
        <v>-1421.7984800362976</v>
      </c>
      <c r="AG677" s="95">
        <f t="shared" ref="AG677:AL677" si="599">-AG634</f>
        <v>-1454.7669416515423</v>
      </c>
      <c r="AH677" s="95">
        <f t="shared" si="599"/>
        <v>-1433.7197858439201</v>
      </c>
      <c r="AI677" s="95">
        <f t="shared" si="599"/>
        <v>-1372.6831742286749</v>
      </c>
      <c r="AJ677" s="95">
        <f t="shared" si="599"/>
        <v>-1235.1878159999999</v>
      </c>
      <c r="AK677" s="95">
        <f t="shared" si="599"/>
        <v>-1235.1878159999999</v>
      </c>
      <c r="AL677" s="95">
        <f t="shared" si="599"/>
        <v>-1235.1878159999999</v>
      </c>
      <c r="AM677" s="651"/>
      <c r="AN677" s="92"/>
      <c r="AO677" s="92"/>
    </row>
    <row r="678" spans="2:41" s="83" customFormat="1">
      <c r="B678" s="95" t="s">
        <v>633</v>
      </c>
      <c r="C678" s="96"/>
      <c r="D678" s="163" t="s">
        <v>642</v>
      </c>
      <c r="E678" s="162"/>
      <c r="G678" s="90">
        <v>-386</v>
      </c>
      <c r="H678" s="90">
        <v>-393</v>
      </c>
      <c r="I678" s="90">
        <v>-384</v>
      </c>
      <c r="J678" s="90">
        <v>-394</v>
      </c>
      <c r="K678" s="90">
        <v>-437</v>
      </c>
      <c r="L678" s="91">
        <v>-99</v>
      </c>
      <c r="M678" s="91">
        <v>-113</v>
      </c>
      <c r="N678" s="91">
        <v>-122</v>
      </c>
      <c r="O678" s="91">
        <v>-133</v>
      </c>
      <c r="P678" s="90">
        <v>-467</v>
      </c>
      <c r="Q678" s="91">
        <v>-126</v>
      </c>
      <c r="R678" s="91">
        <v>-137</v>
      </c>
      <c r="S678" s="91">
        <v>-124</v>
      </c>
      <c r="T678" s="91">
        <v>-130</v>
      </c>
      <c r="U678" s="90">
        <v>-519</v>
      </c>
      <c r="V678" s="91">
        <v>-126</v>
      </c>
      <c r="W678" s="91">
        <v>-128</v>
      </c>
      <c r="X678" s="91">
        <v>-123</v>
      </c>
      <c r="Y678" s="91">
        <v>-134</v>
      </c>
      <c r="Z678" s="95">
        <f t="shared" ref="Z678:Z683" si="600">SUM(V678:Y678)</f>
        <v>-511</v>
      </c>
      <c r="AA678" s="91">
        <v>-127</v>
      </c>
      <c r="AB678" s="91">
        <v>-150</v>
      </c>
      <c r="AC678" s="126">
        <f>-(AC687*(AC617+AC618))/1000</f>
        <v>-137.59200000000001</v>
      </c>
      <c r="AD678" s="126">
        <f>-(AD687*(AD617+AD618))/1000</f>
        <v>-152.76552212389382</v>
      </c>
      <c r="AE678" s="95">
        <f t="shared" si="596"/>
        <v>-567.35752212389377</v>
      </c>
      <c r="AF678" s="95">
        <f>-(AF687*(AF617+AF618))/1000</f>
        <v>-529.20000000000005</v>
      </c>
      <c r="AG678" s="95">
        <f t="shared" ref="AG678:AL678" si="601">-(AG687*(AG617+AG618))/1000</f>
        <v>-529.20000000000005</v>
      </c>
      <c r="AH678" s="95">
        <f t="shared" si="601"/>
        <v>-529.20000000000005</v>
      </c>
      <c r="AI678" s="95">
        <f t="shared" si="601"/>
        <v>-529.20000000000005</v>
      </c>
      <c r="AJ678" s="95">
        <f t="shared" si="601"/>
        <v>-529.20000000000005</v>
      </c>
      <c r="AK678" s="95">
        <f t="shared" si="601"/>
        <v>-529.20000000000005</v>
      </c>
      <c r="AL678" s="95">
        <f t="shared" si="601"/>
        <v>-529.20000000000005</v>
      </c>
      <c r="AM678" s="651"/>
      <c r="AN678" s="92"/>
      <c r="AO678" s="92"/>
    </row>
    <row r="679" spans="2:41" s="83" customFormat="1">
      <c r="B679" s="95" t="s">
        <v>633</v>
      </c>
      <c r="C679" s="96"/>
      <c r="D679" s="163" t="s">
        <v>741</v>
      </c>
      <c r="E679" s="162"/>
      <c r="G679" s="90">
        <v>-108</v>
      </c>
      <c r="H679" s="90">
        <v>-122</v>
      </c>
      <c r="I679" s="90">
        <v>-138</v>
      </c>
      <c r="J679" s="90">
        <v>-138</v>
      </c>
      <c r="K679" s="90">
        <v>-140</v>
      </c>
      <c r="L679" s="91">
        <v>-34</v>
      </c>
      <c r="M679" s="91">
        <v>-39</v>
      </c>
      <c r="N679" s="91">
        <v>-35</v>
      </c>
      <c r="O679" s="91">
        <v>-36</v>
      </c>
      <c r="P679" s="90">
        <v>-144</v>
      </c>
      <c r="Q679" s="91">
        <v>-36</v>
      </c>
      <c r="R679" s="91">
        <v>-38</v>
      </c>
      <c r="S679" s="91">
        <v>-40</v>
      </c>
      <c r="T679" s="91">
        <v>-33</v>
      </c>
      <c r="U679" s="90">
        <v>-147</v>
      </c>
      <c r="V679" s="91">
        <v>-38</v>
      </c>
      <c r="W679" s="91">
        <v>-37</v>
      </c>
      <c r="X679" s="91">
        <v>-37</v>
      </c>
      <c r="Y679" s="91">
        <v>-36</v>
      </c>
      <c r="Z679" s="95">
        <f t="shared" si="600"/>
        <v>-148</v>
      </c>
      <c r="AA679" s="91">
        <v>-33</v>
      </c>
      <c r="AB679" s="91">
        <v>-33</v>
      </c>
      <c r="AC679" s="126">
        <f>-(AC688*(AC617+AC618))/1000</f>
        <v>-38.582068965517244</v>
      </c>
      <c r="AD679" s="126">
        <f>-(AD688*(AD617+AD618))/1000</f>
        <v>-42.836864862327182</v>
      </c>
      <c r="AE679" s="95">
        <f t="shared" si="596"/>
        <v>-147.41893382784443</v>
      </c>
      <c r="AF679" s="95">
        <f>-(AF688*(AF617+AF618))/1000</f>
        <v>-148.39257294429709</v>
      </c>
      <c r="AG679" s="95">
        <f t="shared" ref="AG679:AL679" si="602">-(AG688*(AG617+AG618))/1000</f>
        <v>-148.39257294429709</v>
      </c>
      <c r="AH679" s="95">
        <f t="shared" si="602"/>
        <v>-148.39257294429709</v>
      </c>
      <c r="AI679" s="95">
        <f t="shared" si="602"/>
        <v>-148.39257294429709</v>
      </c>
      <c r="AJ679" s="95">
        <f t="shared" si="602"/>
        <v>-148.39257294429709</v>
      </c>
      <c r="AK679" s="95">
        <f t="shared" si="602"/>
        <v>-148.39257294429709</v>
      </c>
      <c r="AL679" s="95">
        <f t="shared" si="602"/>
        <v>-148.39257294429709</v>
      </c>
      <c r="AM679" s="651"/>
      <c r="AN679" s="92"/>
      <c r="AO679" s="92"/>
    </row>
    <row r="680" spans="2:41" s="83" customFormat="1">
      <c r="B680" s="95" t="s">
        <v>633</v>
      </c>
      <c r="C680" s="96"/>
      <c r="D680" s="163" t="s">
        <v>742</v>
      </c>
      <c r="E680" s="162"/>
      <c r="G680" s="90">
        <v>-51</v>
      </c>
      <c r="H680" s="90">
        <v>-66</v>
      </c>
      <c r="I680" s="90">
        <v>-81</v>
      </c>
      <c r="J680" s="90">
        <v>-63</v>
      </c>
      <c r="K680" s="90">
        <v>-78</v>
      </c>
      <c r="L680" s="91">
        <v>-19</v>
      </c>
      <c r="M680" s="91">
        <v>-18</v>
      </c>
      <c r="N680" s="91">
        <v>-19</v>
      </c>
      <c r="O680" s="91">
        <v>-19</v>
      </c>
      <c r="P680" s="90">
        <v>-75</v>
      </c>
      <c r="Q680" s="180">
        <v>-20</v>
      </c>
      <c r="R680" s="180">
        <v>-21</v>
      </c>
      <c r="S680" s="91">
        <v>-22</v>
      </c>
      <c r="T680" s="91">
        <v>-23</v>
      </c>
      <c r="U680" s="90">
        <v>-86</v>
      </c>
      <c r="V680" s="180">
        <v>-22</v>
      </c>
      <c r="W680" s="180">
        <v>-23</v>
      </c>
      <c r="X680" s="180">
        <v>-21</v>
      </c>
      <c r="Y680" s="180">
        <v>-22</v>
      </c>
      <c r="Z680" s="95">
        <f t="shared" si="600"/>
        <v>-88</v>
      </c>
      <c r="AA680" s="180">
        <v>-21</v>
      </c>
      <c r="AB680" s="180">
        <v>-21</v>
      </c>
      <c r="AC680" s="567">
        <f>-(AC689*(AC617+AC618))/1000</f>
        <v>-22.940689655172417</v>
      </c>
      <c r="AD680" s="567">
        <f>-(AD689*(AD617+AD618))/1000</f>
        <v>-25.470568296518863</v>
      </c>
      <c r="AE680" s="95">
        <f t="shared" si="596"/>
        <v>-90.411257951691283</v>
      </c>
      <c r="AF680" s="228">
        <f>-(AF689*(AF617+AF618))/1000</f>
        <v>-88.23342175066314</v>
      </c>
      <c r="AG680" s="228">
        <f t="shared" ref="AG680:AL680" si="603">-(AG689*(AG617+AG618))/1000</f>
        <v>-88.23342175066314</v>
      </c>
      <c r="AH680" s="228">
        <f t="shared" si="603"/>
        <v>-88.23342175066314</v>
      </c>
      <c r="AI680" s="228">
        <f t="shared" si="603"/>
        <v>-88.23342175066314</v>
      </c>
      <c r="AJ680" s="228">
        <f t="shared" si="603"/>
        <v>-88.23342175066314</v>
      </c>
      <c r="AK680" s="228">
        <f t="shared" si="603"/>
        <v>-88.23342175066314</v>
      </c>
      <c r="AL680" s="228">
        <f t="shared" si="603"/>
        <v>-88.23342175066314</v>
      </c>
      <c r="AM680" s="651"/>
      <c r="AN680" s="92"/>
      <c r="AO680" s="92"/>
    </row>
    <row r="681" spans="2:41" s="83" customFormat="1">
      <c r="B681" s="95" t="s">
        <v>633</v>
      </c>
      <c r="C681" s="96"/>
      <c r="D681" s="659" t="s">
        <v>645</v>
      </c>
      <c r="E681" s="659"/>
      <c r="F681" s="103"/>
      <c r="G681" s="673">
        <f>SUM(G677:G680)</f>
        <v>-1690</v>
      </c>
      <c r="H681" s="673">
        <f t="shared" ref="H681:V681" si="604">SUM(H677:H680)</f>
        <v>-1623</v>
      </c>
      <c r="I681" s="673">
        <f t="shared" si="604"/>
        <v>-1723</v>
      </c>
      <c r="J681" s="673">
        <f t="shared" si="604"/>
        <v>-1871</v>
      </c>
      <c r="K681" s="673">
        <f t="shared" si="604"/>
        <v>-2135</v>
      </c>
      <c r="L681" s="674">
        <f t="shared" si="604"/>
        <v>-516</v>
      </c>
      <c r="M681" s="674">
        <f>SUM(M677:M680)</f>
        <v>-491</v>
      </c>
      <c r="N681" s="674">
        <f t="shared" si="604"/>
        <v>-479</v>
      </c>
      <c r="O681" s="674">
        <f t="shared" si="604"/>
        <v>-440</v>
      </c>
      <c r="P681" s="673">
        <f>SUM(P677:P680)</f>
        <v>-1926</v>
      </c>
      <c r="Q681" s="674">
        <f t="shared" si="604"/>
        <v>-482</v>
      </c>
      <c r="R681" s="674">
        <f t="shared" si="604"/>
        <v>-518</v>
      </c>
      <c r="S681" s="674">
        <f t="shared" si="604"/>
        <v>-476</v>
      </c>
      <c r="T681" s="674">
        <f t="shared" si="604"/>
        <v>-441</v>
      </c>
      <c r="U681" s="673">
        <f>SUM(U677:U680)</f>
        <v>-1915</v>
      </c>
      <c r="V681" s="674">
        <f t="shared" si="604"/>
        <v>-463</v>
      </c>
      <c r="W681" s="674">
        <f>SUM(W677:W680)</f>
        <v>-405</v>
      </c>
      <c r="X681" s="674">
        <f>SUM(X677:X680)</f>
        <v>-448</v>
      </c>
      <c r="Y681" s="674">
        <f>SUM(Y677:Y680)</f>
        <v>-468</v>
      </c>
      <c r="Z681" s="673">
        <f>SUM(V681:Y681)</f>
        <v>-1784</v>
      </c>
      <c r="AA681" s="674">
        <f t="shared" ref="AA681" si="605">SUM(AA677:AA680)</f>
        <v>-439</v>
      </c>
      <c r="AB681" s="674">
        <f>SUM(AB677:AB680)</f>
        <v>-489</v>
      </c>
      <c r="AC681" s="674">
        <f>SUM(AC677:AC680)</f>
        <v>-550.85562862068957</v>
      </c>
      <c r="AD681" s="674">
        <f>SUM(AD677:AD680)</f>
        <v>-611.60349236238585</v>
      </c>
      <c r="AE681" s="673">
        <f t="shared" si="596"/>
        <v>-2090.4591209830751</v>
      </c>
      <c r="AF681" s="673">
        <f t="shared" ref="AF681:AL681" si="606">SUM(AF677:AF680)</f>
        <v>-2187.624474731258</v>
      </c>
      <c r="AG681" s="673">
        <f t="shared" si="606"/>
        <v>-2220.5929363465025</v>
      </c>
      <c r="AH681" s="673">
        <f t="shared" si="606"/>
        <v>-2199.5457805388805</v>
      </c>
      <c r="AI681" s="673">
        <f t="shared" si="606"/>
        <v>-2138.5091689236351</v>
      </c>
      <c r="AJ681" s="673">
        <f t="shared" si="606"/>
        <v>-2001.0138106949603</v>
      </c>
      <c r="AK681" s="673">
        <f t="shared" si="606"/>
        <v>-2001.0138106949603</v>
      </c>
      <c r="AL681" s="673">
        <f t="shared" si="606"/>
        <v>-2001.0138106949603</v>
      </c>
      <c r="AM681" s="651"/>
      <c r="AN681" s="92"/>
      <c r="AO681" s="92"/>
    </row>
    <row r="682" spans="2:41" s="83" customFormat="1">
      <c r="B682" s="95" t="s">
        <v>633</v>
      </c>
      <c r="C682" s="96" t="s">
        <v>225</v>
      </c>
      <c r="D682" s="163" t="s">
        <v>226</v>
      </c>
      <c r="E682" s="162"/>
      <c r="G682" s="463">
        <f>G636+G677+G678+G679</f>
        <v>112</v>
      </c>
      <c r="H682" s="463">
        <f>H636+H677+H678+H679</f>
        <v>142</v>
      </c>
      <c r="I682" s="463">
        <f>I636+I677+I678+I679</f>
        <v>205</v>
      </c>
      <c r="J682" s="463">
        <f>J636+J677+J678+J679</f>
        <v>241</v>
      </c>
      <c r="K682" s="463">
        <f t="shared" ref="K682:V682" si="607">K636+K677+K678+K679</f>
        <v>209</v>
      </c>
      <c r="L682" s="1180">
        <f t="shared" si="607"/>
        <v>88</v>
      </c>
      <c r="M682" s="1180">
        <f t="shared" si="607"/>
        <v>48</v>
      </c>
      <c r="N682" s="1180">
        <f t="shared" si="607"/>
        <v>-17</v>
      </c>
      <c r="O682" s="1180">
        <f t="shared" si="607"/>
        <v>-28</v>
      </c>
      <c r="P682" s="463">
        <f t="shared" si="607"/>
        <v>91</v>
      </c>
      <c r="Q682" s="1180">
        <f t="shared" si="607"/>
        <v>9</v>
      </c>
      <c r="R682" s="1180">
        <f t="shared" si="607"/>
        <v>-1</v>
      </c>
      <c r="S682" s="1180">
        <f t="shared" si="607"/>
        <v>2</v>
      </c>
      <c r="T682" s="1180">
        <f t="shared" si="607"/>
        <v>-12</v>
      </c>
      <c r="U682" s="463">
        <f>U636+U677+U678+U679</f>
        <v>0</v>
      </c>
      <c r="V682" s="1180">
        <f t="shared" si="607"/>
        <v>11</v>
      </c>
      <c r="W682" s="1180">
        <f>W636+W677+W678+W679</f>
        <v>13</v>
      </c>
      <c r="X682" s="1180">
        <f>X636+X677+X678+X679</f>
        <v>14</v>
      </c>
      <c r="Y682" s="1180">
        <f>Y636+Y677+Y678+Y679</f>
        <v>27</v>
      </c>
      <c r="Z682" s="463">
        <f>SUM(V682:Y682)</f>
        <v>65</v>
      </c>
      <c r="AA682" s="1180">
        <f>AA636+AA677+AA678+AA679</f>
        <v>43</v>
      </c>
      <c r="AB682" s="1180">
        <f>AB636+AB677+AB678+AB679</f>
        <v>-3</v>
      </c>
      <c r="AC682" s="1180">
        <f>AC636+AC677+AC678+AC679</f>
        <v>7.9897929282119193</v>
      </c>
      <c r="AD682" s="1180">
        <f>AD636+AD677+AD678+AD679</f>
        <v>-11.438525092491822</v>
      </c>
      <c r="AE682" s="463">
        <f t="shared" si="596"/>
        <v>36.551267835720097</v>
      </c>
      <c r="AF682" s="463">
        <f t="shared" ref="AF682:AL682" si="608">AF636+AF677+AF678+AF679</f>
        <v>-19.678691556485688</v>
      </c>
      <c r="AG682" s="463">
        <f t="shared" si="608"/>
        <v>-19.678691556485461</v>
      </c>
      <c r="AH682" s="463">
        <f t="shared" si="608"/>
        <v>-19.678691556485234</v>
      </c>
      <c r="AI682" s="463">
        <f t="shared" si="608"/>
        <v>-19.678691556485461</v>
      </c>
      <c r="AJ682" s="463">
        <f t="shared" si="608"/>
        <v>-19.678691556485461</v>
      </c>
      <c r="AK682" s="463">
        <f t="shared" si="608"/>
        <v>-19.678691556485461</v>
      </c>
      <c r="AL682" s="463">
        <f t="shared" si="608"/>
        <v>-19.678691556485461</v>
      </c>
      <c r="AM682" s="651"/>
      <c r="AN682" s="92"/>
      <c r="AO682" s="92"/>
    </row>
    <row r="683" spans="2:41" s="83" customFormat="1">
      <c r="B683" s="95" t="s">
        <v>633</v>
      </c>
      <c r="C683" s="96" t="s">
        <v>225</v>
      </c>
      <c r="D683" s="594" t="s">
        <v>178</v>
      </c>
      <c r="E683" s="661"/>
      <c r="F683" s="595"/>
      <c r="G683" s="678">
        <f>G682+G680</f>
        <v>61</v>
      </c>
      <c r="H683" s="678">
        <f t="shared" ref="H683:V683" si="609">H682+H680</f>
        <v>76</v>
      </c>
      <c r="I683" s="678">
        <f t="shared" si="609"/>
        <v>124</v>
      </c>
      <c r="J683" s="678">
        <f t="shared" si="609"/>
        <v>178</v>
      </c>
      <c r="K683" s="678">
        <f t="shared" si="609"/>
        <v>131</v>
      </c>
      <c r="L683" s="679">
        <f t="shared" si="609"/>
        <v>69</v>
      </c>
      <c r="M683" s="679">
        <f t="shared" si="609"/>
        <v>30</v>
      </c>
      <c r="N683" s="679">
        <f t="shared" si="609"/>
        <v>-36</v>
      </c>
      <c r="O683" s="679">
        <f t="shared" si="609"/>
        <v>-47</v>
      </c>
      <c r="P683" s="678">
        <f t="shared" si="609"/>
        <v>16</v>
      </c>
      <c r="Q683" s="679">
        <f t="shared" si="609"/>
        <v>-11</v>
      </c>
      <c r="R683" s="679">
        <f t="shared" si="609"/>
        <v>-22</v>
      </c>
      <c r="S683" s="679">
        <f t="shared" si="609"/>
        <v>-20</v>
      </c>
      <c r="T683" s="679">
        <f t="shared" si="609"/>
        <v>-35</v>
      </c>
      <c r="U683" s="678">
        <f t="shared" si="609"/>
        <v>-86</v>
      </c>
      <c r="V683" s="679">
        <f t="shared" si="609"/>
        <v>-11</v>
      </c>
      <c r="W683" s="679">
        <f>W682+W680</f>
        <v>-10</v>
      </c>
      <c r="X683" s="679">
        <f>X682+X680</f>
        <v>-7</v>
      </c>
      <c r="Y683" s="679">
        <f>Y682+Y680</f>
        <v>5</v>
      </c>
      <c r="Z683" s="678">
        <f t="shared" si="600"/>
        <v>-23</v>
      </c>
      <c r="AA683" s="679">
        <f>AA682+AA680</f>
        <v>22</v>
      </c>
      <c r="AB683" s="679">
        <f>AB682+AB680</f>
        <v>-24</v>
      </c>
      <c r="AC683" s="679">
        <f>AC682+AC680</f>
        <v>-14.950896726960497</v>
      </c>
      <c r="AD683" s="679">
        <f>AD682+AD680</f>
        <v>-36.909093389010685</v>
      </c>
      <c r="AE683" s="678">
        <f t="shared" si="596"/>
        <v>-53.859990115971186</v>
      </c>
      <c r="AF683" s="678">
        <f t="shared" ref="AF683:AL683" si="610">AF682+AF680</f>
        <v>-107.91211330714883</v>
      </c>
      <c r="AG683" s="678">
        <f t="shared" si="610"/>
        <v>-107.9121133071486</v>
      </c>
      <c r="AH683" s="678">
        <f t="shared" si="610"/>
        <v>-107.91211330714837</v>
      </c>
      <c r="AI683" s="678">
        <f t="shared" si="610"/>
        <v>-107.9121133071486</v>
      </c>
      <c r="AJ683" s="678">
        <f t="shared" si="610"/>
        <v>-107.9121133071486</v>
      </c>
      <c r="AK683" s="678">
        <f t="shared" si="610"/>
        <v>-107.9121133071486</v>
      </c>
      <c r="AL683" s="678">
        <f t="shared" si="610"/>
        <v>-107.9121133071486</v>
      </c>
      <c r="AM683" s="651"/>
      <c r="AN683" s="92"/>
      <c r="AO683" s="92"/>
    </row>
    <row r="684" spans="2:41" s="83" customFormat="1">
      <c r="B684" s="95"/>
      <c r="C684" s="96"/>
      <c r="D684" s="162"/>
      <c r="E684" s="162"/>
      <c r="G684" s="95"/>
      <c r="H684" s="95"/>
      <c r="I684" s="95"/>
      <c r="J684" s="95"/>
      <c r="K684" s="95"/>
      <c r="L684" s="126"/>
      <c r="M684" s="126"/>
      <c r="N684" s="126"/>
      <c r="O684" s="126"/>
      <c r="P684" s="95"/>
      <c r="Q684" s="126"/>
      <c r="R684" s="126"/>
      <c r="S684" s="126"/>
      <c r="T684" s="126"/>
      <c r="U684" s="92"/>
      <c r="V684" s="126"/>
      <c r="W684" s="99"/>
      <c r="X684" s="99"/>
      <c r="Y684" s="99"/>
      <c r="Z684" s="92"/>
      <c r="AA684" s="99"/>
      <c r="AB684" s="99"/>
      <c r="AC684" s="99"/>
      <c r="AD684" s="99"/>
      <c r="AE684" s="92"/>
      <c r="AF684" s="92"/>
      <c r="AG684" s="92"/>
      <c r="AH684" s="92"/>
      <c r="AI684" s="92"/>
      <c r="AJ684" s="92"/>
      <c r="AK684" s="92"/>
      <c r="AL684" s="92"/>
      <c r="AM684" s="651"/>
      <c r="AN684" s="92"/>
      <c r="AO684" s="92"/>
    </row>
    <row r="685" spans="2:41" s="83" customFormat="1">
      <c r="B685" s="95"/>
      <c r="C685" s="96"/>
      <c r="D685" s="162"/>
      <c r="E685" s="162"/>
      <c r="G685" s="95"/>
      <c r="H685" s="95"/>
      <c r="I685" s="95"/>
      <c r="J685" s="95"/>
      <c r="K685" s="95"/>
      <c r="L685" s="126"/>
      <c r="M685" s="126"/>
      <c r="N685" s="126"/>
      <c r="O685" s="126"/>
      <c r="P685" s="95"/>
      <c r="Q685" s="126"/>
      <c r="R685" s="126"/>
      <c r="S685" s="126"/>
      <c r="T685" s="126"/>
      <c r="U685" s="92"/>
      <c r="V685" s="126"/>
      <c r="W685" s="99"/>
      <c r="X685" s="99"/>
      <c r="Y685" s="99"/>
      <c r="Z685" s="92"/>
      <c r="AA685" s="99"/>
      <c r="AB685" s="99"/>
      <c r="AC685" s="99"/>
      <c r="AD685" s="99"/>
      <c r="AE685" s="92"/>
      <c r="AF685" s="92"/>
      <c r="AG685" s="92"/>
      <c r="AH685" s="92"/>
      <c r="AI685" s="92"/>
      <c r="AJ685" s="92"/>
      <c r="AK685" s="92"/>
      <c r="AL685" s="92"/>
      <c r="AM685" s="651"/>
      <c r="AN685" s="92"/>
      <c r="AO685" s="92"/>
    </row>
    <row r="686" spans="2:41" s="83" customFormat="1">
      <c r="B686" s="95"/>
      <c r="C686" s="96"/>
      <c r="D686" s="554" t="s">
        <v>746</v>
      </c>
      <c r="E686" s="653"/>
      <c r="F686" s="586"/>
      <c r="G686" s="605"/>
      <c r="H686" s="605"/>
      <c r="I686" s="605"/>
      <c r="J686" s="605"/>
      <c r="K686" s="605"/>
      <c r="L686" s="182"/>
      <c r="M686" s="182"/>
      <c r="N686" s="182"/>
      <c r="O686" s="182"/>
      <c r="P686" s="605"/>
      <c r="Q686" s="182"/>
      <c r="R686" s="182"/>
      <c r="S686" s="182"/>
      <c r="T686" s="182"/>
      <c r="U686" s="588"/>
      <c r="V686" s="182"/>
      <c r="W686" s="705"/>
      <c r="X686" s="705"/>
      <c r="Y686" s="705"/>
      <c r="Z686" s="588"/>
      <c r="AA686" s="705"/>
      <c r="AB686" s="705"/>
      <c r="AC686" s="705"/>
      <c r="AD686" s="705"/>
      <c r="AE686" s="306"/>
      <c r="AF686" s="588"/>
      <c r="AG686" s="588"/>
      <c r="AH686" s="588"/>
      <c r="AI686" s="588"/>
      <c r="AJ686" s="588"/>
      <c r="AK686" s="588"/>
      <c r="AL686" s="588"/>
      <c r="AM686" s="651"/>
      <c r="AN686" s="92"/>
      <c r="AO686" s="92"/>
    </row>
    <row r="687" spans="2:41" s="83" customFormat="1">
      <c r="B687" s="95"/>
      <c r="C687" s="96"/>
      <c r="D687" s="203" t="s">
        <v>747</v>
      </c>
      <c r="E687" s="162"/>
      <c r="G687" s="165">
        <f>(-G678*1000000)/((G618+G617)*1000)</f>
        <v>1017.9324894514768</v>
      </c>
      <c r="H687" s="165">
        <f t="shared" ref="H687:U687" si="611">(-H678*1000000)/((H618+H617)*1000)</f>
        <v>1107.3541842772613</v>
      </c>
      <c r="I687" s="165">
        <f t="shared" si="611"/>
        <v>983.35467349551857</v>
      </c>
      <c r="J687" s="165">
        <f t="shared" si="611"/>
        <v>963.79647749510764</v>
      </c>
      <c r="K687" s="165">
        <f t="shared" si="611"/>
        <v>1106.8895643363728</v>
      </c>
      <c r="L687" s="166">
        <f t="shared" si="611"/>
        <v>1032.3253388946819</v>
      </c>
      <c r="M687" s="166">
        <f t="shared" si="611"/>
        <v>1230.936819172113</v>
      </c>
      <c r="N687" s="166">
        <f t="shared" si="611"/>
        <v>1405.5299539170505</v>
      </c>
      <c r="O687" s="166">
        <f t="shared" si="611"/>
        <v>1534.0253748558248</v>
      </c>
      <c r="P687" s="165">
        <f t="shared" si="611"/>
        <v>1292.9125138427462</v>
      </c>
      <c r="Q687" s="166">
        <f t="shared" si="611"/>
        <v>1360.6911447084233</v>
      </c>
      <c r="R687" s="166">
        <f t="shared" si="611"/>
        <v>1502.1929824561403</v>
      </c>
      <c r="S687" s="166">
        <f t="shared" si="611"/>
        <v>1343.4452871072588</v>
      </c>
      <c r="T687" s="166">
        <f t="shared" si="611"/>
        <v>1703.8007863695937</v>
      </c>
      <c r="U687" s="165">
        <f t="shared" si="611"/>
        <v>1472.7582292849036</v>
      </c>
      <c r="V687" s="166">
        <f>(-V678*1000000)/((V618+V617)*1000)</f>
        <v>1292.3076923076924</v>
      </c>
      <c r="W687" s="166">
        <f>(-W678*1000000)/((W618+W617)*1000)</f>
        <v>1446.3276836158193</v>
      </c>
      <c r="X687" s="166">
        <f>(-X678*1000000)/((X618+X617)*1000)</f>
        <v>1305.7324840764331</v>
      </c>
      <c r="Y687" s="166">
        <f>(-Y678*1000000)/((Y618+Y617)*1000)</f>
        <v>1384.297520661157</v>
      </c>
      <c r="Z687" s="165">
        <f t="shared" ref="Z687" si="612">(-Z678*1000000)/((Z618+Z617)*1000)</f>
        <v>1355.4376657824935</v>
      </c>
      <c r="AA687" s="166">
        <f>(-AA678*1000000)/((AA618+AA617)*1000)</f>
        <v>1453.0892448512586</v>
      </c>
      <c r="AB687" s="166">
        <f>(-AB678*1000000)/((AB618+AB617)*1000)</f>
        <v>1708.4282460136674</v>
      </c>
      <c r="AC687" s="961">
        <f>AE687</f>
        <v>1400</v>
      </c>
      <c r="AD687" s="961">
        <f>AE687</f>
        <v>1400</v>
      </c>
      <c r="AE687" s="1191">
        <v>1400</v>
      </c>
      <c r="AF687" s="167">
        <f>AE687</f>
        <v>1400</v>
      </c>
      <c r="AG687" s="167">
        <f t="shared" ref="AG687:AL687" si="613">AF687</f>
        <v>1400</v>
      </c>
      <c r="AH687" s="167">
        <f t="shared" si="613"/>
        <v>1400</v>
      </c>
      <c r="AI687" s="167">
        <f t="shared" si="613"/>
        <v>1400</v>
      </c>
      <c r="AJ687" s="167">
        <f t="shared" si="613"/>
        <v>1400</v>
      </c>
      <c r="AK687" s="167">
        <f t="shared" si="613"/>
        <v>1400</v>
      </c>
      <c r="AL687" s="167">
        <f t="shared" si="613"/>
        <v>1400</v>
      </c>
      <c r="AM687" s="651"/>
      <c r="AN687" s="92"/>
      <c r="AO687" s="92"/>
    </row>
    <row r="688" spans="2:41" s="83" customFormat="1">
      <c r="B688" s="95"/>
      <c r="C688" s="96"/>
      <c r="D688" s="163" t="s">
        <v>748</v>
      </c>
      <c r="E688" s="162"/>
      <c r="G688" s="165">
        <f>(-G679*1000000)/((G618+G617)*1000)</f>
        <v>284.81012658227849</v>
      </c>
      <c r="H688" s="165">
        <f t="shared" ref="H688:U688" si="614">(-H679*1000000)/((H618+H617)*1000)</f>
        <v>343.75880529726686</v>
      </c>
      <c r="I688" s="165">
        <f t="shared" si="614"/>
        <v>353.39308578745198</v>
      </c>
      <c r="J688" s="165">
        <f t="shared" si="614"/>
        <v>337.57338551859101</v>
      </c>
      <c r="K688" s="165">
        <f t="shared" si="614"/>
        <v>354.6099290780142</v>
      </c>
      <c r="L688" s="166">
        <f t="shared" si="614"/>
        <v>354.53597497393116</v>
      </c>
      <c r="M688" s="166">
        <f t="shared" si="614"/>
        <v>424.83660130718948</v>
      </c>
      <c r="N688" s="166">
        <f t="shared" si="614"/>
        <v>403.22580645161281</v>
      </c>
      <c r="O688" s="166">
        <f t="shared" si="614"/>
        <v>415.2249134948097</v>
      </c>
      <c r="P688" s="165">
        <f t="shared" si="614"/>
        <v>398.67109634551491</v>
      </c>
      <c r="Q688" s="166">
        <f t="shared" si="614"/>
        <v>388.76889848812095</v>
      </c>
      <c r="R688" s="166">
        <f t="shared" si="614"/>
        <v>416.66666666666669</v>
      </c>
      <c r="S688" s="166">
        <f t="shared" si="614"/>
        <v>433.36944745395442</v>
      </c>
      <c r="T688" s="166">
        <f t="shared" si="614"/>
        <v>432.5032765399738</v>
      </c>
      <c r="U688" s="165">
        <f t="shared" si="614"/>
        <v>417.13961407491485</v>
      </c>
      <c r="V688" s="166">
        <f>(-V679*1000000)/((V618+V617)*1000)</f>
        <v>389.74358974358972</v>
      </c>
      <c r="W688" s="166">
        <f>(-W679*1000000)/((W618+W617)*1000)</f>
        <v>418.07909604519773</v>
      </c>
      <c r="X688" s="166">
        <f>(-X679*1000000)/((X618+X617)*1000)</f>
        <v>392.78131634819533</v>
      </c>
      <c r="Y688" s="166">
        <f>(-Y679*1000000)/((Y618+Y617)*1000)</f>
        <v>371.90082644628097</v>
      </c>
      <c r="Z688" s="165">
        <f t="shared" ref="Z688" si="615">(-Z679*1000000)/((Z618+Z617)*1000)</f>
        <v>392.57294429708224</v>
      </c>
      <c r="AA688" s="166">
        <f>(-AA679*1000000)/((AA618+AA617)*1000)</f>
        <v>377.57437070938215</v>
      </c>
      <c r="AB688" s="166">
        <f>(-AB679*1000000)/((AB618+AB617)*1000)</f>
        <v>375.85421412300684</v>
      </c>
      <c r="AC688" s="961">
        <f>AE688</f>
        <v>392.57294429708224</v>
      </c>
      <c r="AD688" s="961">
        <f>AE688</f>
        <v>392.57294429708224</v>
      </c>
      <c r="AE688" s="1191">
        <f>Z688</f>
        <v>392.57294429708224</v>
      </c>
      <c r="AF688" s="167">
        <f t="shared" ref="AF688:AL690" si="616">AE688</f>
        <v>392.57294429708224</v>
      </c>
      <c r="AG688" s="167">
        <f t="shared" si="616"/>
        <v>392.57294429708224</v>
      </c>
      <c r="AH688" s="167">
        <f t="shared" si="616"/>
        <v>392.57294429708224</v>
      </c>
      <c r="AI688" s="167">
        <f t="shared" si="616"/>
        <v>392.57294429708224</v>
      </c>
      <c r="AJ688" s="167">
        <f t="shared" si="616"/>
        <v>392.57294429708224</v>
      </c>
      <c r="AK688" s="167">
        <f t="shared" si="616"/>
        <v>392.57294429708224</v>
      </c>
      <c r="AL688" s="167">
        <f t="shared" si="616"/>
        <v>392.57294429708224</v>
      </c>
      <c r="AM688" s="651"/>
      <c r="AN688" s="92"/>
      <c r="AO688" s="92"/>
    </row>
    <row r="689" spans="2:41" s="83" customFormat="1">
      <c r="B689" s="95"/>
      <c r="C689" s="96"/>
      <c r="D689" s="163" t="s">
        <v>749</v>
      </c>
      <c r="E689" s="162"/>
      <c r="G689" s="165">
        <f>(-G680*1000000)/((G618+G617)*1000)</f>
        <v>134.49367088607596</v>
      </c>
      <c r="H689" s="165">
        <f>(-H680*1000000)/((H618+H617)*1000)</f>
        <v>185.96787827557057</v>
      </c>
      <c r="I689" s="165">
        <f t="shared" ref="I689:V689" si="617">(-I680*1000000)/((I618+I617)*1000)</f>
        <v>207.42637644046096</v>
      </c>
      <c r="J689" s="165">
        <f t="shared" si="617"/>
        <v>154.10958904109589</v>
      </c>
      <c r="K689" s="165">
        <f t="shared" si="617"/>
        <v>197.56838905775075</v>
      </c>
      <c r="L689" s="166">
        <f t="shared" si="617"/>
        <v>198.12304483837332</v>
      </c>
      <c r="M689" s="166">
        <f t="shared" si="617"/>
        <v>196.07843137254898</v>
      </c>
      <c r="N689" s="166">
        <f t="shared" si="617"/>
        <v>218.89400921658984</v>
      </c>
      <c r="O689" s="166">
        <f t="shared" si="617"/>
        <v>219.14648212226066</v>
      </c>
      <c r="P689" s="165">
        <f t="shared" si="617"/>
        <v>207.641196013289</v>
      </c>
      <c r="Q689" s="166">
        <f t="shared" si="617"/>
        <v>215.98272138228941</v>
      </c>
      <c r="R689" s="166">
        <f t="shared" si="617"/>
        <v>230.26315789473685</v>
      </c>
      <c r="S689" s="166">
        <f t="shared" si="617"/>
        <v>238.35319609967493</v>
      </c>
      <c r="T689" s="166">
        <f t="shared" si="617"/>
        <v>301.44167758846658</v>
      </c>
      <c r="U689" s="165">
        <f t="shared" si="617"/>
        <v>244.04086265607265</v>
      </c>
      <c r="V689" s="166">
        <f t="shared" si="617"/>
        <v>225.64102564102564</v>
      </c>
      <c r="W689" s="166">
        <f>(-W680*1000000)/((W618+W617)*1000)</f>
        <v>259.88700564971754</v>
      </c>
      <c r="X689" s="166">
        <f>(-X680*1000000)/((X618+X617)*1000)</f>
        <v>222.9299363057325</v>
      </c>
      <c r="Y689" s="166">
        <f t="shared" ref="Y689" si="618">(-Y680*1000000)/((Y618+Y617)*1000)</f>
        <v>227.27272727272728</v>
      </c>
      <c r="Z689" s="165">
        <f t="shared" ref="Z689" si="619">(-Z680*1000000)/((Z618+Z617)*1000)</f>
        <v>233.42175066312998</v>
      </c>
      <c r="AA689" s="166">
        <f>(-AA680*1000000)/((AA618+AA617)*1000)</f>
        <v>240.2745995423341</v>
      </c>
      <c r="AB689" s="166">
        <f>(-AB680*1000000)/((AB618+AB617)*1000)</f>
        <v>239.17995444191345</v>
      </c>
      <c r="AC689" s="961">
        <f>AE689</f>
        <v>233.42175066312998</v>
      </c>
      <c r="AD689" s="961">
        <f>AE689</f>
        <v>233.42175066312998</v>
      </c>
      <c r="AE689" s="1191">
        <f>Z689</f>
        <v>233.42175066312998</v>
      </c>
      <c r="AF689" s="167">
        <f t="shared" si="616"/>
        <v>233.42175066312998</v>
      </c>
      <c r="AG689" s="167">
        <f t="shared" si="616"/>
        <v>233.42175066312998</v>
      </c>
      <c r="AH689" s="167">
        <f t="shared" si="616"/>
        <v>233.42175066312998</v>
      </c>
      <c r="AI689" s="167">
        <f t="shared" si="616"/>
        <v>233.42175066312998</v>
      </c>
      <c r="AJ689" s="167">
        <f t="shared" si="616"/>
        <v>233.42175066312998</v>
      </c>
      <c r="AK689" s="167">
        <f t="shared" si="616"/>
        <v>233.42175066312998</v>
      </c>
      <c r="AL689" s="167">
        <f t="shared" si="616"/>
        <v>233.42175066312998</v>
      </c>
      <c r="AM689" s="651"/>
      <c r="AN689" s="92"/>
      <c r="AO689" s="92"/>
    </row>
    <row r="690" spans="2:41" s="83" customFormat="1">
      <c r="B690" s="95"/>
      <c r="C690" s="96"/>
      <c r="D690" s="162" t="s">
        <v>750</v>
      </c>
      <c r="E690" s="162"/>
      <c r="G690" s="250">
        <f>-G677/G634</f>
        <v>0.8356260995190532</v>
      </c>
      <c r="H690" s="250">
        <f t="shared" ref="H690:U690" si="620">-H677/H634</f>
        <v>0.85589285244704705</v>
      </c>
      <c r="I690" s="250">
        <f t="shared" si="620"/>
        <v>0.955454813938032</v>
      </c>
      <c r="J690" s="250">
        <f t="shared" si="620"/>
        <v>0.97730893503436478</v>
      </c>
      <c r="K690" s="250">
        <f t="shared" si="620"/>
        <v>0.97585507428815821</v>
      </c>
      <c r="L690" s="251">
        <f t="shared" si="620"/>
        <v>0.91956137004437377</v>
      </c>
      <c r="M690" s="251">
        <f>-M677/M634</f>
        <v>0.94082801295918106</v>
      </c>
      <c r="N690" s="251">
        <f t="shared" si="620"/>
        <v>1.1134646924500295</v>
      </c>
      <c r="O690" s="251">
        <f t="shared" si="620"/>
        <v>1.0502717490928992</v>
      </c>
      <c r="P690" s="250">
        <f t="shared" si="620"/>
        <v>0.99657826458203824</v>
      </c>
      <c r="Q690" s="251">
        <f t="shared" si="620"/>
        <v>1.0236721749070357</v>
      </c>
      <c r="R690" s="251">
        <f>-R677/R634</f>
        <v>1.0445368562295756</v>
      </c>
      <c r="S690" s="251">
        <f t="shared" si="620"/>
        <v>1.0217084669859029</v>
      </c>
      <c r="T690" s="251">
        <f t="shared" si="620"/>
        <v>1.0164162719401122</v>
      </c>
      <c r="U690" s="250">
        <f t="shared" si="620"/>
        <v>1.0243386186098049</v>
      </c>
      <c r="V690" s="251">
        <f>-V677/V634</f>
        <v>1.0030372716427483</v>
      </c>
      <c r="W690" s="251">
        <f>-W677/W634</f>
        <v>0.95414170150094024</v>
      </c>
      <c r="X690" s="251">
        <f>-X677/X634</f>
        <v>0.93463679915340503</v>
      </c>
      <c r="Y690" s="251">
        <f>-Y677/Y634</f>
        <v>0.87947693602724686</v>
      </c>
      <c r="Z690" s="250">
        <f t="shared" ref="Z690" si="621">-Z677/Z634</f>
        <v>0.94008979217748434</v>
      </c>
      <c r="AA690" s="251">
        <f>-AA677/AA634</f>
        <v>0.83148881041182321</v>
      </c>
      <c r="AB690" s="251">
        <f>-AB677/AB634</f>
        <v>0.87389256521427361</v>
      </c>
      <c r="AC690" s="143">
        <f>AE690</f>
        <v>0.85</v>
      </c>
      <c r="AD690" s="143">
        <f>AE690</f>
        <v>0.85</v>
      </c>
      <c r="AE690" s="329">
        <v>0.85</v>
      </c>
      <c r="AF690" s="250">
        <f t="shared" si="616"/>
        <v>0.85</v>
      </c>
      <c r="AG690" s="250">
        <f t="shared" si="616"/>
        <v>0.85</v>
      </c>
      <c r="AH690" s="250">
        <f t="shared" si="616"/>
        <v>0.85</v>
      </c>
      <c r="AI690" s="250">
        <f t="shared" si="616"/>
        <v>0.85</v>
      </c>
      <c r="AJ690" s="250">
        <f t="shared" si="616"/>
        <v>0.85</v>
      </c>
      <c r="AK690" s="250">
        <f t="shared" si="616"/>
        <v>0.85</v>
      </c>
      <c r="AL690" s="250">
        <f t="shared" si="616"/>
        <v>0.85</v>
      </c>
      <c r="AM690" s="651"/>
      <c r="AN690" s="92"/>
      <c r="AO690" s="92"/>
    </row>
    <row r="691" spans="2:41" s="83" customFormat="1">
      <c r="B691" s="95"/>
      <c r="C691" s="96"/>
      <c r="D691" s="162"/>
      <c r="E691" s="162"/>
      <c r="G691" s="250"/>
      <c r="H691" s="250"/>
      <c r="I691" s="250"/>
      <c r="J691" s="250"/>
      <c r="K691" s="250"/>
      <c r="L691" s="251"/>
      <c r="M691" s="251"/>
      <c r="N691" s="251"/>
      <c r="O691" s="251"/>
      <c r="P691" s="250"/>
      <c r="Q691" s="251"/>
      <c r="R691" s="251"/>
      <c r="S691" s="251"/>
      <c r="T691" s="251"/>
      <c r="U691" s="250"/>
      <c r="V691" s="251"/>
      <c r="W691" s="99"/>
      <c r="X691" s="99"/>
      <c r="Y691" s="99"/>
      <c r="Z691" s="92"/>
      <c r="AA691" s="99"/>
      <c r="AB691" s="99"/>
      <c r="AC691" s="99"/>
      <c r="AD691" s="99"/>
      <c r="AE691" s="92"/>
      <c r="AF691" s="92"/>
      <c r="AG691" s="92"/>
      <c r="AH691" s="92"/>
      <c r="AI691" s="92"/>
      <c r="AJ691" s="92"/>
      <c r="AK691" s="92"/>
      <c r="AL691" s="92"/>
      <c r="AM691" s="651"/>
      <c r="AN691" s="92"/>
      <c r="AO691" s="92"/>
    </row>
    <row r="692" spans="2:41" s="83" customFormat="1">
      <c r="B692" s="95"/>
      <c r="C692" s="96"/>
      <c r="D692" s="162"/>
      <c r="E692" s="162"/>
      <c r="G692" s="250"/>
      <c r="H692" s="250"/>
      <c r="I692" s="250"/>
      <c r="J692" s="250"/>
      <c r="K692" s="250"/>
      <c r="L692" s="251"/>
      <c r="M692" s="251"/>
      <c r="N692" s="251"/>
      <c r="O692" s="251"/>
      <c r="P692" s="250"/>
      <c r="Q692" s="251"/>
      <c r="R692" s="251"/>
      <c r="S692" s="251"/>
      <c r="T692" s="251"/>
      <c r="U692" s="250"/>
      <c r="V692" s="251"/>
      <c r="W692" s="99"/>
      <c r="X692" s="99"/>
      <c r="Y692" s="99"/>
      <c r="Z692" s="92"/>
      <c r="AA692" s="99"/>
      <c r="AB692" s="99"/>
      <c r="AC692" s="99"/>
      <c r="AD692" s="99"/>
      <c r="AE692" s="92"/>
      <c r="AF692" s="92"/>
      <c r="AG692" s="92"/>
      <c r="AH692" s="92"/>
      <c r="AI692" s="92"/>
      <c r="AJ692" s="92"/>
      <c r="AK692" s="92"/>
      <c r="AL692" s="92"/>
      <c r="AM692" s="651"/>
      <c r="AN692" s="92"/>
      <c r="AO692" s="92"/>
    </row>
    <row r="693" spans="2:41" s="83" customFormat="1">
      <c r="B693" s="95"/>
      <c r="C693" s="96"/>
      <c r="D693" s="119" t="s">
        <v>207</v>
      </c>
      <c r="E693" s="119"/>
      <c r="F693" s="136"/>
      <c r="G693" s="187"/>
      <c r="H693" s="187"/>
      <c r="I693" s="218"/>
      <c r="J693" s="218"/>
      <c r="K693" s="218"/>
      <c r="L693" s="222"/>
      <c r="M693" s="222"/>
      <c r="N693" s="222"/>
      <c r="O693" s="222"/>
      <c r="P693" s="218"/>
      <c r="Q693" s="222"/>
      <c r="R693" s="222"/>
      <c r="S693" s="222"/>
      <c r="T693" s="222"/>
      <c r="U693" s="92"/>
      <c r="V693" s="222"/>
      <c r="W693" s="99"/>
      <c r="X693" s="99"/>
      <c r="Y693" s="99"/>
      <c r="Z693" s="92"/>
      <c r="AA693" s="99"/>
      <c r="AB693" s="99"/>
      <c r="AC693" s="99"/>
      <c r="AD693" s="99"/>
      <c r="AE693" s="92"/>
      <c r="AF693" s="92"/>
      <c r="AG693" s="92"/>
      <c r="AH693" s="92"/>
      <c r="AI693" s="92"/>
      <c r="AJ693" s="92"/>
      <c r="AK693" s="92"/>
      <c r="AL693" s="92"/>
      <c r="AM693" s="651"/>
      <c r="AN693" s="92"/>
      <c r="AO693" s="92"/>
    </row>
    <row r="694" spans="2:41" s="83" customFormat="1">
      <c r="B694" s="95"/>
      <c r="C694" s="96"/>
      <c r="D694" s="83" t="s">
        <v>863</v>
      </c>
      <c r="F694" s="134"/>
      <c r="G694" s="259"/>
      <c r="H694" s="259"/>
      <c r="I694" s="218"/>
      <c r="J694" s="218"/>
      <c r="K694" s="218"/>
      <c r="L694" s="954">
        <f>L611/$P$611</f>
        <v>0.2608121492241664</v>
      </c>
      <c r="M694" s="954">
        <f>M611/$P$611</f>
        <v>0.24628590293826344</v>
      </c>
      <c r="N694" s="954">
        <f>N611/$P$611</f>
        <v>0.24661604489930672</v>
      </c>
      <c r="O694" s="954">
        <f>O611/$P$611</f>
        <v>0.24628590293826344</v>
      </c>
      <c r="P694" s="352">
        <v>1</v>
      </c>
      <c r="Q694" s="954">
        <f>Q611/$U$611</f>
        <v>0.25817675713291582</v>
      </c>
      <c r="R694" s="954">
        <f>R611/$U$611</f>
        <v>0.25887265135699378</v>
      </c>
      <c r="S694" s="954">
        <f>S611/$U$611</f>
        <v>0.2501739735560195</v>
      </c>
      <c r="T694" s="954">
        <f>T611/$U$611</f>
        <v>0.22964509394572027</v>
      </c>
      <c r="U694" s="352">
        <v>1</v>
      </c>
      <c r="V694" s="954">
        <f>V611/$Z$611</f>
        <v>0.25794821370042609</v>
      </c>
      <c r="W694" s="954">
        <f>W611/$Z$611</f>
        <v>0.22943297279580463</v>
      </c>
      <c r="X694" s="954">
        <f>X611/$Z$611</f>
        <v>0.25040970173713539</v>
      </c>
      <c r="Y694" s="954">
        <f>Y611/$Z$611</f>
        <v>0.26220911176663386</v>
      </c>
      <c r="Z694" s="352">
        <v>1</v>
      </c>
      <c r="AA694" s="954">
        <f>AA611/$AE$611</f>
        <v>0.24156014421501146</v>
      </c>
      <c r="AB694" s="954">
        <f>AB611/$AE$611</f>
        <v>0.20976728941330711</v>
      </c>
      <c r="AC694" s="122">
        <v>0.26</v>
      </c>
      <c r="AD694" s="122">
        <f>AE694-AA694-AB694-AC694</f>
        <v>0.28867256637168137</v>
      </c>
      <c r="AE694" s="352">
        <v>1</v>
      </c>
      <c r="AF694" s="92"/>
      <c r="AG694" s="92"/>
      <c r="AH694" s="92"/>
      <c r="AI694" s="92"/>
      <c r="AJ694" s="92"/>
      <c r="AK694" s="92"/>
      <c r="AL694" s="92"/>
      <c r="AM694" s="651"/>
      <c r="AN694" s="92"/>
      <c r="AO694" s="92"/>
    </row>
    <row r="695" spans="2:41" s="83" customFormat="1">
      <c r="B695" s="95"/>
      <c r="C695" s="96"/>
      <c r="D695" s="83" t="s">
        <v>265</v>
      </c>
      <c r="F695" s="136"/>
      <c r="G695" s="187"/>
      <c r="H695" s="142">
        <f t="shared" ref="H695:V695" si="622">H682/H636</f>
        <v>8.3578575632725138E-2</v>
      </c>
      <c r="I695" s="142">
        <f t="shared" si="622"/>
        <v>0.11099079588521928</v>
      </c>
      <c r="J695" s="142">
        <f t="shared" si="622"/>
        <v>0.11761835041483651</v>
      </c>
      <c r="K695" s="142">
        <f t="shared" si="622"/>
        <v>9.2233009708737865E-2</v>
      </c>
      <c r="L695" s="143">
        <f t="shared" si="622"/>
        <v>0.15042735042735042</v>
      </c>
      <c r="M695" s="143">
        <f t="shared" si="622"/>
        <v>9.2130518234165071E-2</v>
      </c>
      <c r="N695" s="143">
        <f t="shared" si="622"/>
        <v>-3.8374717832957109E-2</v>
      </c>
      <c r="O695" s="143">
        <f t="shared" si="622"/>
        <v>-7.124681933842239E-2</v>
      </c>
      <c r="P695" s="142">
        <f t="shared" si="622"/>
        <v>4.6858908341915549E-2</v>
      </c>
      <c r="Q695" s="143">
        <f t="shared" si="622"/>
        <v>1.9108280254777069E-2</v>
      </c>
      <c r="R695" s="143">
        <f t="shared" si="622"/>
        <v>-2.0161290322580645E-3</v>
      </c>
      <c r="S695" s="143">
        <f t="shared" si="622"/>
        <v>4.3859649122807015E-3</v>
      </c>
      <c r="T695" s="143">
        <f t="shared" si="622"/>
        <v>-2.9556650246305417E-2</v>
      </c>
      <c r="U695" s="142">
        <f t="shared" si="622"/>
        <v>0</v>
      </c>
      <c r="V695" s="143">
        <f t="shared" si="622"/>
        <v>2.4336283185840708E-2</v>
      </c>
      <c r="W695" s="143">
        <f t="shared" ref="W695:AD695" si="623">W682/W636</f>
        <v>3.2911392405063293E-2</v>
      </c>
      <c r="X695" s="143">
        <f t="shared" ref="X695" si="624">X682/X636</f>
        <v>3.1746031746031744E-2</v>
      </c>
      <c r="Y695" s="143">
        <f t="shared" si="623"/>
        <v>5.7082452431289642E-2</v>
      </c>
      <c r="Z695" s="142">
        <f t="shared" si="623"/>
        <v>3.691084611016468E-2</v>
      </c>
      <c r="AA695" s="143">
        <f t="shared" si="623"/>
        <v>9.3275488069414311E-2</v>
      </c>
      <c r="AB695" s="143">
        <f t="shared" si="623"/>
        <v>-6.4516129032258064E-3</v>
      </c>
      <c r="AC695" s="143">
        <f t="shared" si="623"/>
        <v>1.4908979997206499E-2</v>
      </c>
      <c r="AD695" s="143">
        <f t="shared" si="623"/>
        <v>-1.9903665518448448E-2</v>
      </c>
      <c r="AE695" s="142">
        <f t="shared" ref="AE695:AL695" si="625">AE682/AE636</f>
        <v>1.7947207814116073E-2</v>
      </c>
      <c r="AF695" s="142">
        <f>AF682/AF636</f>
        <v>-9.4622179112357919E-3</v>
      </c>
      <c r="AG695" s="142">
        <f t="shared" si="625"/>
        <v>-9.3145596542004942E-3</v>
      </c>
      <c r="AH695" s="142">
        <f t="shared" si="625"/>
        <v>-9.4082878205579354E-3</v>
      </c>
      <c r="AI695" s="142">
        <f t="shared" si="625"/>
        <v>-9.6910864231067421E-3</v>
      </c>
      <c r="AJ695" s="142">
        <f t="shared" si="625"/>
        <v>-1.0394946866108156E-2</v>
      </c>
      <c r="AK695" s="142">
        <f t="shared" si="625"/>
        <v>-1.0394946866108156E-2</v>
      </c>
      <c r="AL695" s="142">
        <f t="shared" si="625"/>
        <v>-1.0394946866108156E-2</v>
      </c>
      <c r="AM695" s="651"/>
      <c r="AN695" s="92"/>
      <c r="AO695" s="92"/>
    </row>
    <row r="696" spans="2:41" s="83" customFormat="1">
      <c r="B696" s="95"/>
      <c r="C696" s="96"/>
      <c r="D696" s="83" t="s">
        <v>256</v>
      </c>
      <c r="F696" s="136"/>
      <c r="G696" s="187"/>
      <c r="H696" s="190">
        <f t="shared" ref="H696:V696" si="626">H680/(H681)</f>
        <v>4.0665434380776341E-2</v>
      </c>
      <c r="I696" s="190">
        <f t="shared" si="626"/>
        <v>4.7011027278003485E-2</v>
      </c>
      <c r="J696" s="190">
        <f t="shared" si="626"/>
        <v>3.3671833244254407E-2</v>
      </c>
      <c r="K696" s="190">
        <f t="shared" si="626"/>
        <v>3.6533957845433257E-2</v>
      </c>
      <c r="L696" s="191">
        <f t="shared" si="626"/>
        <v>3.6821705426356592E-2</v>
      </c>
      <c r="M696" s="191">
        <f t="shared" si="626"/>
        <v>3.6659877800407331E-2</v>
      </c>
      <c r="N696" s="191">
        <f t="shared" si="626"/>
        <v>3.9665970772442591E-2</v>
      </c>
      <c r="O696" s="191">
        <f t="shared" si="626"/>
        <v>4.3181818181818182E-2</v>
      </c>
      <c r="P696" s="190">
        <f t="shared" si="626"/>
        <v>3.8940809968847349E-2</v>
      </c>
      <c r="Q696" s="191">
        <f t="shared" si="626"/>
        <v>4.1493775933609957E-2</v>
      </c>
      <c r="R696" s="191">
        <f t="shared" si="626"/>
        <v>4.0540540540540543E-2</v>
      </c>
      <c r="S696" s="191">
        <f t="shared" si="626"/>
        <v>4.6218487394957986E-2</v>
      </c>
      <c r="T696" s="191">
        <f t="shared" si="626"/>
        <v>5.2154195011337869E-2</v>
      </c>
      <c r="U696" s="190">
        <f t="shared" si="626"/>
        <v>4.4908616187989553E-2</v>
      </c>
      <c r="V696" s="191">
        <f t="shared" si="626"/>
        <v>4.7516198704103674E-2</v>
      </c>
      <c r="W696" s="191">
        <f t="shared" ref="W696:AD696" si="627">W680/(W681)</f>
        <v>5.6790123456790124E-2</v>
      </c>
      <c r="X696" s="191">
        <f t="shared" ref="X696" si="628">X680/(X681)</f>
        <v>4.6875E-2</v>
      </c>
      <c r="Y696" s="191">
        <f t="shared" si="627"/>
        <v>4.7008547008547008E-2</v>
      </c>
      <c r="Z696" s="190">
        <f t="shared" si="627"/>
        <v>4.9327354260089683E-2</v>
      </c>
      <c r="AA696" s="191">
        <f t="shared" si="627"/>
        <v>4.7835990888382689E-2</v>
      </c>
      <c r="AB696" s="191">
        <f t="shared" si="627"/>
        <v>4.2944785276073622E-2</v>
      </c>
      <c r="AC696" s="191">
        <f t="shared" si="627"/>
        <v>4.1645557317104245E-2</v>
      </c>
      <c r="AD696" s="191">
        <f t="shared" si="627"/>
        <v>4.1645557317104238E-2</v>
      </c>
      <c r="AE696" s="190">
        <f t="shared" ref="AE696:AL696" si="629">AE680/(AE681)</f>
        <v>4.3249474263421045E-2</v>
      </c>
      <c r="AF696" s="190">
        <f t="shared" si="629"/>
        <v>4.0332983457548079E-2</v>
      </c>
      <c r="AG696" s="190">
        <f t="shared" si="629"/>
        <v>3.9734172034173829E-2</v>
      </c>
      <c r="AH696" s="190">
        <f t="shared" si="629"/>
        <v>4.0114382947303913E-2</v>
      </c>
      <c r="AI696" s="190">
        <f t="shared" si="629"/>
        <v>4.1259314214244502E-2</v>
      </c>
      <c r="AJ696" s="190">
        <f t="shared" si="629"/>
        <v>4.4094359208854891E-2</v>
      </c>
      <c r="AK696" s="190">
        <f t="shared" si="629"/>
        <v>4.4094359208854891E-2</v>
      </c>
      <c r="AL696" s="190">
        <f t="shared" si="629"/>
        <v>4.4094359208854891E-2</v>
      </c>
      <c r="AM696" s="651"/>
      <c r="AN696" s="92"/>
      <c r="AO696" s="92"/>
    </row>
    <row r="697" spans="2:41" s="83" customFormat="1">
      <c r="B697" s="95"/>
      <c r="C697" s="96"/>
      <c r="D697" s="162"/>
      <c r="E697" s="162"/>
      <c r="G697" s="250"/>
      <c r="H697" s="250"/>
      <c r="I697" s="250"/>
      <c r="J697" s="250"/>
      <c r="K697" s="250"/>
      <c r="L697" s="251"/>
      <c r="M697" s="251"/>
      <c r="N697" s="251"/>
      <c r="O697" s="251"/>
      <c r="P697" s="250"/>
      <c r="Q697" s="251"/>
      <c r="R697" s="251"/>
      <c r="S697" s="251"/>
      <c r="T697" s="251"/>
      <c r="U697" s="250"/>
      <c r="V697" s="251"/>
      <c r="W697" s="99"/>
      <c r="X697" s="99"/>
      <c r="Y697" s="99"/>
      <c r="Z697" s="92"/>
      <c r="AA697" s="99"/>
      <c r="AB697" s="99"/>
      <c r="AC697" s="99"/>
      <c r="AD697" s="99"/>
      <c r="AE697" s="92"/>
      <c r="AF697" s="92"/>
      <c r="AG697" s="92"/>
      <c r="AH697" s="92"/>
      <c r="AI697" s="92"/>
      <c r="AJ697" s="92"/>
      <c r="AK697" s="92"/>
      <c r="AL697" s="92"/>
      <c r="AM697" s="651"/>
      <c r="AN697" s="92"/>
      <c r="AO697" s="92"/>
    </row>
    <row r="698" spans="2:41" s="83" customFormat="1">
      <c r="B698" s="95"/>
      <c r="C698" s="96"/>
      <c r="D698" s="162"/>
      <c r="E698" s="162"/>
      <c r="G698" s="250"/>
      <c r="H698" s="250"/>
      <c r="I698" s="250"/>
      <c r="J698" s="250"/>
      <c r="K698" s="250"/>
      <c r="L698" s="251"/>
      <c r="M698" s="251"/>
      <c r="N698" s="251"/>
      <c r="O698" s="251"/>
      <c r="P698" s="250"/>
      <c r="Q698" s="251"/>
      <c r="R698" s="251"/>
      <c r="S698" s="251"/>
      <c r="T698" s="251"/>
      <c r="U698" s="250"/>
      <c r="V698" s="251"/>
      <c r="W698" s="99"/>
      <c r="X698" s="99"/>
      <c r="Y698" s="99"/>
      <c r="Z698" s="92"/>
      <c r="AA698" s="99"/>
      <c r="AB698" s="99"/>
      <c r="AC698" s="99"/>
      <c r="AD698" s="99"/>
      <c r="AE698" s="92"/>
      <c r="AF698" s="92"/>
      <c r="AG698" s="92"/>
      <c r="AH698" s="92"/>
      <c r="AI698" s="92"/>
      <c r="AJ698" s="92"/>
      <c r="AK698" s="92"/>
      <c r="AL698" s="92"/>
      <c r="AM698" s="651"/>
      <c r="AN698" s="92"/>
      <c r="AO698" s="92"/>
    </row>
    <row r="699" spans="2:41" s="83" customFormat="1" hidden="1">
      <c r="B699" s="95"/>
      <c r="C699" s="96"/>
      <c r="D699" s="162"/>
      <c r="E699" s="162"/>
      <c r="G699" s="250"/>
      <c r="H699" s="250"/>
      <c r="I699" s="250"/>
      <c r="J699" s="250"/>
      <c r="K699" s="250"/>
      <c r="L699" s="251"/>
      <c r="M699" s="251"/>
      <c r="N699" s="251"/>
      <c r="O699" s="251"/>
      <c r="P699" s="250"/>
      <c r="Q699" s="251"/>
      <c r="R699" s="251"/>
      <c r="S699" s="251"/>
      <c r="T699" s="251"/>
      <c r="U699" s="250"/>
      <c r="V699" s="251"/>
      <c r="W699" s="99"/>
      <c r="X699" s="99"/>
      <c r="Y699" s="99"/>
      <c r="Z699" s="92"/>
      <c r="AA699" s="99"/>
      <c r="AB699" s="99"/>
      <c r="AC699" s="99"/>
      <c r="AD699" s="99"/>
      <c r="AE699" s="92"/>
      <c r="AF699" s="92"/>
      <c r="AG699" s="92"/>
      <c r="AH699" s="92"/>
      <c r="AI699" s="92"/>
      <c r="AJ699" s="92"/>
      <c r="AK699" s="92"/>
      <c r="AL699" s="92"/>
      <c r="AM699" s="651"/>
      <c r="AN699" s="92"/>
      <c r="AO699" s="92"/>
    </row>
    <row r="700" spans="2:41" s="83" customFormat="1" hidden="1">
      <c r="B700" s="95"/>
      <c r="C700" s="96"/>
      <c r="D700" s="162"/>
      <c r="E700" s="162"/>
      <c r="G700" s="250"/>
      <c r="H700" s="250"/>
      <c r="I700" s="250"/>
      <c r="J700" s="250"/>
      <c r="K700" s="250"/>
      <c r="L700" s="251"/>
      <c r="M700" s="251"/>
      <c r="N700" s="251"/>
      <c r="O700" s="251"/>
      <c r="P700" s="250"/>
      <c r="Q700" s="251"/>
      <c r="R700" s="251"/>
      <c r="S700" s="251"/>
      <c r="T700" s="251"/>
      <c r="U700" s="250"/>
      <c r="V700" s="251"/>
      <c r="W700" s="99"/>
      <c r="X700" s="99"/>
      <c r="Y700" s="99"/>
      <c r="Z700" s="92"/>
      <c r="AA700" s="99"/>
      <c r="AB700" s="99"/>
      <c r="AC700" s="99"/>
      <c r="AD700" s="99"/>
      <c r="AE700" s="92"/>
      <c r="AF700" s="92"/>
      <c r="AG700" s="92"/>
      <c r="AH700" s="92"/>
      <c r="AI700" s="92"/>
      <c r="AJ700" s="92"/>
      <c r="AK700" s="92"/>
      <c r="AL700" s="92"/>
      <c r="AM700" s="651"/>
      <c r="AN700" s="92"/>
      <c r="AO700" s="92"/>
    </row>
    <row r="701" spans="2:41" s="83" customFormat="1" hidden="1">
      <c r="B701" s="95"/>
      <c r="C701" s="96"/>
      <c r="D701" s="162"/>
      <c r="E701" s="162"/>
      <c r="G701" s="250"/>
      <c r="H701" s="250"/>
      <c r="I701" s="250"/>
      <c r="J701" s="250"/>
      <c r="K701" s="250"/>
      <c r="L701" s="251"/>
      <c r="M701" s="251"/>
      <c r="N701" s="251"/>
      <c r="O701" s="251"/>
      <c r="P701" s="250"/>
      <c r="Q701" s="251"/>
      <c r="R701" s="251"/>
      <c r="S701" s="251"/>
      <c r="T701" s="251"/>
      <c r="U701" s="250"/>
      <c r="V701" s="251"/>
      <c r="W701" s="99"/>
      <c r="X701" s="99"/>
      <c r="Y701" s="99"/>
      <c r="Z701" s="92"/>
      <c r="AA701" s="99"/>
      <c r="AB701" s="99"/>
      <c r="AC701" s="99"/>
      <c r="AD701" s="99"/>
      <c r="AE701" s="92"/>
      <c r="AF701" s="92"/>
      <c r="AG701" s="92"/>
      <c r="AH701" s="92"/>
      <c r="AI701" s="92"/>
      <c r="AJ701" s="92"/>
      <c r="AK701" s="92"/>
      <c r="AL701" s="92"/>
      <c r="AM701" s="651"/>
      <c r="AN701" s="92"/>
      <c r="AO701" s="92"/>
    </row>
    <row r="702" spans="2:41" s="83" customFormat="1" hidden="1">
      <c r="B702" s="95"/>
      <c r="C702" s="96"/>
      <c r="D702" s="162"/>
      <c r="E702" s="162"/>
      <c r="G702" s="95"/>
      <c r="H702" s="95"/>
      <c r="I702" s="95"/>
      <c r="J702" s="95"/>
      <c r="K702" s="95"/>
      <c r="L702" s="126"/>
      <c r="M702" s="126"/>
      <c r="N702" s="126"/>
      <c r="O702" s="126"/>
      <c r="P702" s="95"/>
      <c r="Q702" s="126"/>
      <c r="R702" s="126"/>
      <c r="S702" s="126"/>
      <c r="T702" s="126"/>
      <c r="U702" s="92"/>
      <c r="V702" s="126"/>
      <c r="W702" s="99"/>
      <c r="X702" s="99"/>
      <c r="Y702" s="99"/>
      <c r="Z702" s="92"/>
      <c r="AA702" s="99"/>
      <c r="AB702" s="99"/>
      <c r="AC702" s="99"/>
      <c r="AD702" s="99"/>
      <c r="AE702" s="92"/>
      <c r="AF702" s="92"/>
      <c r="AG702" s="92"/>
      <c r="AH702" s="92"/>
      <c r="AI702" s="92"/>
      <c r="AJ702" s="92"/>
      <c r="AK702" s="92"/>
      <c r="AL702" s="92"/>
      <c r="AM702" s="651"/>
      <c r="AN702" s="92"/>
      <c r="AO702" s="92"/>
    </row>
    <row r="703" spans="2:41" s="83" customFormat="1" hidden="1">
      <c r="B703" s="95"/>
      <c r="C703" s="96"/>
      <c r="D703" s="162"/>
      <c r="E703" s="162"/>
      <c r="G703" s="95"/>
      <c r="H703" s="95"/>
      <c r="I703" s="95"/>
      <c r="J703" s="95"/>
      <c r="K703" s="95"/>
      <c r="L703" s="126"/>
      <c r="M703" s="126"/>
      <c r="N703" s="126"/>
      <c r="O703" s="126"/>
      <c r="P703" s="95"/>
      <c r="Q703" s="126"/>
      <c r="R703" s="126"/>
      <c r="S703" s="126"/>
      <c r="T703" s="126"/>
      <c r="U703" s="92"/>
      <c r="V703" s="126"/>
      <c r="W703" s="99"/>
      <c r="X703" s="99"/>
      <c r="Y703" s="99"/>
      <c r="Z703" s="92"/>
      <c r="AA703" s="99"/>
      <c r="AB703" s="99"/>
      <c r="AC703" s="99"/>
      <c r="AD703" s="99"/>
      <c r="AE703" s="92"/>
      <c r="AF703" s="92"/>
      <c r="AG703" s="92"/>
      <c r="AH703" s="92"/>
      <c r="AI703" s="92"/>
      <c r="AJ703" s="92"/>
      <c r="AK703" s="92"/>
      <c r="AL703" s="92"/>
      <c r="AM703" s="651"/>
      <c r="AN703" s="92"/>
      <c r="AO703" s="92"/>
    </row>
    <row r="704" spans="2:41" s="83" customFormat="1" hidden="1">
      <c r="B704" s="95"/>
      <c r="C704" s="96"/>
      <c r="D704" s="552" t="s">
        <v>596</v>
      </c>
      <c r="E704" s="162"/>
      <c r="G704" s="95"/>
      <c r="H704" s="95"/>
      <c r="I704" s="95"/>
      <c r="J704" s="95"/>
      <c r="K704" s="95"/>
      <c r="L704" s="126"/>
      <c r="M704" s="126"/>
      <c r="N704" s="126"/>
      <c r="O704" s="126"/>
      <c r="P704" s="95"/>
      <c r="Q704" s="126"/>
      <c r="R704" s="126"/>
      <c r="S704" s="126"/>
      <c r="T704" s="126"/>
      <c r="U704" s="92"/>
      <c r="V704" s="126"/>
      <c r="W704" s="99"/>
      <c r="X704" s="99"/>
      <c r="Y704" s="99"/>
      <c r="Z704" s="92"/>
      <c r="AA704" s="99"/>
      <c r="AB704" s="99"/>
      <c r="AC704" s="99"/>
      <c r="AD704" s="99"/>
      <c r="AE704" s="92"/>
      <c r="AF704" s="92"/>
      <c r="AG704" s="92"/>
      <c r="AH704" s="92"/>
      <c r="AI704" s="92"/>
      <c r="AJ704" s="92"/>
      <c r="AK704" s="92"/>
      <c r="AL704" s="92"/>
      <c r="AM704" s="651"/>
      <c r="AN704" s="92"/>
      <c r="AO704" s="92"/>
    </row>
    <row r="705" spans="2:41" s="83" customFormat="1" hidden="1">
      <c r="B705" s="95"/>
      <c r="C705" s="96"/>
      <c r="D705" s="553" t="s">
        <v>600</v>
      </c>
      <c r="E705" s="162"/>
      <c r="G705" s="130">
        <f t="shared" ref="G705:V705" si="630">G617</f>
        <v>294</v>
      </c>
      <c r="H705" s="130">
        <f t="shared" si="630"/>
        <v>277</v>
      </c>
      <c r="I705" s="130">
        <f t="shared" si="630"/>
        <v>308</v>
      </c>
      <c r="J705" s="130">
        <f t="shared" si="630"/>
        <v>312</v>
      </c>
      <c r="K705" s="130">
        <f t="shared" si="630"/>
        <v>309</v>
      </c>
      <c r="L705" s="97">
        <f t="shared" si="630"/>
        <v>77.3</v>
      </c>
      <c r="M705" s="97">
        <f t="shared" si="630"/>
        <v>76.900000000000006</v>
      </c>
      <c r="N705" s="97">
        <f t="shared" si="630"/>
        <v>74.400000000000006</v>
      </c>
      <c r="O705" s="97">
        <f t="shared" si="630"/>
        <v>75</v>
      </c>
      <c r="P705" s="130">
        <f t="shared" si="630"/>
        <v>303.60000000000002</v>
      </c>
      <c r="Q705" s="97">
        <f t="shared" si="630"/>
        <v>75.2</v>
      </c>
      <c r="R705" s="97">
        <f t="shared" si="630"/>
        <v>74.400000000000006</v>
      </c>
      <c r="S705" s="97">
        <f t="shared" si="630"/>
        <v>74.400000000000006</v>
      </c>
      <c r="T705" s="97">
        <f t="shared" si="630"/>
        <v>60.3</v>
      </c>
      <c r="U705" s="130">
        <f t="shared" si="630"/>
        <v>284.3</v>
      </c>
      <c r="V705" s="97">
        <f t="shared" si="630"/>
        <v>80.3</v>
      </c>
      <c r="W705" s="97"/>
      <c r="X705" s="97"/>
      <c r="Y705" s="97"/>
      <c r="Z705" s="130">
        <f>Z617</f>
        <v>306.8</v>
      </c>
      <c r="AA705" s="97"/>
      <c r="AB705" s="97"/>
      <c r="AC705" s="97"/>
      <c r="AD705" s="97"/>
      <c r="AE705" s="130">
        <f>AE617</f>
        <v>305.10000000000002</v>
      </c>
      <c r="AF705" s="130">
        <f>AF617</f>
        <v>305.10000000000002</v>
      </c>
      <c r="AG705" s="92"/>
      <c r="AH705" s="92"/>
      <c r="AI705" s="92"/>
      <c r="AJ705" s="92"/>
      <c r="AK705" s="92"/>
      <c r="AL705" s="92"/>
      <c r="AM705" s="651"/>
      <c r="AN705" s="92"/>
      <c r="AO705" s="92"/>
    </row>
    <row r="706" spans="2:41" s="83" customFormat="1" hidden="1">
      <c r="B706" s="95"/>
      <c r="C706" s="96"/>
      <c r="D706" s="553" t="s">
        <v>601</v>
      </c>
      <c r="E706" s="162"/>
      <c r="G706" s="414">
        <f>((G618*1000)/($G$716/$G$718))/1000</f>
        <v>94.693057043151782</v>
      </c>
      <c r="H706" s="414">
        <f t="shared" ref="H706:V706" si="631">((H618*1000)/(H$716/H$718))/1000</f>
        <v>75.887295457877542</v>
      </c>
      <c r="I706" s="414">
        <f t="shared" si="631"/>
        <v>76.560687306883139</v>
      </c>
      <c r="J706" s="414">
        <f t="shared" si="631"/>
        <v>86.491122279865365</v>
      </c>
      <c r="K706" s="414">
        <f t="shared" si="631"/>
        <v>69.079353856471613</v>
      </c>
      <c r="L706" s="415">
        <f t="shared" si="631"/>
        <v>13.804945014436788</v>
      </c>
      <c r="M706" s="415">
        <f t="shared" si="631"/>
        <v>11.487241365106319</v>
      </c>
      <c r="N706" s="415">
        <f t="shared" si="631"/>
        <v>10.393860404732603</v>
      </c>
      <c r="O706" s="415">
        <f t="shared" si="631"/>
        <v>9.0228381019318711</v>
      </c>
      <c r="P706" s="414">
        <f t="shared" si="631"/>
        <v>44.800954541403812</v>
      </c>
      <c r="Q706" s="415">
        <f t="shared" si="631"/>
        <v>13.282694661742687</v>
      </c>
      <c r="R706" s="415">
        <f t="shared" si="631"/>
        <v>12.009036846737581</v>
      </c>
      <c r="S706" s="415">
        <f t="shared" si="631"/>
        <v>15.498510044626453</v>
      </c>
      <c r="T706" s="415">
        <f t="shared" si="631"/>
        <v>13.866426098861048</v>
      </c>
      <c r="U706" s="414">
        <f t="shared" si="631"/>
        <v>54.474748092950705</v>
      </c>
      <c r="V706" s="415">
        <f t="shared" si="631"/>
        <v>14.841728286844658</v>
      </c>
      <c r="W706" s="415"/>
      <c r="X706" s="415"/>
      <c r="Y706" s="415"/>
      <c r="Z706" s="414" t="e">
        <f>((Z618*1000)/(Z$716/Z$718))/1000</f>
        <v>#REF!</v>
      </c>
      <c r="AA706" s="415"/>
      <c r="AB706" s="415"/>
      <c r="AC706" s="415"/>
      <c r="AD706" s="415"/>
      <c r="AE706" s="414" t="e">
        <f>((AE618*1000)/(AE$716/AE$718))/1000</f>
        <v>#REF!</v>
      </c>
      <c r="AF706" s="414" t="e">
        <f>((AF618*1000)/(AF$716/AF$718))/1000</f>
        <v>#REF!</v>
      </c>
      <c r="AG706" s="92"/>
      <c r="AH706" s="92"/>
      <c r="AI706" s="92"/>
      <c r="AJ706" s="92"/>
      <c r="AK706" s="92"/>
      <c r="AL706" s="92"/>
      <c r="AM706" s="651"/>
      <c r="AN706" s="92"/>
      <c r="AO706" s="92"/>
    </row>
    <row r="707" spans="2:41" s="83" customFormat="1" hidden="1">
      <c r="B707" s="95"/>
      <c r="C707" s="96"/>
      <c r="D707" s="553" t="s">
        <v>602</v>
      </c>
      <c r="E707" s="162"/>
      <c r="G707" s="130">
        <f t="shared" ref="G707:V707" si="632">((G620*1000)/(G716/G719))/1000</f>
        <v>43.802801477099251</v>
      </c>
      <c r="H707" s="130">
        <f t="shared" si="632"/>
        <v>26.286150992014658</v>
      </c>
      <c r="I707" s="130">
        <f t="shared" si="632"/>
        <v>26.364181655966274</v>
      </c>
      <c r="J707" s="130">
        <f t="shared" si="632"/>
        <v>22.42513317772357</v>
      </c>
      <c r="K707" s="130">
        <f t="shared" si="632"/>
        <v>15.635125904089016</v>
      </c>
      <c r="L707" s="97">
        <f t="shared" si="632"/>
        <v>3.3824063417797219</v>
      </c>
      <c r="M707" s="97">
        <f t="shared" si="632"/>
        <v>3.4245933800754811</v>
      </c>
      <c r="N707" s="97">
        <f t="shared" si="632"/>
        <v>3.7892421204319882</v>
      </c>
      <c r="O707" s="97">
        <f t="shared" si="632"/>
        <v>1.2327856263072363</v>
      </c>
      <c r="P707" s="130">
        <f t="shared" si="632"/>
        <v>11.910340567837389</v>
      </c>
      <c r="Q707" s="97">
        <f t="shared" si="632"/>
        <v>2.4118609322557227</v>
      </c>
      <c r="R707" s="97">
        <f t="shared" si="632"/>
        <v>3.8074290142051965</v>
      </c>
      <c r="S707" s="97">
        <f t="shared" si="632"/>
        <v>4.0429778301247588</v>
      </c>
      <c r="T707" s="97">
        <f t="shared" si="632"/>
        <v>5.0438189502056741</v>
      </c>
      <c r="U707" s="130">
        <f t="shared" si="632"/>
        <v>15.079090115352246</v>
      </c>
      <c r="V707" s="97">
        <f t="shared" si="632"/>
        <v>5.6560224510404389</v>
      </c>
      <c r="W707" s="97"/>
      <c r="X707" s="97"/>
      <c r="Y707" s="97"/>
      <c r="Z707" s="130" t="e">
        <f>((Z620*1000)/(Z716/Z719))/1000</f>
        <v>#REF!</v>
      </c>
      <c r="AA707" s="97"/>
      <c r="AB707" s="97"/>
      <c r="AC707" s="97"/>
      <c r="AD707" s="97"/>
      <c r="AE707" s="130" t="e">
        <f>((AE620*1000)/(AE716/AE719))/1000</f>
        <v>#REF!</v>
      </c>
      <c r="AF707" s="130" t="e">
        <f>((AF620*1000)/(AF716/AF719))/1000</f>
        <v>#REF!</v>
      </c>
      <c r="AG707" s="92"/>
      <c r="AH707" s="92"/>
      <c r="AI707" s="92"/>
      <c r="AJ707" s="92"/>
      <c r="AK707" s="92"/>
      <c r="AL707" s="92"/>
      <c r="AM707" s="651"/>
      <c r="AN707" s="92"/>
      <c r="AO707" s="92"/>
    </row>
    <row r="708" spans="2:41" s="83" customFormat="1" hidden="1">
      <c r="B708" s="95"/>
      <c r="C708" s="96"/>
      <c r="D708" s="553" t="s">
        <v>603</v>
      </c>
      <c r="E708" s="162"/>
      <c r="G708" s="130">
        <f t="shared" ref="G708:V708" si="633">((G619*1000000)/(G716/G717))/1000</f>
        <v>268.71600654967409</v>
      </c>
      <c r="H708" s="130">
        <f t="shared" si="633"/>
        <v>164.10330875772826</v>
      </c>
      <c r="I708" s="130">
        <f t="shared" si="633"/>
        <v>149.5195753634049</v>
      </c>
      <c r="J708" s="130">
        <f t="shared" si="633"/>
        <v>147.10108512345559</v>
      </c>
      <c r="K708" s="130">
        <f t="shared" si="633"/>
        <v>98.072403824091609</v>
      </c>
      <c r="L708" s="97">
        <f t="shared" si="633"/>
        <v>16.417451681014057</v>
      </c>
      <c r="M708" s="97">
        <f t="shared" si="633"/>
        <v>13.213108616621422</v>
      </c>
      <c r="N708" s="97">
        <f t="shared" si="633"/>
        <v>13.656068461530394</v>
      </c>
      <c r="O708" s="97">
        <f t="shared" si="633"/>
        <v>4.7226897401974499</v>
      </c>
      <c r="P708" s="130">
        <f t="shared" si="633"/>
        <v>48.285948934857281</v>
      </c>
      <c r="Q708" s="97">
        <f t="shared" si="633"/>
        <v>12.653711494393166</v>
      </c>
      <c r="R708" s="97">
        <f t="shared" si="633"/>
        <v>16.416404966261279</v>
      </c>
      <c r="S708" s="97">
        <f t="shared" si="633"/>
        <v>19.195880334065158</v>
      </c>
      <c r="T708" s="97">
        <f t="shared" si="633"/>
        <v>18.910413121831418</v>
      </c>
      <c r="U708" s="130">
        <f t="shared" si="633"/>
        <v>66.758788865912621</v>
      </c>
      <c r="V708" s="97">
        <f t="shared" si="633"/>
        <v>20.134431219862218</v>
      </c>
      <c r="W708" s="97"/>
      <c r="X708" s="97"/>
      <c r="Y708" s="97"/>
      <c r="Z708" s="130" t="e">
        <f>((Z619*1000000)/(Z716/Z717))/1000</f>
        <v>#REF!</v>
      </c>
      <c r="AA708" s="97"/>
      <c r="AB708" s="97"/>
      <c r="AC708" s="97"/>
      <c r="AD708" s="97"/>
      <c r="AE708" s="130" t="e">
        <f>((AE619*1000000)/(AE716/AE717))/1000</f>
        <v>#REF!</v>
      </c>
      <c r="AF708" s="130" t="e">
        <f>((AF619*1000000)/(AF716/AF717))/1000</f>
        <v>#REF!</v>
      </c>
      <c r="AG708" s="92"/>
      <c r="AH708" s="92"/>
      <c r="AI708" s="92"/>
      <c r="AJ708" s="92"/>
      <c r="AK708" s="92"/>
      <c r="AL708" s="92"/>
      <c r="AM708" s="651"/>
      <c r="AN708" s="92"/>
      <c r="AO708" s="92"/>
    </row>
    <row r="709" spans="2:41" s="83" customFormat="1" hidden="1">
      <c r="B709" s="95" t="s">
        <v>598</v>
      </c>
      <c r="C709" s="96"/>
      <c r="D709" s="554" t="s">
        <v>596</v>
      </c>
      <c r="E709" s="554"/>
      <c r="F709" s="174"/>
      <c r="G709" s="555">
        <f>SUM(G705:G708)</f>
        <v>701.21186506992512</v>
      </c>
      <c r="H709" s="555">
        <f t="shared" ref="H709:U709" si="634">SUM(H705:H708)</f>
        <v>543.27675520762045</v>
      </c>
      <c r="I709" s="555">
        <f t="shared" si="634"/>
        <v>560.44444432625437</v>
      </c>
      <c r="J709" s="555">
        <f t="shared" si="634"/>
        <v>568.01734058104455</v>
      </c>
      <c r="K709" s="555">
        <f t="shared" si="634"/>
        <v>491.78688358465223</v>
      </c>
      <c r="L709" s="556">
        <f t="shared" si="634"/>
        <v>110.90480303723056</v>
      </c>
      <c r="M709" s="556">
        <f t="shared" si="634"/>
        <v>105.02494336180322</v>
      </c>
      <c r="N709" s="556">
        <f t="shared" si="634"/>
        <v>102.239170986695</v>
      </c>
      <c r="O709" s="556">
        <f>SUM(O705:O708)</f>
        <v>89.978313468436554</v>
      </c>
      <c r="P709" s="555">
        <f t="shared" si="634"/>
        <v>408.59724404409855</v>
      </c>
      <c r="Q709" s="556">
        <f t="shared" si="634"/>
        <v>103.54826708839157</v>
      </c>
      <c r="R709" s="556">
        <f t="shared" si="634"/>
        <v>106.63287082720407</v>
      </c>
      <c r="S709" s="556">
        <f t="shared" si="634"/>
        <v>113.13736820881638</v>
      </c>
      <c r="T709" s="556">
        <f t="shared" si="634"/>
        <v>98.120658170898139</v>
      </c>
      <c r="U709" s="555">
        <f t="shared" si="634"/>
        <v>420.6126270742156</v>
      </c>
      <c r="V709" s="556">
        <f>SUM(V705:V708)</f>
        <v>120.93218195774732</v>
      </c>
      <c r="W709" s="556"/>
      <c r="X709" s="556"/>
      <c r="Y709" s="556"/>
      <c r="Z709" s="555" t="e">
        <f>SUM(Z705:Z708)</f>
        <v>#REF!</v>
      </c>
      <c r="AA709" s="556"/>
      <c r="AB709" s="556"/>
      <c r="AC709" s="556"/>
      <c r="AD709" s="556"/>
      <c r="AE709" s="555" t="e">
        <f>SUM(AE705:AE708)</f>
        <v>#REF!</v>
      </c>
      <c r="AF709" s="555" t="e">
        <f>SUM(AF705:AF708)</f>
        <v>#REF!</v>
      </c>
      <c r="AG709" s="235"/>
      <c r="AH709" s="235"/>
      <c r="AI709" s="235"/>
      <c r="AJ709" s="235"/>
      <c r="AK709" s="92"/>
      <c r="AL709" s="92"/>
      <c r="AM709" s="651"/>
      <c r="AN709" s="92"/>
      <c r="AO709" s="92"/>
    </row>
    <row r="710" spans="2:41" s="83" customFormat="1" hidden="1">
      <c r="B710" s="95"/>
      <c r="C710" s="96"/>
      <c r="D710" s="557" t="s">
        <v>605</v>
      </c>
      <c r="E710" s="557"/>
      <c r="F710" s="558"/>
      <c r="G710" s="560">
        <f t="shared" ref="G710:V710" si="635">(G636*1000000)/(G709*1000)</f>
        <v>2497.1054929673642</v>
      </c>
      <c r="H710" s="560">
        <f t="shared" si="635"/>
        <v>3127.3195175646792</v>
      </c>
      <c r="I710" s="560">
        <f t="shared" si="635"/>
        <v>3295.5987318607381</v>
      </c>
      <c r="J710" s="560">
        <f t="shared" si="635"/>
        <v>3607.284238724133</v>
      </c>
      <c r="K710" s="560">
        <f t="shared" si="635"/>
        <v>4607.6869384621341</v>
      </c>
      <c r="L710" s="561">
        <f t="shared" si="635"/>
        <v>5274.7940934858916</v>
      </c>
      <c r="M710" s="561">
        <f t="shared" si="635"/>
        <v>4960.7263124645851</v>
      </c>
      <c r="N710" s="561">
        <f t="shared" si="635"/>
        <v>4332.9772309837126</v>
      </c>
      <c r="O710" s="561">
        <f t="shared" si="635"/>
        <v>4367.7191186502987</v>
      </c>
      <c r="P710" s="560">
        <f t="shared" si="635"/>
        <v>4752.8465458528799</v>
      </c>
      <c r="Q710" s="561">
        <f t="shared" si="635"/>
        <v>4548.6034024880573</v>
      </c>
      <c r="R710" s="561">
        <f t="shared" si="635"/>
        <v>4651.4737543149877</v>
      </c>
      <c r="S710" s="561">
        <f t="shared" si="635"/>
        <v>4030.4985631128161</v>
      </c>
      <c r="T710" s="561">
        <f t="shared" si="635"/>
        <v>4137.7627053098649</v>
      </c>
      <c r="U710" s="560">
        <f t="shared" si="635"/>
        <v>4348.4191445286287</v>
      </c>
      <c r="V710" s="561">
        <f t="shared" si="635"/>
        <v>3737.6320569319173</v>
      </c>
      <c r="W710" s="1015"/>
      <c r="X710" s="1015"/>
      <c r="Y710" s="1015"/>
      <c r="Z710" s="562" t="e">
        <f t="shared" ref="Z710:AF710" si="636">Z716+Z711</f>
        <v>#REF!</v>
      </c>
      <c r="AA710" s="1015"/>
      <c r="AB710" s="1015"/>
      <c r="AC710" s="1015"/>
      <c r="AD710" s="1015"/>
      <c r="AE710" s="562" t="e">
        <f t="shared" si="636"/>
        <v>#REF!</v>
      </c>
      <c r="AF710" s="562" t="e">
        <f t="shared" si="636"/>
        <v>#REF!</v>
      </c>
      <c r="AG710" s="559"/>
      <c r="AH710" s="92"/>
      <c r="AI710" s="92"/>
      <c r="AJ710" s="92"/>
      <c r="AK710" s="92"/>
      <c r="AL710" s="92"/>
      <c r="AM710" s="651"/>
      <c r="AN710" s="92"/>
      <c r="AO710" s="92"/>
    </row>
    <row r="711" spans="2:41" s="83" customFormat="1" hidden="1">
      <c r="B711" s="95"/>
      <c r="C711" s="96"/>
      <c r="D711" s="162" t="s">
        <v>604</v>
      </c>
      <c r="E711" s="162"/>
      <c r="G711" s="165">
        <f t="shared" ref="G711:U711" si="637">G710-G716</f>
        <v>500.12545858001272</v>
      </c>
      <c r="H711" s="165">
        <f>H710-H716</f>
        <v>733.78837566744323</v>
      </c>
      <c r="I711" s="165">
        <f t="shared" si="637"/>
        <v>826.80292968682534</v>
      </c>
      <c r="J711" s="165">
        <f t="shared" si="637"/>
        <v>827.00848714310678</v>
      </c>
      <c r="K711" s="165">
        <f t="shared" si="637"/>
        <v>863.92431326372161</v>
      </c>
      <c r="L711" s="166">
        <f t="shared" si="637"/>
        <v>988.82442126366914</v>
      </c>
      <c r="M711" s="166">
        <f t="shared" si="637"/>
        <v>955.90341004522952</v>
      </c>
      <c r="N711" s="166">
        <f t="shared" si="637"/>
        <v>1037.5412036399625</v>
      </c>
      <c r="O711" s="166">
        <f>O710-O716</f>
        <v>977.82884833780008</v>
      </c>
      <c r="P711" s="165">
        <f t="shared" si="637"/>
        <v>1013.0204891335134</v>
      </c>
      <c r="Q711" s="166">
        <f t="shared" si="637"/>
        <v>981.11413105948714</v>
      </c>
      <c r="R711" s="166">
        <f t="shared" si="637"/>
        <v>1111.5080846428564</v>
      </c>
      <c r="S711" s="166">
        <f t="shared" si="637"/>
        <v>930.89338926666187</v>
      </c>
      <c r="T711" s="166">
        <f t="shared" si="637"/>
        <v>1021.0322764036155</v>
      </c>
      <c r="U711" s="165">
        <f t="shared" si="637"/>
        <v>1021.7993275325812</v>
      </c>
      <c r="V711" s="166">
        <f>V710-V716</f>
        <v>884.70915224441751</v>
      </c>
      <c r="W711" s="1016"/>
      <c r="X711" s="1016"/>
      <c r="Y711" s="1016"/>
      <c r="Z711" s="565">
        <v>1000</v>
      </c>
      <c r="AA711" s="1016"/>
      <c r="AB711" s="1016"/>
      <c r="AC711" s="1016"/>
      <c r="AD711" s="1016"/>
      <c r="AE711" s="565">
        <v>1000</v>
      </c>
      <c r="AF711" s="565">
        <v>1000</v>
      </c>
      <c r="AG711" s="92"/>
      <c r="AH711" s="92"/>
      <c r="AI711" s="92"/>
      <c r="AJ711" s="92"/>
      <c r="AK711" s="92"/>
      <c r="AL711" s="92"/>
      <c r="AM711" s="651"/>
      <c r="AN711" s="92"/>
      <c r="AO711" s="92"/>
    </row>
    <row r="712" spans="2:41" s="83" customFormat="1" hidden="1">
      <c r="B712" s="95"/>
      <c r="C712" s="96"/>
      <c r="D712" s="162"/>
      <c r="E712" s="162"/>
      <c r="G712" s="95"/>
      <c r="H712" s="95"/>
      <c r="I712" s="95"/>
      <c r="J712" s="95"/>
      <c r="K712" s="95"/>
      <c r="L712" s="126"/>
      <c r="M712" s="126"/>
      <c r="N712" s="126"/>
      <c r="O712" s="126"/>
      <c r="P712" s="95"/>
      <c r="Q712" s="126"/>
      <c r="R712" s="126"/>
      <c r="S712" s="126"/>
      <c r="T712" s="126"/>
      <c r="U712" s="92"/>
      <c r="V712" s="126"/>
      <c r="W712" s="99"/>
      <c r="X712" s="99"/>
      <c r="Y712" s="99"/>
      <c r="Z712" s="92"/>
      <c r="AA712" s="99"/>
      <c r="AB712" s="99"/>
      <c r="AC712" s="99"/>
      <c r="AD712" s="99"/>
      <c r="AE712" s="92"/>
      <c r="AF712" s="92"/>
      <c r="AG712" s="92"/>
      <c r="AH712" s="92"/>
      <c r="AI712" s="92"/>
      <c r="AJ712" s="92"/>
      <c r="AK712" s="92"/>
      <c r="AL712" s="92"/>
      <c r="AM712" s="651"/>
      <c r="AN712" s="92"/>
      <c r="AO712" s="92"/>
    </row>
    <row r="713" spans="2:41" s="83" customFormat="1" hidden="1">
      <c r="B713" s="95"/>
      <c r="C713" s="96"/>
      <c r="D713" s="162"/>
      <c r="E713" s="162"/>
      <c r="G713" s="95"/>
      <c r="H713" s="95"/>
      <c r="I713" s="95"/>
      <c r="J713" s="95"/>
      <c r="K713" s="95"/>
      <c r="L713" s="126"/>
      <c r="M713" s="126"/>
      <c r="N713" s="126"/>
      <c r="O713" s="126"/>
      <c r="P713" s="95"/>
      <c r="Q713" s="126"/>
      <c r="R713" s="126"/>
      <c r="S713" s="126"/>
      <c r="T713" s="126"/>
      <c r="U713" s="92"/>
      <c r="V713" s="126"/>
      <c r="W713" s="99"/>
      <c r="X713" s="99"/>
      <c r="Y713" s="99"/>
      <c r="Z713" s="92"/>
      <c r="AA713" s="99"/>
      <c r="AB713" s="99"/>
      <c r="AC713" s="99"/>
      <c r="AD713" s="99"/>
      <c r="AE713" s="92"/>
      <c r="AF713" s="92"/>
      <c r="AG713" s="92"/>
      <c r="AH713" s="92"/>
      <c r="AI713" s="92"/>
      <c r="AJ713" s="92"/>
      <c r="AK713" s="92"/>
      <c r="AL713" s="92"/>
      <c r="AM713" s="651"/>
      <c r="AN713" s="92"/>
      <c r="AO713" s="92"/>
    </row>
    <row r="714" spans="2:41" s="83" customFormat="1" hidden="1">
      <c r="B714" s="95"/>
      <c r="C714" s="96"/>
      <c r="D714" s="164"/>
      <c r="E714" s="164"/>
      <c r="G714" s="250"/>
      <c r="H714" s="250"/>
      <c r="I714" s="250"/>
      <c r="J714" s="250"/>
      <c r="K714" s="250"/>
      <c r="L714" s="251"/>
      <c r="M714" s="251"/>
      <c r="N714" s="251"/>
      <c r="O714" s="251"/>
      <c r="P714" s="250"/>
      <c r="Q714" s="251"/>
      <c r="R714" s="251"/>
      <c r="S714" s="251"/>
      <c r="T714" s="251"/>
      <c r="U714" s="123"/>
      <c r="V714" s="251"/>
      <c r="W714" s="688"/>
      <c r="X714" s="688"/>
      <c r="Y714" s="688"/>
      <c r="Z714" s="123"/>
      <c r="AA714" s="688"/>
      <c r="AB714" s="688"/>
      <c r="AC714" s="688"/>
      <c r="AD714" s="688"/>
      <c r="AE714" s="123"/>
      <c r="AF714" s="123"/>
      <c r="AG714" s="92"/>
      <c r="AH714" s="92"/>
      <c r="AI714" s="92"/>
      <c r="AJ714" s="92"/>
      <c r="AK714" s="92"/>
      <c r="AL714" s="92"/>
      <c r="AM714" s="651"/>
      <c r="AN714" s="92"/>
      <c r="AO714" s="92"/>
    </row>
    <row r="715" spans="2:41" s="83" customFormat="1" hidden="1">
      <c r="B715" s="95"/>
      <c r="C715" s="96"/>
      <c r="G715" s="464"/>
      <c r="H715" s="464"/>
      <c r="I715" s="464"/>
      <c r="J715" s="464"/>
      <c r="K715" s="464"/>
      <c r="L715" s="465"/>
      <c r="M715" s="465"/>
      <c r="N715" s="465"/>
      <c r="O715" s="465"/>
      <c r="P715" s="464"/>
      <c r="Q715" s="465"/>
      <c r="R715" s="465"/>
      <c r="S715" s="465"/>
      <c r="T715" s="465"/>
      <c r="U715" s="466"/>
      <c r="V715" s="465"/>
      <c r="W715" s="711"/>
      <c r="X715" s="711"/>
      <c r="Y715" s="711"/>
      <c r="Z715" s="466"/>
      <c r="AA715" s="711"/>
      <c r="AB715" s="711"/>
      <c r="AC715" s="711"/>
      <c r="AD715" s="711"/>
      <c r="AE715" s="466"/>
      <c r="AF715" s="466"/>
      <c r="AG715" s="201"/>
      <c r="AH715" s="201"/>
      <c r="AI715" s="201"/>
      <c r="AJ715" s="201"/>
      <c r="AK715" s="201"/>
      <c r="AL715" s="92"/>
      <c r="AM715" s="651"/>
      <c r="AN715" s="92"/>
      <c r="AO715" s="92"/>
    </row>
    <row r="716" spans="2:41" s="83" customFormat="1" hidden="1">
      <c r="B716" s="92" t="s">
        <v>592</v>
      </c>
      <c r="C716" s="95" t="s">
        <v>497</v>
      </c>
      <c r="D716" s="83" t="s">
        <v>540</v>
      </c>
      <c r="G716" s="563">
        <f>_xll.BDP($C$716,"INTERVAL_AVG", "START_DATE_OVERRIDE=20130101", "END_DATE_OVERRIDE=20131231", "CRNCY=CAD")</f>
        <v>1996.9800343873515</v>
      </c>
      <c r="H716" s="563">
        <f>_xll.BDP($C$716,"INTERVAL_AVG", "START_DATE_OVERRIDE=20140101", "END_DATE_OVERRIDE=20141231", "CRNCY=CAD")</f>
        <v>2393.531141897236</v>
      </c>
      <c r="I716" s="563">
        <f>_xll.BDP($C$716,"INTERVAL_AVG", "START_DATE_OVERRIDE=20150101", "END_DATE_OVERRIDE=20151231", "CRNCY=CAD")</f>
        <v>2468.7958021739128</v>
      </c>
      <c r="J716" s="563">
        <f>_xll.BDP($C$716,"INTERVAL_AVG", "START_DATE_OVERRIDE=20160101", "END_DATE_OVERRIDE=20161231", "CRNCY=CAD")</f>
        <v>2780.2757515810263</v>
      </c>
      <c r="K716" s="563">
        <f>_xll.BDP($C$716,"INTERVAL_AVG", "START_DATE_OVERRIDE=20170101", "END_DATE_OVERRIDE=20171231", "CRNCY=CAD")</f>
        <v>3743.7626251984125</v>
      </c>
      <c r="L716" s="564">
        <f>_xll.BDP($C716,"INTERVAL_AVG", "START_DATE_OVERRIDE=20180101", "END_DATE_OVERRIDE=20180331", "CRNCY=CAD")</f>
        <v>4285.9696722222225</v>
      </c>
      <c r="M716" s="564">
        <f>_xll.BDP($C716,"INTERVAL_AVG", "START_DATE_OVERRIDE=20180401", "END_DATE_OVERRIDE=20180630", "CRNCY=CAD")</f>
        <v>4004.8229024193556</v>
      </c>
      <c r="N716" s="564">
        <f>_xll.BDP($C716,"INTERVAL_AVG", "START_DATE_OVERRIDE=20180701", "END_DATE_OVERRIDE=20180930", "CRNCY=CAD")</f>
        <v>3295.4360273437501</v>
      </c>
      <c r="O716" s="564">
        <f>_xll.BDP($C716,"INTERVAL_AVG", "START_DATE_OVERRIDE=20181001", "END_DATE_OVERRIDE=20181231", "CRNCY=CAD")</f>
        <v>3389.8902703124986</v>
      </c>
      <c r="P716" s="563">
        <f>_xll.BDP($C716,"INTERVAL_AVG", "START_DATE_OVERRIDE=20180101", "END_DATE_OVERRIDE=20181231", "CRNCY=CAD")</f>
        <v>3739.8260567193665</v>
      </c>
      <c r="Q716" s="564">
        <f>_xll.BDP($C716,"INTERVAL_AVG", "START_DATE_OVERRIDE=20190101", "END_DATE_OVERRIDE=20190331", "CRNCY=CAD")</f>
        <v>3567.4892714285702</v>
      </c>
      <c r="R716" s="564">
        <f>_xll.BDP($C716,"INTERVAL_AVG", "START_DATE_OVERRIDE=20190401", "END_DATE_OVERRIDE=20190630", "CRNCY=CAD")</f>
        <v>3539.9656696721313</v>
      </c>
      <c r="S716" s="564">
        <f>_xll.BDP($C716,"INTERVAL_AVG", "START_DATE_OVERRIDE=20190701", "END_DATE_OVERRIDE=20190930", "CRNCY=CAD")</f>
        <v>3099.6051738461542</v>
      </c>
      <c r="T716" s="564">
        <f>_xll.BDP($C716,"INTERVAL_AVG", "START_DATE_OVERRIDE=20191001", "END_DATE_OVERRIDE=20191231", "CRNCY=CAD")</f>
        <v>3116.7304289062495</v>
      </c>
      <c r="U716" s="563">
        <f>_xll.BDP($C716,"INTERVAL_AVG", "START_DATE_OVERRIDE=20190101", "END_DATE_OVERRIDE=20191231", "CRNCY=CAD")</f>
        <v>3326.6198169960476</v>
      </c>
      <c r="V716" s="564">
        <f>_xll.BDP($C716,"INTERVAL_AVG", "START_DATE_OVERRIDE=20200101", "END_DATE_OVERRIDE=20200331", "CRNCY=CAD")</f>
        <v>2852.9229046874998</v>
      </c>
      <c r="W716" s="564"/>
      <c r="X716" s="564"/>
      <c r="Y716" s="564"/>
      <c r="Z716" s="565" t="e">
        <f>#REF!</f>
        <v>#REF!</v>
      </c>
      <c r="AA716" s="1016"/>
      <c r="AB716" s="1016"/>
      <c r="AC716" s="1016"/>
      <c r="AD716" s="1016"/>
      <c r="AE716" s="565" t="e">
        <f>#REF!</f>
        <v>#REF!</v>
      </c>
      <c r="AF716" s="565" t="e">
        <f>#REF!</f>
        <v>#REF!</v>
      </c>
      <c r="AG716" s="201"/>
      <c r="AH716" s="201"/>
      <c r="AI716" s="201"/>
      <c r="AJ716" s="201"/>
      <c r="AK716" s="201"/>
      <c r="AL716" s="92"/>
      <c r="AM716" s="651"/>
      <c r="AN716" s="92"/>
      <c r="AO716" s="92"/>
    </row>
    <row r="717" spans="2:41" s="83" customFormat="1" hidden="1">
      <c r="B717" s="95" t="s">
        <v>592</v>
      </c>
      <c r="C717" s="95" t="s">
        <v>593</v>
      </c>
      <c r="D717" s="83" t="s">
        <v>587</v>
      </c>
      <c r="G717" s="563">
        <f>_xll.BDP($C$717,"INTERVAL_AVG", "START_DATE_OVERRIDE=20130101", "END_DATE_OVERRIDE=20131231", "CRNCY=CAD")</f>
        <v>23.849799999999998</v>
      </c>
      <c r="H717" s="563">
        <f>_xll.BDP($C$717,"INTERVAL_AVG", "START_DATE_OVERRIDE=20140101", "END_DATE_OVERRIDE=20141231", "CRNCY=CAD")</f>
        <v>19.067299999999999</v>
      </c>
      <c r="I717" s="563">
        <f>_xll.BDP($C$717,"INTERVAL_AVG", "START_DATE_OVERRIDE=20150101", "END_DATE_OVERRIDE=20151231", "CRNCY=CAD")</f>
        <v>15.707800000000001</v>
      </c>
      <c r="J717" s="563">
        <f>_xll.BDP($C$717,"INTERVAL_AVG", "START_DATE_OVERRIDE=20160101", "END_DATE_OVERRIDE=20161231", "CRNCY=CAD")</f>
        <v>17.112200000000001</v>
      </c>
      <c r="K717" s="563">
        <f>_xll.BDP($C$717,"INTERVAL_AVG", "START_DATE_OVERRIDE=20170101", "END_DATE_OVERRIDE=20171231", "CRNCY=CAD")</f>
        <v>17.077200000000001</v>
      </c>
      <c r="L717" s="564">
        <f>_xll.BDP($C717,"INTERVAL_AVG", "START_DATE_OVERRIDE=20180101", "END_DATE_OVERRIDE=20180331", "CRNCY=CAD")</f>
        <v>16.753499999999999</v>
      </c>
      <c r="M717" s="564">
        <f>_xll.BDP($C717,"INTERVAL_AVG", "START_DATE_OVERRIDE=20180401", "END_DATE_OVERRIDE=20180630", "CRNCY=CAD")</f>
        <v>16.536300000000001</v>
      </c>
      <c r="N717" s="564">
        <f>_xll.BDP($C717,"INTERVAL_AVG", "START_DATE_OVERRIDE=20180701", "END_DATE_OVERRIDE=20180930", "CRNCY=CAD")</f>
        <v>15.0009</v>
      </c>
      <c r="O717" s="564">
        <f>_xll.BDP($C717,"INTERVAL_AVG", "START_DATE_OVERRIDE=20181001", "END_DATE_OVERRIDE=20181231", "CRNCY=CAD")</f>
        <v>14.554</v>
      </c>
      <c r="P717" s="563">
        <f>_xll.BDP($C717,"INTERVAL_AVG", "START_DATE_OVERRIDE=20180101", "END_DATE_OVERRIDE=20181231", "CRNCY=CAD")</f>
        <v>15.7027</v>
      </c>
      <c r="Q717" s="564">
        <f>_xll.BDP($C717,"INTERVAL_AVG", "START_DATE_OVERRIDE=20190101", "END_DATE_OVERRIDE=20190331", "CRNCY=CAD")</f>
        <v>15.5662</v>
      </c>
      <c r="R717" s="564">
        <f>_xll.BDP($C717,"INTERVAL_AVG", "START_DATE_OVERRIDE=20190401", "END_DATE_OVERRIDE=20190630", "CRNCY=CAD")</f>
        <v>14.9009</v>
      </c>
      <c r="S717" s="564">
        <f>_xll.BDP($C717,"INTERVAL_AVG", "START_DATE_OVERRIDE=20190701", "END_DATE_OVERRIDE=20190930", "CRNCY=CAD")</f>
        <v>16.9999</v>
      </c>
      <c r="T717" s="564">
        <f>_xll.BDP($C717,"INTERVAL_AVG", "START_DATE_OVERRIDE=20191001", "END_DATE_OVERRIDE=20191231", "CRNCY=CAD")</f>
        <v>17.334900000000001</v>
      </c>
      <c r="U717" s="563">
        <f>_xll.BDP($C717,"INTERVAL_AVG", "START_DATE_OVERRIDE=20190101", "END_DATE_OVERRIDE=20191231", "CRNCY=CAD")</f>
        <v>16.2103</v>
      </c>
      <c r="V717" s="564">
        <f>_xll.BDP($C717,"INTERVAL_AVG", "START_DATE_OVERRIDE=20200101", "END_DATE_OVERRIDE=20200331", "CRNCY=CAD")</f>
        <v>16.8947</v>
      </c>
      <c r="W717" s="564"/>
      <c r="X717" s="564"/>
      <c r="Y717" s="564"/>
      <c r="Z717" s="565">
        <f>$U$717</f>
        <v>16.2103</v>
      </c>
      <c r="AA717" s="1016"/>
      <c r="AB717" s="1016"/>
      <c r="AC717" s="1016"/>
      <c r="AD717" s="1016"/>
      <c r="AE717" s="565">
        <f>$U$717</f>
        <v>16.2103</v>
      </c>
      <c r="AF717" s="565">
        <f>$U$717</f>
        <v>16.2103</v>
      </c>
      <c r="AG717" s="201"/>
      <c r="AH717" s="201"/>
      <c r="AI717" s="201"/>
      <c r="AJ717" s="201"/>
      <c r="AK717" s="201"/>
      <c r="AL717" s="92"/>
      <c r="AM717" s="651"/>
      <c r="AN717" s="92"/>
      <c r="AO717" s="92"/>
    </row>
    <row r="718" spans="2:41" s="83" customFormat="1" hidden="1">
      <c r="B718" s="95" t="s">
        <v>592</v>
      </c>
      <c r="C718" s="95" t="s">
        <v>589</v>
      </c>
      <c r="D718" s="83" t="s">
        <v>588</v>
      </c>
      <c r="G718" s="563">
        <f>_xll.BDP($C$718,"INTERVAL_AVG", "START_DATE_OVERRIDE=20130101", "END_DATE_OVERRIDE=20131231", "CRNCY=CAD")</f>
        <v>2219.4852618577074</v>
      </c>
      <c r="H718" s="563">
        <f>_xll.BDP($C$718,"INTERVAL_AVG", "START_DATE_OVERRIDE=20140101", "END_DATE_OVERRIDE=20141231", "CRNCY=CAD")</f>
        <v>2331.6894088932804</v>
      </c>
      <c r="I718" s="563">
        <f>_xll.BDP($C$718,"INTERVAL_AVG", "START_DATE_OVERRIDE=20150101", "END_DATE_OVERRIDE=20151231", "CRNCY=CAD")</f>
        <v>2291.0630719367596</v>
      </c>
      <c r="J718" s="563">
        <f>_xll.BDP($C$718,"INTERVAL_AVG", "START_DATE_OVERRIDE=20160101", "END_DATE_OVERRIDE=20161231", "CRNCY=CAD")</f>
        <v>2484.1856405138337</v>
      </c>
      <c r="K718" s="563">
        <f>_xll.BDP($C$718,"INTERVAL_AVG", "START_DATE_OVERRIDE=20170101", "END_DATE_OVERRIDE=20171231", "CRNCY=CAD")</f>
        <v>3014.1806892857139</v>
      </c>
      <c r="L718" s="564">
        <f>_xll.BDP($C718,"INTERVAL_AVG", "START_DATE_OVERRIDE=20180101", "END_DATE_OVERRIDE=20180331", "CRNCY=CAD")</f>
        <v>3181.0524547619052</v>
      </c>
      <c r="M718" s="564">
        <f>_xll.BDP($C718,"INTERVAL_AVG", "START_DATE_OVERRIDE=20180401", "END_DATE_OVERRIDE=20180630", "CRNCY=CAD")</f>
        <v>3087.54142983871</v>
      </c>
      <c r="N718" s="564">
        <f>_xll.BDP($C718,"INTERVAL_AVG", "START_DATE_OVERRIDE=20180701", "END_DATE_OVERRIDE=20180930", "CRNCY=CAD")</f>
        <v>2762.2824226562507</v>
      </c>
      <c r="O718" s="564">
        <f>_xll.BDP($C718,"INTERVAL_AVG", "START_DATE_OVERRIDE=20181001", "END_DATE_OVERRIDE=20181231", "CRNCY=CAD")</f>
        <v>2614.2248796874992</v>
      </c>
      <c r="P718" s="563">
        <f>_xll.BDP($C718,"INTERVAL_AVG", "START_DATE_OVERRIDE=20180101", "END_DATE_OVERRIDE=20181231", "CRNCY=CAD")</f>
        <v>2908.8155756916985</v>
      </c>
      <c r="Q718" s="564">
        <f>_xll.BDP($C718,"INTERVAL_AVG", "START_DATE_OVERRIDE=20190101", "END_DATE_OVERRIDE=20190331", "CRNCY=CAD")</f>
        <v>2723.3259023809528</v>
      </c>
      <c r="R718" s="564">
        <f>_xll.BDP($C718,"INTERVAL_AVG", "START_DATE_OVERRIDE=20190401", "END_DATE_OVERRIDE=20190630", "CRNCY=CAD")</f>
        <v>2530.4510811475416</v>
      </c>
      <c r="S718" s="564">
        <f>_xll.BDP($C718,"INTERVAL_AVG", "START_DATE_OVERRIDE=20190701", "END_DATE_OVERRIDE=20190930", "CRNCY=CAD")</f>
        <v>2683.757649230768</v>
      </c>
      <c r="T718" s="564">
        <f>_xll.BDP($C718,"INTERVAL_AVG", "START_DATE_OVERRIDE=20191001", "END_DATE_OVERRIDE=20191231", "CRNCY=CAD")</f>
        <v>2701.1195101562503</v>
      </c>
      <c r="U718" s="563">
        <f>_xll.BDP($C718,"INTERVAL_AVG", "START_DATE_OVERRIDE=20190101", "END_DATE_OVERRIDE=20191231", "CRNCY=CAD")</f>
        <v>2661.039302964427</v>
      </c>
      <c r="V718" s="564">
        <f>_xll.BDP($C718,"INTERVAL_AVG", "START_DATE_OVERRIDE=20200101", "END_DATE_OVERRIDE=20200331", "CRNCY=CAD")</f>
        <v>2461.7620101562497</v>
      </c>
      <c r="W718" s="564"/>
      <c r="X718" s="564"/>
      <c r="Y718" s="564"/>
      <c r="Z718" s="565">
        <f>$U$718</f>
        <v>2661.039302964427</v>
      </c>
      <c r="AA718" s="1016"/>
      <c r="AB718" s="1016"/>
      <c r="AC718" s="1016"/>
      <c r="AD718" s="1016"/>
      <c r="AE718" s="565">
        <f>$U$718</f>
        <v>2661.039302964427</v>
      </c>
      <c r="AF718" s="565">
        <f>$U$718</f>
        <v>2661.039302964427</v>
      </c>
      <c r="AG718" s="201"/>
      <c r="AH718" s="201"/>
      <c r="AI718" s="201"/>
      <c r="AJ718" s="201"/>
      <c r="AK718" s="201"/>
      <c r="AL718" s="92"/>
      <c r="AM718" s="651"/>
      <c r="AN718" s="92"/>
      <c r="AO718" s="92"/>
    </row>
    <row r="719" spans="2:41" s="83" customFormat="1" hidden="1">
      <c r="B719" s="95" t="s">
        <v>592</v>
      </c>
      <c r="C719" s="95" t="s">
        <v>591</v>
      </c>
      <c r="D719" s="83" t="s">
        <v>590</v>
      </c>
      <c r="G719" s="563">
        <f>_xll.BDP($C$719,"INTERVAL_AVG", "START_DATE_OVERRIDE=20130101", "END_DATE_OVERRIDE=20131231", "CRNCY=CAD")</f>
        <v>1410.86</v>
      </c>
      <c r="H719" s="563">
        <f>_xll.BDP($C$719,"INTERVAL_AVG", "START_DATE_OVERRIDE=20140101", "END_DATE_OVERRIDE=20141231", "CRNCY=CAD")</f>
        <v>1265.93</v>
      </c>
      <c r="I719" s="563">
        <f>_xll.BDP($C$719,"INTERVAL_AVG", "START_DATE_OVERRIDE=20150101", "END_DATE_OVERRIDE=20151231", "CRNCY=CAD")</f>
        <v>1160.21</v>
      </c>
      <c r="J719" s="563">
        <f>_xll.BDP($C$719,"INTERVAL_AVG", "START_DATE_OVERRIDE=20160101", "END_DATE_OVERRIDE=20161231", "CRNCY=CAD")</f>
        <v>1249.46</v>
      </c>
      <c r="K719" s="563">
        <f>_xll.BDP($C$719,"INTERVAL_AVG", "START_DATE_OVERRIDE=20170101", "END_DATE_OVERRIDE=20171231", "CRNCY=CAD")</f>
        <v>1258.8</v>
      </c>
      <c r="L719" s="564">
        <f>_xll.BDP($C719,"INTERVAL_AVG", "START_DATE_OVERRIDE=20180101", "END_DATE_OVERRIDE=20180331", "CRNCY=CAD")</f>
        <v>1329.99</v>
      </c>
      <c r="M719" s="564">
        <f>_xll.BDP($C719,"INTERVAL_AVG", "START_DATE_OVERRIDE=20180401", "END_DATE_OVERRIDE=20180630", "CRNCY=CAD")</f>
        <v>1306.18</v>
      </c>
      <c r="N719" s="564">
        <f>_xll.BDP($C719,"INTERVAL_AVG", "START_DATE_OVERRIDE=20180701", "END_DATE_OVERRIDE=20180930", "CRNCY=CAD")</f>
        <v>1212.3499999999999</v>
      </c>
      <c r="O719" s="564">
        <f>_xll.BDP($C719,"INTERVAL_AVG", "START_DATE_OVERRIDE=20181001", "END_DATE_OVERRIDE=20181231", "CRNCY=CAD")</f>
        <v>1229.1199999999999</v>
      </c>
      <c r="P719" s="563">
        <f>_xll.BDP($C719,"INTERVAL_AVG", "START_DATE_OVERRIDE=20180101", "END_DATE_OVERRIDE=20181231", "CRNCY=CAD")</f>
        <v>1269.02</v>
      </c>
      <c r="Q719" s="564">
        <f>_xll.BDP($C719,"INTERVAL_AVG", "START_DATE_OVERRIDE=20190101", "END_DATE_OVERRIDE=20190331", "CRNCY=CAD")</f>
        <v>1303.68</v>
      </c>
      <c r="R719" s="564">
        <f>_xll.BDP($C719,"INTERVAL_AVG", "START_DATE_OVERRIDE=20190401", "END_DATE_OVERRIDE=20190630", "CRNCY=CAD")</f>
        <v>1308.56</v>
      </c>
      <c r="S719" s="564">
        <f>_xll.BDP($C719,"INTERVAL_AVG", "START_DATE_OVERRIDE=20190701", "END_DATE_OVERRIDE=20190930", "CRNCY=CAD")</f>
        <v>1474.31</v>
      </c>
      <c r="T719" s="564">
        <f>_xll.BDP($C719,"INTERVAL_AVG", "START_DATE_OVERRIDE=20191001", "END_DATE_OVERRIDE=20191231", "CRNCY=CAD")</f>
        <v>1483.04</v>
      </c>
      <c r="U719" s="563">
        <f>_xll.BDP($C719,"INTERVAL_AVG", "START_DATE_OVERRIDE=20190101", "END_DATE_OVERRIDE=20191231", "CRNCY=CAD")</f>
        <v>1393.4</v>
      </c>
      <c r="V719" s="564">
        <f>_xll.BDP($C719,"INTERVAL_AVG", "START_DATE_OVERRIDE=20200101", "END_DATE_OVERRIDE=20200331", "CRNCY=CAD")</f>
        <v>1581.98</v>
      </c>
      <c r="W719" s="564"/>
      <c r="X719" s="564"/>
      <c r="Y719" s="564"/>
      <c r="Z719" s="565">
        <f>U719</f>
        <v>1393.4</v>
      </c>
      <c r="AA719" s="1016"/>
      <c r="AB719" s="1016"/>
      <c r="AC719" s="1016"/>
      <c r="AD719" s="1016"/>
      <c r="AE719" s="565">
        <f>Z719</f>
        <v>1393.4</v>
      </c>
      <c r="AF719" s="565">
        <f>AE719</f>
        <v>1393.4</v>
      </c>
      <c r="AG719" s="201"/>
      <c r="AH719" s="201"/>
      <c r="AI719" s="201"/>
      <c r="AJ719" s="201"/>
      <c r="AK719" s="201"/>
      <c r="AL719" s="92"/>
      <c r="AM719" s="651"/>
      <c r="AN719" s="92"/>
      <c r="AO719" s="92"/>
    </row>
    <row r="720" spans="2:41" s="83" customFormat="1" hidden="1">
      <c r="B720" s="95"/>
      <c r="C720" s="96"/>
      <c r="D720" s="163"/>
      <c r="E720" s="163"/>
      <c r="G720" s="464"/>
      <c r="H720" s="464"/>
      <c r="I720" s="464"/>
      <c r="J720" s="464"/>
      <c r="K720" s="464"/>
      <c r="L720" s="465"/>
      <c r="M720" s="465"/>
      <c r="N720" s="465"/>
      <c r="O720" s="465"/>
      <c r="P720" s="464"/>
      <c r="Q720" s="465"/>
      <c r="R720" s="465"/>
      <c r="S720" s="465"/>
      <c r="T720" s="465"/>
      <c r="U720" s="466"/>
      <c r="V720" s="465"/>
      <c r="W720" s="711"/>
      <c r="X720" s="711"/>
      <c r="Y720" s="711"/>
      <c r="Z720" s="466"/>
      <c r="AA720" s="711"/>
      <c r="AB720" s="711"/>
      <c r="AC720" s="711"/>
      <c r="AD720" s="711"/>
      <c r="AE720" s="466"/>
      <c r="AF720" s="466"/>
      <c r="AG720" s="201"/>
      <c r="AH720" s="201"/>
      <c r="AI720" s="201"/>
      <c r="AJ720" s="201"/>
      <c r="AK720" s="201"/>
      <c r="AL720" s="92"/>
      <c r="AM720" s="651"/>
      <c r="AN720" s="92"/>
      <c r="AO720" s="92"/>
    </row>
    <row r="721" spans="2:41" s="83" customFormat="1" hidden="1">
      <c r="B721" s="95"/>
      <c r="C721" s="96"/>
      <c r="D721" s="164"/>
      <c r="E721" s="164"/>
      <c r="G721" s="250"/>
      <c r="H721" s="250"/>
      <c r="I721" s="250"/>
      <c r="J721" s="250"/>
      <c r="K721" s="250"/>
      <c r="L721" s="251"/>
      <c r="M721" s="251"/>
      <c r="N721" s="251"/>
      <c r="O721" s="251"/>
      <c r="P721" s="250"/>
      <c r="Q721" s="251"/>
      <c r="R721" s="251"/>
      <c r="S721" s="251"/>
      <c r="T721" s="251"/>
      <c r="U721" s="123"/>
      <c r="V721" s="251"/>
      <c r="W721" s="688"/>
      <c r="X721" s="688"/>
      <c r="Y721" s="688"/>
      <c r="Z721" s="123"/>
      <c r="AA721" s="688"/>
      <c r="AB721" s="688"/>
      <c r="AC721" s="688"/>
      <c r="AD721" s="688"/>
      <c r="AE721" s="123"/>
      <c r="AF721" s="123"/>
      <c r="AG721" s="92"/>
      <c r="AH721" s="92"/>
      <c r="AI721" s="92"/>
      <c r="AJ721" s="92"/>
      <c r="AK721" s="92"/>
      <c r="AL721" s="92"/>
      <c r="AM721" s="651"/>
      <c r="AN721" s="92"/>
      <c r="AO721" s="92"/>
    </row>
    <row r="722" spans="2:41" s="83" customFormat="1" hidden="1">
      <c r="B722" s="95"/>
      <c r="C722" s="96"/>
      <c r="D722" s="84"/>
      <c r="E722" s="84"/>
      <c r="G722" s="95"/>
      <c r="H722" s="95"/>
      <c r="I722" s="95"/>
      <c r="J722" s="95"/>
      <c r="K722" s="95"/>
      <c r="L722" s="126"/>
      <c r="M722" s="126"/>
      <c r="N722" s="126"/>
      <c r="O722" s="126"/>
      <c r="P722" s="95"/>
      <c r="Q722" s="126"/>
      <c r="R722" s="126"/>
      <c r="S722" s="126"/>
      <c r="T722" s="126"/>
      <c r="U722" s="92"/>
      <c r="V722" s="126"/>
      <c r="W722" s="99"/>
      <c r="X722" s="99"/>
      <c r="Y722" s="99"/>
      <c r="Z722" s="92"/>
      <c r="AA722" s="99"/>
      <c r="AB722" s="99"/>
      <c r="AC722" s="99"/>
      <c r="AD722" s="99"/>
      <c r="AE722" s="92"/>
      <c r="AF722" s="92"/>
      <c r="AG722" s="92"/>
      <c r="AH722" s="92"/>
      <c r="AI722" s="92"/>
      <c r="AJ722" s="92"/>
      <c r="AK722" s="92"/>
      <c r="AL722" s="92"/>
      <c r="AM722" s="651"/>
      <c r="AN722" s="92"/>
      <c r="AO722" s="92"/>
    </row>
    <row r="723" spans="2:41" s="83" customFormat="1" hidden="1">
      <c r="B723" s="95" t="s">
        <v>64</v>
      </c>
      <c r="C723" s="96" t="s">
        <v>225</v>
      </c>
      <c r="D723" s="173" t="s">
        <v>231</v>
      </c>
      <c r="E723" s="173"/>
      <c r="F723" s="174"/>
      <c r="L723" s="140"/>
      <c r="M723" s="140"/>
      <c r="N723" s="140"/>
      <c r="O723" s="140"/>
      <c r="Q723" s="140"/>
      <c r="R723" s="140"/>
      <c r="S723" s="140"/>
      <c r="T723" s="140"/>
      <c r="V723" s="140"/>
      <c r="W723" s="140"/>
      <c r="X723" s="140"/>
      <c r="Y723" s="140"/>
      <c r="AA723" s="140"/>
      <c r="AB723" s="140"/>
      <c r="AC723" s="140"/>
      <c r="AD723" s="140"/>
      <c r="AG723" s="175"/>
      <c r="AH723" s="175"/>
      <c r="AI723" s="179"/>
      <c r="AJ723" s="92"/>
      <c r="AK723" s="92"/>
      <c r="AL723" s="92"/>
      <c r="AM723" s="651"/>
      <c r="AN723" s="92"/>
      <c r="AO723" s="92"/>
    </row>
    <row r="724" spans="2:41" s="83" customFormat="1" hidden="1">
      <c r="B724" s="95" t="s">
        <v>64</v>
      </c>
      <c r="C724" s="96" t="s">
        <v>225</v>
      </c>
      <c r="D724" s="83" t="s">
        <v>160</v>
      </c>
      <c r="G724" s="95">
        <f t="shared" ref="G724:V724" si="638">(G636-G725)*-1</f>
        <v>-1639</v>
      </c>
      <c r="H724" s="95">
        <f t="shared" si="638"/>
        <v>-1557</v>
      </c>
      <c r="I724" s="95">
        <f t="shared" si="638"/>
        <v>-1642</v>
      </c>
      <c r="J724" s="95">
        <f t="shared" si="638"/>
        <v>-1808</v>
      </c>
      <c r="K724" s="95">
        <f t="shared" si="638"/>
        <v>-2057</v>
      </c>
      <c r="L724" s="126">
        <f t="shared" si="638"/>
        <v>-497</v>
      </c>
      <c r="M724" s="126">
        <f t="shared" si="638"/>
        <v>-473</v>
      </c>
      <c r="N724" s="126">
        <f t="shared" si="638"/>
        <v>-460</v>
      </c>
      <c r="O724" s="126">
        <f t="shared" si="638"/>
        <v>-421</v>
      </c>
      <c r="P724" s="95">
        <f t="shared" si="638"/>
        <v>-1851</v>
      </c>
      <c r="Q724" s="126">
        <f t="shared" si="638"/>
        <v>-462</v>
      </c>
      <c r="R724" s="126">
        <f t="shared" si="638"/>
        <v>-497</v>
      </c>
      <c r="S724" s="126">
        <f t="shared" si="638"/>
        <v>-454</v>
      </c>
      <c r="T724" s="126">
        <f t="shared" si="638"/>
        <v>-416</v>
      </c>
      <c r="U724" s="95">
        <f t="shared" si="638"/>
        <v>-1829</v>
      </c>
      <c r="V724" s="126">
        <f t="shared" si="638"/>
        <v>-441</v>
      </c>
      <c r="W724" s="126"/>
      <c r="X724" s="126"/>
      <c r="Y724" s="126"/>
      <c r="Z724" s="95">
        <f>(Z636-Z725)*-1</f>
        <v>-1696</v>
      </c>
      <c r="AA724" s="126"/>
      <c r="AB724" s="126"/>
      <c r="AC724" s="126"/>
      <c r="AD724" s="126"/>
      <c r="AE724" s="95">
        <f>(AE636-AE725)*-1</f>
        <v>-2000.0478630313842</v>
      </c>
      <c r="AF724" s="95">
        <f>(AF636-AF725)*-1</f>
        <v>-2099.3910529805948</v>
      </c>
      <c r="AG724" s="95"/>
      <c r="AH724" s="95"/>
      <c r="AI724" s="92"/>
      <c r="AJ724" s="92"/>
      <c r="AK724" s="92"/>
      <c r="AL724" s="92"/>
      <c r="AM724" s="651"/>
      <c r="AN724" s="92"/>
      <c r="AO724" s="92"/>
    </row>
    <row r="725" spans="2:41" s="83" customFormat="1" hidden="1">
      <c r="B725" s="95" t="s">
        <v>64</v>
      </c>
      <c r="C725" s="96" t="s">
        <v>225</v>
      </c>
      <c r="D725" s="163" t="s">
        <v>226</v>
      </c>
      <c r="E725" s="163"/>
      <c r="G725" s="90">
        <v>112</v>
      </c>
      <c r="H725" s="90">
        <v>142</v>
      </c>
      <c r="I725" s="90">
        <v>205</v>
      </c>
      <c r="J725" s="90">
        <v>241</v>
      </c>
      <c r="K725" s="90">
        <v>209</v>
      </c>
      <c r="L725" s="91">
        <v>88</v>
      </c>
      <c r="M725" s="91">
        <v>48</v>
      </c>
      <c r="N725" s="91">
        <v>-17</v>
      </c>
      <c r="O725" s="91">
        <v>-28</v>
      </c>
      <c r="P725" s="90">
        <v>91</v>
      </c>
      <c r="Q725" s="91">
        <v>9</v>
      </c>
      <c r="R725" s="91">
        <v>-1</v>
      </c>
      <c r="S725" s="91">
        <v>2</v>
      </c>
      <c r="T725" s="91">
        <v>-10</v>
      </c>
      <c r="U725" s="90">
        <v>0</v>
      </c>
      <c r="V725" s="91">
        <v>11</v>
      </c>
      <c r="W725" s="97"/>
      <c r="X725" s="97"/>
      <c r="Y725" s="97"/>
      <c r="Z725" s="130">
        <f>Z636*Z695</f>
        <v>65</v>
      </c>
      <c r="AA725" s="97"/>
      <c r="AB725" s="97"/>
      <c r="AC725" s="97"/>
      <c r="AD725" s="97"/>
      <c r="AE725" s="130">
        <f>AE636*AE695</f>
        <v>36.551267835720097</v>
      </c>
      <c r="AF725" s="130">
        <f>AF636*AF695</f>
        <v>-19.678691556485688</v>
      </c>
      <c r="AG725" s="90"/>
      <c r="AH725" s="90"/>
      <c r="AI725" s="92"/>
      <c r="AJ725" s="92"/>
      <c r="AK725" s="92"/>
      <c r="AL725" s="92"/>
      <c r="AM725" s="651"/>
      <c r="AN725" s="92"/>
      <c r="AO725" s="92"/>
    </row>
    <row r="726" spans="2:41" s="83" customFormat="1" hidden="1">
      <c r="B726" s="95" t="s">
        <v>64</v>
      </c>
      <c r="C726" s="96" t="s">
        <v>225</v>
      </c>
      <c r="D726" s="83" t="s">
        <v>161</v>
      </c>
      <c r="G726" s="95"/>
      <c r="L726" s="140"/>
      <c r="M726" s="140"/>
      <c r="N726" s="140"/>
      <c r="O726" s="140"/>
      <c r="Q726" s="140"/>
      <c r="R726" s="140"/>
      <c r="S726" s="140"/>
      <c r="T726" s="140"/>
      <c r="V726" s="140"/>
      <c r="W726" s="706"/>
      <c r="X726" s="706"/>
      <c r="Y726" s="706"/>
      <c r="Z726" s="95">
        <f>(Z724+U680)*Z696</f>
        <v>-87.901345291479814</v>
      </c>
      <c r="AA726" s="126"/>
      <c r="AB726" s="126"/>
      <c r="AC726" s="126"/>
      <c r="AD726" s="126"/>
      <c r="AE726" s="95">
        <f>(AE724+Z726)*AE696</f>
        <v>-90.302705548690042</v>
      </c>
      <c r="AF726" s="95">
        <f>(AF724+AE726)*AF696</f>
        <v>-88.316882139857924</v>
      </c>
      <c r="AG726" s="95"/>
      <c r="AH726" s="95"/>
      <c r="AI726" s="92"/>
      <c r="AJ726" s="92"/>
      <c r="AK726" s="92"/>
      <c r="AL726" s="92"/>
      <c r="AM726" s="651"/>
      <c r="AN726" s="92"/>
      <c r="AO726" s="92"/>
    </row>
    <row r="727" spans="2:41" s="83" customFormat="1" hidden="1">
      <c r="B727" s="95" t="s">
        <v>64</v>
      </c>
      <c r="C727" s="96" t="s">
        <v>225</v>
      </c>
      <c r="D727" s="183" t="s">
        <v>178</v>
      </c>
      <c r="E727" s="183"/>
      <c r="F727" s="103"/>
      <c r="G727" s="104" t="s">
        <v>206</v>
      </c>
      <c r="H727" s="104">
        <v>76</v>
      </c>
      <c r="I727" s="104">
        <v>124</v>
      </c>
      <c r="J727" s="104">
        <v>178</v>
      </c>
      <c r="K727" s="104">
        <v>131</v>
      </c>
      <c r="L727" s="105">
        <v>69</v>
      </c>
      <c r="M727" s="105">
        <v>30</v>
      </c>
      <c r="N727" s="105">
        <v>-36</v>
      </c>
      <c r="O727" s="105">
        <v>-47</v>
      </c>
      <c r="P727" s="104">
        <v>16</v>
      </c>
      <c r="Q727" s="188">
        <v>-11</v>
      </c>
      <c r="R727" s="252">
        <v>-22</v>
      </c>
      <c r="S727" s="105">
        <v>-20</v>
      </c>
      <c r="T727" s="105">
        <v>-33</v>
      </c>
      <c r="U727" s="104">
        <v>-86</v>
      </c>
      <c r="V727" s="188">
        <v>-11</v>
      </c>
      <c r="W727" s="1017"/>
      <c r="X727" s="1017"/>
      <c r="Y727" s="1017"/>
      <c r="Z727" s="184">
        <f>SUM(Z725:Z726)</f>
        <v>-22.901345291479814</v>
      </c>
      <c r="AA727" s="106"/>
      <c r="AB727" s="106"/>
      <c r="AC727" s="106"/>
      <c r="AD727" s="106"/>
      <c r="AE727" s="184">
        <f>SUM(AE725:AE726)</f>
        <v>-53.751437712969945</v>
      </c>
      <c r="AF727" s="184">
        <f>SUM(AF725:AF726)</f>
        <v>-107.99557369634361</v>
      </c>
      <c r="AG727" s="104"/>
      <c r="AH727" s="104"/>
      <c r="AI727" s="185"/>
      <c r="AJ727" s="92"/>
      <c r="AK727" s="92"/>
      <c r="AL727" s="92"/>
      <c r="AM727" s="651"/>
      <c r="AN727" s="92"/>
      <c r="AO727" s="92"/>
    </row>
    <row r="728" spans="2:41" s="83" customFormat="1" hidden="1">
      <c r="B728" s="218"/>
      <c r="C728" s="219"/>
      <c r="D728" s="163"/>
      <c r="E728" s="163"/>
      <c r="G728" s="92"/>
      <c r="H728" s="92"/>
      <c r="I728" s="218"/>
      <c r="J728" s="218"/>
      <c r="K728" s="218"/>
      <c r="L728" s="222"/>
      <c r="M728" s="222"/>
      <c r="N728" s="222"/>
      <c r="O728" s="222"/>
      <c r="P728" s="218"/>
      <c r="Q728" s="222"/>
      <c r="R728" s="222"/>
      <c r="S728" s="222"/>
      <c r="T728" s="222"/>
      <c r="U728" s="92"/>
      <c r="V728" s="222"/>
      <c r="W728" s="99"/>
      <c r="X728" s="99"/>
      <c r="Y728" s="99"/>
      <c r="Z728" s="92"/>
      <c r="AA728" s="99"/>
      <c r="AB728" s="99"/>
      <c r="AC728" s="99"/>
      <c r="AD728" s="99"/>
      <c r="AE728" s="92"/>
      <c r="AF728" s="92"/>
      <c r="AG728" s="92"/>
      <c r="AH728" s="92"/>
      <c r="AI728" s="92"/>
      <c r="AJ728" s="92"/>
      <c r="AK728" s="92"/>
      <c r="AL728" s="92"/>
      <c r="AM728" s="651"/>
      <c r="AN728" s="92"/>
      <c r="AO728" s="92"/>
    </row>
    <row r="729" spans="2:41" s="83" customFormat="1" hidden="1">
      <c r="B729" s="218"/>
      <c r="C729" s="219"/>
      <c r="D729" s="163"/>
      <c r="E729" s="163"/>
      <c r="G729" s="92"/>
      <c r="H729" s="92"/>
      <c r="I729" s="218"/>
      <c r="J729" s="218"/>
      <c r="K729" s="218"/>
      <c r="L729" s="222"/>
      <c r="M729" s="222"/>
      <c r="N729" s="222"/>
      <c r="O729" s="222"/>
      <c r="P729" s="218"/>
      <c r="Q729" s="222"/>
      <c r="R729" s="222"/>
      <c r="S729" s="222"/>
      <c r="T729" s="222"/>
      <c r="U729" s="92"/>
      <c r="V729" s="222"/>
      <c r="W729" s="99"/>
      <c r="X729" s="99"/>
      <c r="Y729" s="99"/>
      <c r="Z729" s="92"/>
      <c r="AA729" s="99"/>
      <c r="AB729" s="99"/>
      <c r="AC729" s="99"/>
      <c r="AD729" s="99"/>
      <c r="AE729" s="92"/>
      <c r="AF729" s="92"/>
      <c r="AG729" s="92"/>
      <c r="AH729" s="92"/>
      <c r="AI729" s="92"/>
      <c r="AJ729" s="92"/>
      <c r="AK729" s="92"/>
      <c r="AL729" s="92"/>
      <c r="AM729" s="651"/>
      <c r="AN729" s="92"/>
      <c r="AO729" s="92"/>
    </row>
    <row r="730" spans="2:41" s="83" customFormat="1" hidden="1">
      <c r="B730" s="218"/>
      <c r="C730" s="219"/>
      <c r="D730" s="163"/>
      <c r="E730" s="163"/>
      <c r="G730" s="92"/>
      <c r="H730" s="92"/>
      <c r="I730" s="218"/>
      <c r="J730" s="218"/>
      <c r="K730" s="218"/>
      <c r="L730" s="222"/>
      <c r="M730" s="222"/>
      <c r="N730" s="222"/>
      <c r="O730" s="222"/>
      <c r="P730" s="218"/>
      <c r="Q730" s="222"/>
      <c r="R730" s="222"/>
      <c r="S730" s="222"/>
      <c r="T730" s="222"/>
      <c r="U730" s="92"/>
      <c r="V730" s="222"/>
      <c r="W730" s="99"/>
      <c r="X730" s="99"/>
      <c r="Y730" s="99"/>
      <c r="Z730" s="92"/>
      <c r="AA730" s="99"/>
      <c r="AB730" s="99"/>
      <c r="AC730" s="99"/>
      <c r="AD730" s="99"/>
      <c r="AE730" s="92"/>
      <c r="AF730" s="92"/>
      <c r="AG730" s="92"/>
      <c r="AH730" s="92"/>
      <c r="AI730" s="92"/>
      <c r="AJ730" s="92"/>
      <c r="AK730" s="92"/>
      <c r="AL730" s="92"/>
      <c r="AM730" s="651"/>
      <c r="AN730" s="92"/>
      <c r="AO730" s="92"/>
    </row>
    <row r="731" spans="2:41" s="83" customFormat="1">
      <c r="B731" s="218"/>
      <c r="C731" s="219"/>
      <c r="L731" s="140"/>
      <c r="M731" s="140"/>
      <c r="N731" s="140"/>
      <c r="O731" s="140"/>
      <c r="Q731" s="140"/>
      <c r="R731" s="140"/>
      <c r="S731" s="140"/>
      <c r="T731" s="140"/>
      <c r="V731" s="140"/>
      <c r="W731" s="140"/>
      <c r="X731" s="140"/>
      <c r="Y731" s="140"/>
      <c r="AA731" s="140"/>
      <c r="AB731" s="140"/>
      <c r="AC731" s="140"/>
      <c r="AD731" s="140"/>
      <c r="AG731" s="92"/>
      <c r="AH731" s="92"/>
      <c r="AI731" s="92"/>
      <c r="AJ731" s="92"/>
      <c r="AK731" s="92"/>
      <c r="AL731" s="92"/>
      <c r="AM731" s="651"/>
      <c r="AN731" s="92"/>
      <c r="AO731" s="92"/>
    </row>
    <row r="732" spans="2:41" s="83" customFormat="1">
      <c r="B732" s="218"/>
      <c r="C732" s="219"/>
      <c r="L732" s="140"/>
      <c r="M732" s="140"/>
      <c r="N732" s="140"/>
      <c r="O732" s="140"/>
      <c r="Q732" s="140"/>
      <c r="R732" s="140"/>
      <c r="S732" s="140"/>
      <c r="T732" s="140"/>
      <c r="V732" s="140"/>
      <c r="W732" s="140"/>
      <c r="X732" s="140"/>
      <c r="Y732" s="140"/>
      <c r="AA732" s="140"/>
      <c r="AB732" s="140"/>
      <c r="AC732" s="140"/>
      <c r="AD732" s="140"/>
      <c r="AG732" s="92"/>
      <c r="AH732" s="92"/>
      <c r="AI732" s="92"/>
      <c r="AJ732" s="92"/>
      <c r="AK732" s="92"/>
      <c r="AL732" s="92"/>
      <c r="AM732" s="651"/>
      <c r="AN732" s="92"/>
      <c r="AO732" s="92"/>
    </row>
    <row r="733" spans="2:41" s="83" customFormat="1">
      <c r="B733" s="218"/>
      <c r="C733" s="219"/>
      <c r="L733" s="140"/>
      <c r="M733" s="140"/>
      <c r="N733" s="140"/>
      <c r="O733" s="140"/>
      <c r="Q733" s="140"/>
      <c r="R733" s="140"/>
      <c r="S733" s="140"/>
      <c r="T733" s="140"/>
      <c r="V733" s="140"/>
      <c r="W733" s="140"/>
      <c r="X733" s="140"/>
      <c r="Y733" s="140"/>
      <c r="AA733" s="140"/>
      <c r="AB733" s="140"/>
      <c r="AC733" s="140"/>
      <c r="AD733" s="140"/>
      <c r="AG733" s="92"/>
      <c r="AH733" s="92"/>
      <c r="AI733" s="92"/>
      <c r="AJ733" s="92"/>
      <c r="AK733" s="92"/>
      <c r="AL733" s="92"/>
      <c r="AM733" s="651"/>
      <c r="AN733" s="92"/>
      <c r="AO733" s="92"/>
    </row>
    <row r="734" spans="2:41" s="83" customFormat="1">
      <c r="B734" s="218"/>
      <c r="C734" s="219"/>
      <c r="L734" s="140"/>
      <c r="M734" s="140"/>
      <c r="N734" s="140"/>
      <c r="O734" s="140"/>
      <c r="Q734" s="140"/>
      <c r="R734" s="140"/>
      <c r="S734" s="140"/>
      <c r="T734" s="140"/>
      <c r="V734" s="140"/>
      <c r="W734" s="140"/>
      <c r="X734" s="140"/>
      <c r="Y734" s="140"/>
      <c r="AA734" s="140"/>
      <c r="AB734" s="140"/>
      <c r="AC734" s="140"/>
      <c r="AD734" s="140"/>
      <c r="AG734" s="92"/>
      <c r="AH734" s="92"/>
      <c r="AI734" s="92"/>
      <c r="AJ734" s="92"/>
      <c r="AK734" s="92"/>
      <c r="AL734" s="92"/>
      <c r="AM734" s="651"/>
      <c r="AN734" s="92"/>
      <c r="AO734" s="92"/>
    </row>
    <row r="735" spans="2:41" s="83" customFormat="1">
      <c r="B735" s="218"/>
      <c r="C735" s="219"/>
      <c r="L735" s="140"/>
      <c r="M735" s="140"/>
      <c r="N735" s="140"/>
      <c r="O735" s="140"/>
      <c r="Q735" s="140"/>
      <c r="R735" s="140"/>
      <c r="S735" s="140"/>
      <c r="T735" s="140"/>
      <c r="V735" s="140"/>
      <c r="W735" s="140"/>
      <c r="X735" s="140"/>
      <c r="Y735" s="140"/>
      <c r="AA735" s="140"/>
      <c r="AB735" s="140"/>
      <c r="AC735" s="140"/>
      <c r="AD735" s="140"/>
      <c r="AG735" s="92"/>
      <c r="AH735" s="92"/>
      <c r="AI735" s="92"/>
      <c r="AJ735" s="92"/>
      <c r="AK735" s="92"/>
      <c r="AL735" s="92"/>
      <c r="AM735" s="651"/>
      <c r="AN735" s="92"/>
      <c r="AO735" s="92"/>
    </row>
    <row r="736" spans="2:41" s="83" customFormat="1">
      <c r="B736" s="218"/>
      <c r="C736" s="219"/>
      <c r="D736" s="163"/>
      <c r="E736" s="163"/>
      <c r="G736" s="92"/>
      <c r="H736" s="92"/>
      <c r="I736" s="218"/>
      <c r="J736" s="218"/>
      <c r="K736" s="218"/>
      <c r="L736" s="222"/>
      <c r="M736" s="222"/>
      <c r="N736" s="222"/>
      <c r="O736" s="222"/>
      <c r="P736" s="218"/>
      <c r="Q736" s="222"/>
      <c r="R736" s="222"/>
      <c r="S736" s="222"/>
      <c r="T736" s="222"/>
      <c r="U736" s="92"/>
      <c r="V736" s="222"/>
      <c r="W736" s="99"/>
      <c r="X736" s="99"/>
      <c r="Y736" s="99"/>
      <c r="Z736" s="92"/>
      <c r="AA736" s="99"/>
      <c r="AB736" s="99"/>
      <c r="AC736" s="99"/>
      <c r="AD736" s="99"/>
      <c r="AE736" s="92"/>
      <c r="AF736" s="92"/>
      <c r="AG736" s="92"/>
      <c r="AH736" s="92"/>
      <c r="AI736" s="92"/>
      <c r="AJ736" s="92"/>
      <c r="AK736" s="92"/>
      <c r="AL736" s="92"/>
      <c r="AM736" s="651"/>
      <c r="AN736" s="92"/>
      <c r="AO736" s="92"/>
    </row>
    <row r="737" spans="1:54" s="83" customFormat="1">
      <c r="B737" s="218"/>
      <c r="C737" s="219"/>
      <c r="D737" s="163"/>
      <c r="E737" s="163"/>
      <c r="G737" s="92"/>
      <c r="H737" s="92"/>
      <c r="I737" s="218"/>
      <c r="J737" s="218"/>
      <c r="K737" s="218"/>
      <c r="L737" s="222"/>
      <c r="M737" s="222"/>
      <c r="N737" s="222"/>
      <c r="O737" s="222"/>
      <c r="P737" s="218"/>
      <c r="Q737" s="222"/>
      <c r="R737" s="222"/>
      <c r="S737" s="222"/>
      <c r="T737" s="222"/>
      <c r="U737" s="92"/>
      <c r="V737" s="222"/>
      <c r="W737" s="99"/>
      <c r="X737" s="99"/>
      <c r="Y737" s="99"/>
      <c r="Z737" s="92"/>
      <c r="AA737" s="99"/>
      <c r="AB737" s="99"/>
      <c r="AC737" s="99"/>
      <c r="AD737" s="99"/>
      <c r="AE737" s="92"/>
      <c r="AF737" s="92"/>
      <c r="AG737" s="92"/>
      <c r="AH737" s="92"/>
      <c r="AI737" s="92"/>
      <c r="AJ737" s="92"/>
      <c r="AK737" s="92"/>
      <c r="AL737" s="92"/>
      <c r="AM737" s="651"/>
      <c r="AN737" s="92"/>
      <c r="AO737" s="92"/>
    </row>
    <row r="738" spans="1:54" s="83" customFormat="1">
      <c r="B738" s="218"/>
      <c r="C738" s="219"/>
      <c r="D738" s="163"/>
      <c r="E738" s="163"/>
      <c r="G738" s="92"/>
      <c r="H738" s="92"/>
      <c r="I738" s="218"/>
      <c r="J738" s="218"/>
      <c r="K738" s="218"/>
      <c r="L738" s="222"/>
      <c r="M738" s="222"/>
      <c r="N738" s="222"/>
      <c r="O738" s="222"/>
      <c r="P738" s="218"/>
      <c r="Q738" s="222"/>
      <c r="R738" s="222"/>
      <c r="S738" s="222"/>
      <c r="T738" s="222"/>
      <c r="U738" s="92"/>
      <c r="V738" s="222"/>
      <c r="W738" s="99"/>
      <c r="X738" s="99"/>
      <c r="Y738" s="99"/>
      <c r="Z738" s="92"/>
      <c r="AA738" s="99"/>
      <c r="AB738" s="99"/>
      <c r="AC738" s="99"/>
      <c r="AD738" s="99"/>
      <c r="AE738" s="92"/>
      <c r="AF738" s="92"/>
      <c r="AG738" s="92"/>
      <c r="AH738" s="92"/>
      <c r="AI738" s="92"/>
      <c r="AJ738" s="92"/>
      <c r="AK738" s="92"/>
      <c r="AL738" s="92"/>
      <c r="AM738" s="651"/>
      <c r="AN738" s="92"/>
      <c r="AO738" s="92"/>
    </row>
    <row r="739" spans="1:54">
      <c r="A739" s="158"/>
      <c r="B739" s="156" t="s">
        <v>0</v>
      </c>
      <c r="C739" s="157" t="s">
        <v>0</v>
      </c>
      <c r="D739" s="155" t="s">
        <v>200</v>
      </c>
      <c r="E739" s="155"/>
      <c r="F739" s="158"/>
      <c r="G739" s="159" t="s">
        <v>0</v>
      </c>
      <c r="H739" s="159" t="s">
        <v>0</v>
      </c>
      <c r="I739" s="159" t="s">
        <v>0</v>
      </c>
      <c r="J739" s="159" t="s">
        <v>0</v>
      </c>
      <c r="K739" s="159" t="s">
        <v>0</v>
      </c>
      <c r="L739" s="159"/>
      <c r="M739" s="159"/>
      <c r="N739" s="159"/>
      <c r="O739" s="159"/>
      <c r="P739" s="160" t="s">
        <v>0</v>
      </c>
      <c r="Q739" s="159"/>
      <c r="R739" s="159"/>
      <c r="S739" s="159"/>
      <c r="T739" s="159"/>
      <c r="U739" s="158"/>
      <c r="V739" s="158"/>
      <c r="W739" s="158"/>
      <c r="X739" s="158"/>
      <c r="Y739" s="158"/>
      <c r="Z739" s="158"/>
      <c r="AA739" s="158"/>
      <c r="AB739" s="158"/>
      <c r="AC739" s="158"/>
      <c r="AD739" s="158"/>
      <c r="AE739" s="158"/>
      <c r="AF739" s="158"/>
      <c r="AG739" s="158"/>
      <c r="AH739" s="158"/>
      <c r="AI739" s="158"/>
      <c r="AJ739" s="158"/>
      <c r="AK739" s="158"/>
      <c r="AL739" s="158"/>
      <c r="AM739" s="651"/>
      <c r="AN739" s="158"/>
      <c r="AO739" s="158"/>
      <c r="AP739" s="158"/>
      <c r="AQ739" s="158"/>
      <c r="AR739" s="158"/>
      <c r="AS739" s="158"/>
      <c r="AT739" s="158"/>
      <c r="AU739" s="158"/>
      <c r="AV739" s="158"/>
      <c r="AW739" s="158"/>
      <c r="AX739" s="158"/>
      <c r="AY739" s="158"/>
      <c r="AZ739" s="158"/>
      <c r="BA739" s="158"/>
      <c r="BB739" s="158"/>
    </row>
    <row r="740" spans="1:54" s="83" customFormat="1">
      <c r="B740" s="95"/>
      <c r="C740" s="96"/>
      <c r="D740" s="162"/>
      <c r="E740" s="162"/>
      <c r="G740" s="95"/>
      <c r="H740" s="95"/>
      <c r="I740" s="95"/>
      <c r="J740" s="95"/>
      <c r="K740" s="95"/>
      <c r="L740" s="126"/>
      <c r="M740" s="126"/>
      <c r="N740" s="126"/>
      <c r="O740" s="126"/>
      <c r="P740" s="95"/>
      <c r="Q740" s="126"/>
      <c r="R740" s="126"/>
      <c r="S740" s="126"/>
      <c r="T740" s="126"/>
      <c r="U740" s="92"/>
      <c r="V740" s="126"/>
      <c r="W740" s="99"/>
      <c r="X740" s="99"/>
      <c r="Y740" s="99"/>
      <c r="Z740" s="92"/>
      <c r="AA740" s="99"/>
      <c r="AB740" s="99"/>
      <c r="AC740" s="99"/>
      <c r="AD740" s="99"/>
      <c r="AE740" s="92"/>
      <c r="AF740" s="92"/>
      <c r="AG740" s="92"/>
      <c r="AH740" s="92"/>
      <c r="AI740" s="92"/>
      <c r="AJ740" s="92"/>
      <c r="AK740" s="92"/>
      <c r="AL740" s="92"/>
      <c r="AM740" s="651"/>
      <c r="AN740" s="92"/>
      <c r="AO740" s="92"/>
    </row>
    <row r="741" spans="1:54" s="83" customFormat="1">
      <c r="B741" s="95"/>
      <c r="C741" s="96"/>
      <c r="D741" s="552" t="s">
        <v>659</v>
      </c>
      <c r="E741" s="162"/>
      <c r="G741" s="95"/>
      <c r="H741" s="95"/>
      <c r="I741" s="95"/>
      <c r="J741" s="95"/>
      <c r="K741" s="95"/>
      <c r="L741" s="126"/>
      <c r="M741" s="126"/>
      <c r="N741" s="126"/>
      <c r="O741" s="126"/>
      <c r="P741" s="95"/>
      <c r="Q741" s="126"/>
      <c r="R741" s="126"/>
      <c r="S741" s="126"/>
      <c r="T741" s="126"/>
      <c r="U741" s="92"/>
      <c r="V741" s="126"/>
      <c r="W741" s="99"/>
      <c r="X741" s="99"/>
      <c r="Y741" s="99"/>
      <c r="Z741" s="92"/>
      <c r="AA741" s="99"/>
      <c r="AB741" s="99"/>
      <c r="AC741" s="99"/>
      <c r="AD741" s="99"/>
      <c r="AE741" s="92"/>
      <c r="AF741" s="92"/>
      <c r="AG741" s="92"/>
      <c r="AH741" s="92"/>
      <c r="AI741" s="92"/>
      <c r="AJ741" s="92"/>
      <c r="AK741" s="92"/>
      <c r="AL741" s="92"/>
      <c r="AM741" s="651"/>
      <c r="AN741" s="92"/>
      <c r="AO741" s="92"/>
    </row>
    <row r="742" spans="1:54" s="83" customFormat="1">
      <c r="B742" s="95" t="s">
        <v>656</v>
      </c>
      <c r="C742" s="96"/>
      <c r="D742" s="162" t="s">
        <v>614</v>
      </c>
      <c r="E742" s="162"/>
      <c r="G742" s="90">
        <v>3853</v>
      </c>
      <c r="H742" s="90">
        <v>4300</v>
      </c>
      <c r="I742" s="90">
        <v>4026</v>
      </c>
      <c r="J742" s="90">
        <v>4250</v>
      </c>
      <c r="K742" s="90">
        <v>4270</v>
      </c>
      <c r="L742" s="91">
        <v>913</v>
      </c>
      <c r="M742" s="91">
        <v>1112</v>
      </c>
      <c r="N742" s="91">
        <v>1108</v>
      </c>
      <c r="O742" s="91">
        <v>1296</v>
      </c>
      <c r="P742" s="90">
        <v>4429</v>
      </c>
      <c r="Q742" s="91">
        <v>887</v>
      </c>
      <c r="R742" s="91">
        <v>1197</v>
      </c>
      <c r="S742" s="91">
        <v>1169</v>
      </c>
      <c r="T742" s="91">
        <v>1003</v>
      </c>
      <c r="U742" s="146">
        <v>4256</v>
      </c>
      <c r="V742" s="91">
        <v>1136</v>
      </c>
      <c r="W742" s="91">
        <v>859</v>
      </c>
      <c r="X742" s="91">
        <v>1091</v>
      </c>
      <c r="Y742" s="91">
        <v>1110</v>
      </c>
      <c r="Z742" s="146">
        <v>4196</v>
      </c>
      <c r="AA742" s="91">
        <v>1114</v>
      </c>
      <c r="AB742" s="91">
        <v>1191</v>
      </c>
      <c r="AC742" s="97">
        <f t="shared" ref="AC742:AL742" si="639">AC753/AC744/AC743</f>
        <v>1187.0845204178538</v>
      </c>
      <c r="AD742" s="97">
        <f t="shared" si="639"/>
        <v>1092.117758784425</v>
      </c>
      <c r="AE742" s="130">
        <f>AE753/AE744/AE743</f>
        <v>4748.3380816714152</v>
      </c>
      <c r="AF742" s="130">
        <f t="shared" si="639"/>
        <v>4748.3380816714152</v>
      </c>
      <c r="AG742" s="130">
        <f t="shared" si="639"/>
        <v>4748.3380816714152</v>
      </c>
      <c r="AH742" s="130">
        <f t="shared" si="639"/>
        <v>4409.1710758377421</v>
      </c>
      <c r="AI742" s="130">
        <f t="shared" si="639"/>
        <v>4409.1710758377421</v>
      </c>
      <c r="AJ742" s="130">
        <f t="shared" si="639"/>
        <v>4409.1710758377421</v>
      </c>
      <c r="AK742" s="130">
        <f t="shared" si="639"/>
        <v>4409.1710758377421</v>
      </c>
      <c r="AL742" s="130">
        <f t="shared" si="639"/>
        <v>4409.1710758377421</v>
      </c>
      <c r="AM742" s="651"/>
      <c r="AN742" s="92"/>
      <c r="AO742" s="92"/>
    </row>
    <row r="743" spans="1:54" s="83" customFormat="1">
      <c r="B743" s="95" t="s">
        <v>221</v>
      </c>
      <c r="C743" s="96"/>
      <c r="D743" s="162" t="s">
        <v>615</v>
      </c>
      <c r="E743" s="162"/>
      <c r="G743" s="701">
        <v>0.17</v>
      </c>
      <c r="H743" s="701">
        <v>0.16600000000000001</v>
      </c>
      <c r="I743" s="701">
        <v>0.16700000000000001</v>
      </c>
      <c r="J743" s="701">
        <v>0.17100000000000001</v>
      </c>
      <c r="K743" s="701">
        <v>0.155</v>
      </c>
      <c r="L743" s="702">
        <v>0.16</v>
      </c>
      <c r="M743" s="702">
        <v>0.16400000000000001</v>
      </c>
      <c r="N743" s="702">
        <v>0.157</v>
      </c>
      <c r="O743" s="702">
        <v>0.14899999999999999</v>
      </c>
      <c r="P743" s="701">
        <v>0.157</v>
      </c>
      <c r="Q743" s="702">
        <v>0.15</v>
      </c>
      <c r="R743" s="702">
        <v>0.156</v>
      </c>
      <c r="S743" s="702">
        <v>0.154</v>
      </c>
      <c r="T743" s="702">
        <v>0.157</v>
      </c>
      <c r="U743" s="701">
        <v>0.154</v>
      </c>
      <c r="V743" s="702">
        <v>0.14000000000000001</v>
      </c>
      <c r="W743" s="702">
        <v>0.126</v>
      </c>
      <c r="X743" s="702">
        <v>0.14299999999999999</v>
      </c>
      <c r="Y743" s="702">
        <v>0.156</v>
      </c>
      <c r="Z743" s="701">
        <v>0.154</v>
      </c>
      <c r="AA743" s="702">
        <v>0.13300000000000001</v>
      </c>
      <c r="AB743" s="702">
        <v>0.14099999999999999</v>
      </c>
      <c r="AC743" s="143">
        <f>$AE$743</f>
        <v>0.13</v>
      </c>
      <c r="AD743" s="143">
        <f>$AE$743</f>
        <v>0.13</v>
      </c>
      <c r="AE743" s="142">
        <v>0.13</v>
      </c>
      <c r="AF743" s="142">
        <v>0.13</v>
      </c>
      <c r="AG743" s="142">
        <v>0.13</v>
      </c>
      <c r="AH743" s="142">
        <v>0.14000000000000001</v>
      </c>
      <c r="AI743" s="142">
        <v>0.14000000000000001</v>
      </c>
      <c r="AJ743" s="142">
        <v>0.14000000000000001</v>
      </c>
      <c r="AK743" s="142">
        <v>0.14000000000000001</v>
      </c>
      <c r="AL743" s="142">
        <v>0.14000000000000001</v>
      </c>
      <c r="AM743" s="651"/>
      <c r="AN743" s="92"/>
      <c r="AO743" s="92"/>
    </row>
    <row r="744" spans="1:54" s="83" customFormat="1">
      <c r="B744" s="95" t="s">
        <v>221</v>
      </c>
      <c r="C744" s="96"/>
      <c r="D744" s="162" t="s">
        <v>616</v>
      </c>
      <c r="E744" s="162"/>
      <c r="G744" s="701">
        <v>0.84</v>
      </c>
      <c r="H744" s="701">
        <v>0.83299999999999996</v>
      </c>
      <c r="I744" s="701">
        <v>0.84199999999999997</v>
      </c>
      <c r="J744" s="701">
        <v>0.82799999999999996</v>
      </c>
      <c r="K744" s="701">
        <v>0.82099999999999995</v>
      </c>
      <c r="L744" s="702">
        <v>0.83199999999999996</v>
      </c>
      <c r="M744" s="702">
        <v>0.84399999999999997</v>
      </c>
      <c r="N744" s="702">
        <v>0.85</v>
      </c>
      <c r="O744" s="702">
        <v>0.83</v>
      </c>
      <c r="P744" s="701">
        <v>0.83899999999999997</v>
      </c>
      <c r="Q744" s="702">
        <v>0.82799999999999996</v>
      </c>
      <c r="R744" s="702">
        <v>0.84899999999999998</v>
      </c>
      <c r="S744" s="702">
        <v>0.85299999999999998</v>
      </c>
      <c r="T744" s="702">
        <v>0.83399999999999996</v>
      </c>
      <c r="U744" s="701">
        <v>0.84199999999999997</v>
      </c>
      <c r="V744" s="702">
        <v>0.80900000000000005</v>
      </c>
      <c r="W744" s="702">
        <v>0.77900000000000003</v>
      </c>
      <c r="X744" s="702">
        <v>0.84499999999999997</v>
      </c>
      <c r="Y744" s="702">
        <v>0.84299999999999997</v>
      </c>
      <c r="Z744" s="701">
        <v>0.84199999999999997</v>
      </c>
      <c r="AA744" s="702">
        <v>0.80600000000000005</v>
      </c>
      <c r="AB744" s="702">
        <v>0.83599999999999997</v>
      </c>
      <c r="AC744" s="143">
        <v>0.81</v>
      </c>
      <c r="AD744" s="143">
        <v>0.81</v>
      </c>
      <c r="AE744" s="142">
        <v>0.81</v>
      </c>
      <c r="AF744" s="142">
        <v>0.81</v>
      </c>
      <c r="AG744" s="142">
        <v>0.81</v>
      </c>
      <c r="AH744" s="142">
        <v>0.81</v>
      </c>
      <c r="AI744" s="142">
        <v>0.81</v>
      </c>
      <c r="AJ744" s="142">
        <v>0.81</v>
      </c>
      <c r="AK744" s="142">
        <v>0.81</v>
      </c>
      <c r="AL744" s="142">
        <v>0.81</v>
      </c>
      <c r="AM744" s="651"/>
      <c r="AN744" s="92"/>
      <c r="AO744" s="92"/>
    </row>
    <row r="745" spans="1:54" s="83" customFormat="1">
      <c r="B745" s="95"/>
      <c r="C745" s="96"/>
      <c r="D745" s="162"/>
      <c r="E745" s="162"/>
      <c r="G745" s="701"/>
      <c r="H745" s="701"/>
      <c r="I745" s="701"/>
      <c r="J745" s="701"/>
      <c r="K745" s="701"/>
      <c r="L745" s="702"/>
      <c r="M745" s="702"/>
      <c r="N745" s="702"/>
      <c r="O745" s="702"/>
      <c r="P745" s="701"/>
      <c r="Q745" s="702"/>
      <c r="R745" s="702"/>
      <c r="S745" s="702"/>
      <c r="T745" s="702"/>
      <c r="U745" s="701"/>
      <c r="V745" s="702"/>
      <c r="W745" s="148"/>
      <c r="X745" s="99"/>
      <c r="Y745" s="702"/>
      <c r="Z745" s="701"/>
      <c r="AA745" s="99"/>
      <c r="AB745" s="99"/>
      <c r="AC745" s="99"/>
      <c r="AD745" s="99"/>
      <c r="AE745" s="92"/>
      <c r="AF745" s="92"/>
      <c r="AG745" s="92"/>
      <c r="AH745" s="92"/>
      <c r="AI745" s="92"/>
      <c r="AJ745" s="92"/>
      <c r="AK745" s="92"/>
      <c r="AL745" s="92"/>
      <c r="AM745" s="651"/>
      <c r="AN745" s="92"/>
      <c r="AO745" s="92"/>
    </row>
    <row r="746" spans="1:54" s="83" customFormat="1">
      <c r="B746" s="95"/>
      <c r="C746" s="96"/>
      <c r="D746" s="552" t="s">
        <v>702</v>
      </c>
      <c r="E746" s="162"/>
      <c r="G746" s="701"/>
      <c r="H746" s="701"/>
      <c r="I746" s="701"/>
      <c r="J746" s="701"/>
      <c r="K746" s="701"/>
      <c r="L746" s="702"/>
      <c r="M746" s="702"/>
      <c r="N746" s="702"/>
      <c r="O746" s="702"/>
      <c r="P746" s="701"/>
      <c r="Q746" s="702"/>
      <c r="R746" s="702"/>
      <c r="S746" s="702"/>
      <c r="T746" s="702"/>
      <c r="U746" s="701"/>
      <c r="V746" s="702"/>
      <c r="W746" s="148"/>
      <c r="X746" s="99"/>
      <c r="Y746" s="702"/>
      <c r="Z746" s="701"/>
      <c r="AA746" s="99"/>
      <c r="AB746" s="99"/>
      <c r="AC746" s="99"/>
      <c r="AD746" s="99"/>
      <c r="AE746" s="92"/>
      <c r="AF746" s="92"/>
      <c r="AG746" s="92"/>
      <c r="AH746" s="92"/>
      <c r="AI746" s="92"/>
      <c r="AJ746" s="92"/>
      <c r="AK746" s="92"/>
      <c r="AL746" s="92"/>
      <c r="AM746" s="651"/>
      <c r="AN746" s="92"/>
      <c r="AO746" s="92"/>
    </row>
    <row r="747" spans="1:54" s="83" customFormat="1">
      <c r="B747" s="95" t="s">
        <v>656</v>
      </c>
      <c r="C747" s="96"/>
      <c r="D747" s="162" t="s">
        <v>614</v>
      </c>
      <c r="E747" s="162"/>
      <c r="G747" s="90">
        <v>3853</v>
      </c>
      <c r="H747" s="90">
        <v>4300</v>
      </c>
      <c r="I747" s="90">
        <v>4026</v>
      </c>
      <c r="J747" s="90">
        <v>4250</v>
      </c>
      <c r="K747" s="90">
        <v>4270</v>
      </c>
      <c r="L747" s="91">
        <v>913</v>
      </c>
      <c r="M747" s="91">
        <v>1112</v>
      </c>
      <c r="N747" s="91">
        <v>1108</v>
      </c>
      <c r="O747" s="91">
        <v>1296</v>
      </c>
      <c r="P747" s="90">
        <v>4429</v>
      </c>
      <c r="Q747" s="91">
        <v>887</v>
      </c>
      <c r="R747" s="91">
        <v>1197</v>
      </c>
      <c r="S747" s="91">
        <v>1169</v>
      </c>
      <c r="T747" s="91">
        <v>1003</v>
      </c>
      <c r="U747" s="146">
        <v>4256</v>
      </c>
      <c r="V747" s="91">
        <v>1136</v>
      </c>
      <c r="W747" s="91">
        <v>859</v>
      </c>
      <c r="X747" s="91">
        <v>1091</v>
      </c>
      <c r="Y747" s="91">
        <v>1110</v>
      </c>
      <c r="Z747" s="146">
        <v>4196</v>
      </c>
      <c r="AA747" s="91">
        <v>1114</v>
      </c>
      <c r="AB747" s="91">
        <v>1191</v>
      </c>
      <c r="AC747" s="97">
        <f t="shared" ref="AC747:AL747" si="640">AC754/AC749/AC748</f>
        <v>882.35294117647061</v>
      </c>
      <c r="AD747" s="97">
        <f t="shared" si="640"/>
        <v>867.64705882352951</v>
      </c>
      <c r="AE747" s="130">
        <f t="shared" si="640"/>
        <v>4411.7647058823532</v>
      </c>
      <c r="AF747" s="130">
        <f t="shared" si="640"/>
        <v>4411.7647058823532</v>
      </c>
      <c r="AG747" s="130">
        <f t="shared" si="640"/>
        <v>4411.7647058823532</v>
      </c>
      <c r="AH747" s="130">
        <f t="shared" si="640"/>
        <v>4411.7647058823532</v>
      </c>
      <c r="AI747" s="130">
        <f t="shared" si="640"/>
        <v>4411.7647058823532</v>
      </c>
      <c r="AJ747" s="130">
        <f t="shared" si="640"/>
        <v>4411.7647058823532</v>
      </c>
      <c r="AK747" s="130">
        <f t="shared" si="640"/>
        <v>4411.7647058823532</v>
      </c>
      <c r="AL747" s="130">
        <f t="shared" si="640"/>
        <v>4411.7647058823532</v>
      </c>
      <c r="AM747" s="651"/>
      <c r="AN747" s="92"/>
      <c r="AO747" s="92"/>
    </row>
    <row r="748" spans="1:54" s="83" customFormat="1">
      <c r="B748" s="95" t="s">
        <v>221</v>
      </c>
      <c r="C748" s="96"/>
      <c r="D748" s="162" t="s">
        <v>615</v>
      </c>
      <c r="E748" s="162"/>
      <c r="G748" s="701">
        <v>3.9E-2</v>
      </c>
      <c r="H748" s="701">
        <v>4.3999999999999997E-2</v>
      </c>
      <c r="I748" s="701">
        <v>4.8000000000000001E-2</v>
      </c>
      <c r="J748" s="701">
        <v>4.9000000000000002E-2</v>
      </c>
      <c r="K748" s="701">
        <v>0.05</v>
      </c>
      <c r="L748" s="702">
        <v>4.3999999999999997E-2</v>
      </c>
      <c r="M748" s="702">
        <v>4.7E-2</v>
      </c>
      <c r="N748" s="702">
        <v>4.3999999999999997E-2</v>
      </c>
      <c r="O748" s="702">
        <v>4.2000000000000003E-2</v>
      </c>
      <c r="P748" s="701">
        <v>4.3999999999999997E-2</v>
      </c>
      <c r="Q748" s="702">
        <v>4.1000000000000002E-2</v>
      </c>
      <c r="R748" s="702">
        <v>4.2999999999999997E-2</v>
      </c>
      <c r="S748" s="702">
        <v>4.4999999999999998E-2</v>
      </c>
      <c r="T748" s="702">
        <v>4.4999999999999998E-2</v>
      </c>
      <c r="U748" s="701">
        <v>4.3999999999999997E-2</v>
      </c>
      <c r="V748" s="702">
        <v>4.1000000000000002E-2</v>
      </c>
      <c r="W748" s="702">
        <v>3.9E-2</v>
      </c>
      <c r="X748" s="702">
        <v>0.04</v>
      </c>
      <c r="Y748" s="702">
        <v>4.2000000000000003E-2</v>
      </c>
      <c r="Z748" s="701">
        <v>0.04</v>
      </c>
      <c r="AA748" s="702">
        <v>4.2000000000000003E-2</v>
      </c>
      <c r="AB748" s="702">
        <v>4.2999999999999997E-2</v>
      </c>
      <c r="AC748" s="143">
        <v>0.04</v>
      </c>
      <c r="AD748" s="143">
        <v>0.04</v>
      </c>
      <c r="AE748" s="142">
        <v>0.04</v>
      </c>
      <c r="AF748" s="142">
        <v>0.04</v>
      </c>
      <c r="AG748" s="142">
        <v>0.04</v>
      </c>
      <c r="AH748" s="142">
        <v>0.04</v>
      </c>
      <c r="AI748" s="142">
        <v>0.04</v>
      </c>
      <c r="AJ748" s="142">
        <v>0.04</v>
      </c>
      <c r="AK748" s="142">
        <v>0.04</v>
      </c>
      <c r="AL748" s="142">
        <v>0.04</v>
      </c>
      <c r="AM748" s="651"/>
      <c r="AN748" s="92"/>
      <c r="AO748" s="92"/>
    </row>
    <row r="749" spans="1:54" s="83" customFormat="1">
      <c r="B749" s="95" t="s">
        <v>221</v>
      </c>
      <c r="C749" s="96"/>
      <c r="D749" s="162" t="s">
        <v>616</v>
      </c>
      <c r="E749" s="162"/>
      <c r="G749" s="701">
        <v>0.64900000000000002</v>
      </c>
      <c r="H749" s="701">
        <v>0.65300000000000002</v>
      </c>
      <c r="I749" s="701">
        <v>0.60699999999999998</v>
      </c>
      <c r="J749" s="701">
        <v>0.56000000000000005</v>
      </c>
      <c r="K749" s="701">
        <v>0.52300000000000002</v>
      </c>
      <c r="L749" s="702">
        <v>0.49099999999999999</v>
      </c>
      <c r="M749" s="702">
        <v>0.48799999999999999</v>
      </c>
      <c r="N749" s="702">
        <v>0.53800000000000003</v>
      </c>
      <c r="O749" s="702">
        <v>0.49099999999999999</v>
      </c>
      <c r="P749" s="701">
        <v>0.502</v>
      </c>
      <c r="Q749" s="702">
        <v>0.51700000000000002</v>
      </c>
      <c r="R749" s="702">
        <v>0.56999999999999995</v>
      </c>
      <c r="S749" s="702">
        <v>0.55200000000000005</v>
      </c>
      <c r="T749" s="702">
        <v>0.57199999999999995</v>
      </c>
      <c r="U749" s="701">
        <v>0.55500000000000005</v>
      </c>
      <c r="V749" s="702">
        <v>0.50600000000000001</v>
      </c>
      <c r="W749" s="702">
        <v>0.64500000000000002</v>
      </c>
      <c r="X749" s="702">
        <v>0.60799999999999998</v>
      </c>
      <c r="Y749" s="702">
        <v>0.57399999999999995</v>
      </c>
      <c r="Z749" s="701">
        <v>0.57799999999999996</v>
      </c>
      <c r="AA749" s="702">
        <v>0.54600000000000004</v>
      </c>
      <c r="AB749" s="702">
        <v>0.55400000000000005</v>
      </c>
      <c r="AC749" s="143">
        <v>0.51</v>
      </c>
      <c r="AD749" s="143">
        <v>0.51</v>
      </c>
      <c r="AE749" s="142">
        <v>0.51</v>
      </c>
      <c r="AF749" s="142">
        <v>0.51</v>
      </c>
      <c r="AG749" s="142">
        <v>0.51</v>
      </c>
      <c r="AH749" s="142">
        <v>0.51</v>
      </c>
      <c r="AI749" s="142">
        <v>0.51</v>
      </c>
      <c r="AJ749" s="142">
        <v>0.51</v>
      </c>
      <c r="AK749" s="142">
        <v>0.51</v>
      </c>
      <c r="AL749" s="142">
        <v>0.51</v>
      </c>
      <c r="AM749" s="651"/>
      <c r="AN749" s="92"/>
      <c r="AO749" s="92"/>
    </row>
    <row r="750" spans="1:54" s="83" customFormat="1">
      <c r="B750" s="95"/>
      <c r="C750" s="96"/>
      <c r="D750" s="162"/>
      <c r="E750" s="162"/>
      <c r="G750" s="464"/>
      <c r="H750" s="698"/>
      <c r="I750" s="698"/>
      <c r="J750" s="698"/>
      <c r="K750" s="698"/>
      <c r="L750" s="699"/>
      <c r="M750" s="699"/>
      <c r="N750" s="699"/>
      <c r="O750" s="699"/>
      <c r="P750" s="698"/>
      <c r="Q750" s="699"/>
      <c r="R750" s="699"/>
      <c r="S750" s="699"/>
      <c r="T750" s="699"/>
      <c r="U750" s="698"/>
      <c r="V750" s="699"/>
      <c r="W750" s="148"/>
      <c r="X750" s="99"/>
      <c r="Y750" s="99"/>
      <c r="Z750" s="92"/>
      <c r="AA750" s="699"/>
      <c r="AB750" s="99"/>
      <c r="AC750" s="99"/>
      <c r="AD750" s="99"/>
      <c r="AE750" s="92"/>
      <c r="AF750" s="92"/>
      <c r="AG750" s="92"/>
      <c r="AH750" s="92"/>
      <c r="AI750" s="92"/>
      <c r="AJ750" s="92"/>
      <c r="AK750" s="92"/>
      <c r="AL750" s="92"/>
      <c r="AM750" s="651"/>
      <c r="AN750" s="92"/>
      <c r="AO750" s="92"/>
    </row>
    <row r="751" spans="1:54" s="83" customFormat="1">
      <c r="B751" s="95"/>
      <c r="C751" s="96"/>
      <c r="D751" s="162"/>
      <c r="E751" s="162"/>
      <c r="G751" s="95"/>
      <c r="H751" s="95"/>
      <c r="I751" s="95"/>
      <c r="J751" s="95"/>
      <c r="K751" s="95"/>
      <c r="L751" s="126"/>
      <c r="M751" s="126"/>
      <c r="N751" s="126"/>
      <c r="O751" s="126"/>
      <c r="P751" s="95"/>
      <c r="Q751" s="126"/>
      <c r="R751" s="126"/>
      <c r="S751" s="126"/>
      <c r="T751" s="126"/>
      <c r="U751" s="92"/>
      <c r="V751" s="126"/>
      <c r="W751" s="148"/>
      <c r="X751" s="99"/>
      <c r="Y751" s="99"/>
      <c r="Z751" s="92"/>
      <c r="AA751" s="126"/>
      <c r="AB751" s="99"/>
      <c r="AC751" s="99"/>
      <c r="AD751" s="99"/>
      <c r="AE751" s="92"/>
      <c r="AF751" s="92"/>
      <c r="AG751" s="92"/>
      <c r="AH751" s="92"/>
      <c r="AI751" s="92"/>
      <c r="AJ751" s="92"/>
      <c r="AK751" s="92"/>
      <c r="AL751" s="92"/>
      <c r="AM751" s="651"/>
      <c r="AN751" s="92"/>
      <c r="AO751" s="92"/>
    </row>
    <row r="752" spans="1:54" s="83" customFormat="1">
      <c r="B752" s="95"/>
      <c r="C752" s="96"/>
      <c r="D752" s="554" t="s">
        <v>641</v>
      </c>
      <c r="E752" s="554"/>
      <c r="F752" s="586"/>
      <c r="G752" s="605"/>
      <c r="H752" s="605"/>
      <c r="I752" s="605"/>
      <c r="J752" s="605"/>
      <c r="K752" s="605"/>
      <c r="L752" s="182"/>
      <c r="M752" s="182"/>
      <c r="N752" s="182"/>
      <c r="O752" s="182"/>
      <c r="P752" s="605"/>
      <c r="Q752" s="182"/>
      <c r="R752" s="182"/>
      <c r="S752" s="182"/>
      <c r="T752" s="182"/>
      <c r="U752" s="588"/>
      <c r="V752" s="182"/>
      <c r="W752" s="1109"/>
      <c r="X752" s="705"/>
      <c r="Y752" s="705"/>
      <c r="Z752" s="588"/>
      <c r="AA752" s="567"/>
      <c r="AB752" s="307"/>
      <c r="AC752" s="307"/>
      <c r="AD752" s="307"/>
      <c r="AE752" s="588"/>
      <c r="AF752" s="306"/>
      <c r="AG752" s="588"/>
      <c r="AH752" s="588"/>
      <c r="AI752" s="588"/>
      <c r="AJ752" s="588"/>
      <c r="AK752" s="588"/>
      <c r="AL752" s="588"/>
      <c r="AM752" s="651"/>
      <c r="AN752" s="92"/>
      <c r="AO752" s="92"/>
    </row>
    <row r="753" spans="2:41" s="83" customFormat="1">
      <c r="B753" s="95" t="s">
        <v>640</v>
      </c>
      <c r="C753" s="96"/>
      <c r="D753" s="163" t="s">
        <v>171</v>
      </c>
      <c r="E753" s="163"/>
      <c r="G753" s="90">
        <v>551</v>
      </c>
      <c r="H753" s="90">
        <v>596</v>
      </c>
      <c r="I753" s="90">
        <v>567</v>
      </c>
      <c r="J753" s="90">
        <v>583</v>
      </c>
      <c r="K753" s="90">
        <v>542</v>
      </c>
      <c r="L753" s="91">
        <v>121.5</v>
      </c>
      <c r="M753" s="91">
        <v>153.6</v>
      </c>
      <c r="N753" s="91">
        <v>148</v>
      </c>
      <c r="O753" s="91">
        <v>160.1</v>
      </c>
      <c r="P753" s="90">
        <v>583</v>
      </c>
      <c r="Q753" s="91">
        <v>110.2</v>
      </c>
      <c r="R753" s="91">
        <v>158</v>
      </c>
      <c r="S753" s="91">
        <v>153.1</v>
      </c>
      <c r="T753" s="91">
        <v>131.1</v>
      </c>
      <c r="U753" s="90">
        <v>552.4</v>
      </c>
      <c r="V753" s="91">
        <v>128.4</v>
      </c>
      <c r="W753" s="91">
        <v>83.9</v>
      </c>
      <c r="X753" s="91">
        <v>132.30000000000001</v>
      </c>
      <c r="Y753" s="91">
        <v>146.1</v>
      </c>
      <c r="Z753" s="90">
        <v>490.7</v>
      </c>
      <c r="AA753" s="1194">
        <v>119.7</v>
      </c>
      <c r="AB753" s="1194">
        <v>140.30000000000001</v>
      </c>
      <c r="AC753" s="1195">
        <f>$AE$753*AC813</f>
        <v>125</v>
      </c>
      <c r="AD753" s="1203">
        <f>$AE$753*AD813</f>
        <v>114.99999999999996</v>
      </c>
      <c r="AE753" s="127">
        <v>500</v>
      </c>
      <c r="AF753" s="1173">
        <f>AE753</f>
        <v>500</v>
      </c>
      <c r="AG753" s="312">
        <f t="shared" ref="AG753:AL753" si="641">AF753</f>
        <v>500</v>
      </c>
      <c r="AH753" s="312">
        <f t="shared" si="641"/>
        <v>500</v>
      </c>
      <c r="AI753" s="312">
        <f t="shared" si="641"/>
        <v>500</v>
      </c>
      <c r="AJ753" s="312">
        <f t="shared" si="641"/>
        <v>500</v>
      </c>
      <c r="AK753" s="312">
        <f t="shared" si="641"/>
        <v>500</v>
      </c>
      <c r="AL753" s="312">
        <f t="shared" si="641"/>
        <v>500</v>
      </c>
      <c r="AM753" s="651"/>
      <c r="AN753" s="92"/>
      <c r="AO753" s="92"/>
    </row>
    <row r="754" spans="2:41" s="83" customFormat="1">
      <c r="B754" s="95" t="s">
        <v>640</v>
      </c>
      <c r="C754" s="96"/>
      <c r="D754" s="163" t="s">
        <v>701</v>
      </c>
      <c r="E754" s="163"/>
      <c r="G754" s="703">
        <v>96.7</v>
      </c>
      <c r="H754" s="703">
        <v>122.5</v>
      </c>
      <c r="I754" s="703">
        <v>117.6</v>
      </c>
      <c r="J754" s="703">
        <v>122.3</v>
      </c>
      <c r="K754" s="703">
        <v>111.3</v>
      </c>
      <c r="L754" s="472">
        <v>19.7</v>
      </c>
      <c r="M754" s="472">
        <v>25.7</v>
      </c>
      <c r="N754" s="472">
        <v>26.4</v>
      </c>
      <c r="O754" s="472">
        <v>26.6</v>
      </c>
      <c r="P754" s="703">
        <v>98.4</v>
      </c>
      <c r="Q754" s="472">
        <v>18.899999999999999</v>
      </c>
      <c r="R754" s="472">
        <v>29</v>
      </c>
      <c r="S754" s="472">
        <v>28.9</v>
      </c>
      <c r="T754" s="472">
        <v>26</v>
      </c>
      <c r="U754" s="703">
        <v>102.8</v>
      </c>
      <c r="V754" s="472">
        <v>50.6</v>
      </c>
      <c r="W754" s="91">
        <v>21.5</v>
      </c>
      <c r="X754" s="91">
        <v>26.3</v>
      </c>
      <c r="Y754" s="472">
        <v>26.4</v>
      </c>
      <c r="Z754" s="703">
        <v>97.5</v>
      </c>
      <c r="AA754" s="472">
        <v>25.8</v>
      </c>
      <c r="AB754" s="472">
        <v>28.5</v>
      </c>
      <c r="AC754" s="97">
        <f>$AE$754*AC814</f>
        <v>18</v>
      </c>
      <c r="AD754" s="97">
        <f>$AE$754*AD814</f>
        <v>17.700000000000003</v>
      </c>
      <c r="AE754" s="127">
        <v>90</v>
      </c>
      <c r="AF754" s="312">
        <f>AE754</f>
        <v>90</v>
      </c>
      <c r="AG754" s="312">
        <f t="shared" ref="AG754:AL754" si="642">AF754</f>
        <v>90</v>
      </c>
      <c r="AH754" s="312">
        <f t="shared" si="642"/>
        <v>90</v>
      </c>
      <c r="AI754" s="312">
        <f t="shared" si="642"/>
        <v>90</v>
      </c>
      <c r="AJ754" s="312">
        <f t="shared" si="642"/>
        <v>90</v>
      </c>
      <c r="AK754" s="312">
        <f t="shared" si="642"/>
        <v>90</v>
      </c>
      <c r="AL754" s="312">
        <f t="shared" si="642"/>
        <v>90</v>
      </c>
      <c r="AM754" s="651"/>
      <c r="AN754" s="92"/>
      <c r="AO754" s="92"/>
    </row>
    <row r="755" spans="2:41" s="83" customFormat="1">
      <c r="B755" s="95"/>
      <c r="C755" s="96"/>
      <c r="D755" s="163"/>
      <c r="E755" s="163"/>
      <c r="G755" s="90"/>
      <c r="H755" s="90"/>
      <c r="I755" s="90"/>
      <c r="J755" s="90"/>
      <c r="K755" s="90"/>
      <c r="L755" s="91"/>
      <c r="M755" s="91"/>
      <c r="N755" s="91"/>
      <c r="O755" s="91"/>
      <c r="P755" s="90"/>
      <c r="Q755" s="91"/>
      <c r="R755" s="91"/>
      <c r="S755" s="91"/>
      <c r="T755" s="91"/>
      <c r="U755" s="113"/>
      <c r="V755" s="91"/>
      <c r="W755" s="148"/>
      <c r="X755" s="148"/>
      <c r="Y755" s="91"/>
      <c r="Z755" s="113"/>
      <c r="AA755" s="91"/>
      <c r="AB755" s="91"/>
      <c r="AC755" s="149"/>
      <c r="AD755" s="149"/>
      <c r="AE755" s="92"/>
      <c r="AF755" s="92"/>
      <c r="AG755" s="92"/>
      <c r="AH755" s="92"/>
      <c r="AI755" s="92"/>
      <c r="AJ755" s="92"/>
      <c r="AK755" s="92"/>
      <c r="AL755" s="92"/>
      <c r="AM755" s="651"/>
      <c r="AN755" s="92"/>
      <c r="AO755" s="92"/>
    </row>
    <row r="756" spans="2:41" s="83" customFormat="1">
      <c r="B756" s="95"/>
      <c r="C756" s="96"/>
      <c r="D756" s="554" t="s">
        <v>617</v>
      </c>
      <c r="E756" s="554"/>
      <c r="F756" s="586"/>
      <c r="G756" s="605"/>
      <c r="H756" s="605"/>
      <c r="I756" s="605"/>
      <c r="J756" s="605"/>
      <c r="K756" s="605"/>
      <c r="L756" s="182"/>
      <c r="M756" s="182"/>
      <c r="N756" s="182"/>
      <c r="O756" s="182"/>
      <c r="P756" s="605"/>
      <c r="Q756" s="182"/>
      <c r="R756" s="182"/>
      <c r="S756" s="182"/>
      <c r="T756" s="182"/>
      <c r="U756" s="588"/>
      <c r="V756" s="182"/>
      <c r="W756" s="1109"/>
      <c r="X756" s="1109"/>
      <c r="Y756" s="182"/>
      <c r="Z756" s="588"/>
      <c r="AA756" s="182"/>
      <c r="AB756" s="182"/>
      <c r="AC756" s="1020"/>
      <c r="AD756" s="1020"/>
      <c r="AE756" s="588"/>
      <c r="AF756" s="588"/>
      <c r="AG756" s="588"/>
      <c r="AH756" s="588"/>
      <c r="AI756" s="588"/>
      <c r="AJ756" s="588"/>
      <c r="AK756" s="588"/>
      <c r="AL756" s="588"/>
      <c r="AM756" s="651"/>
      <c r="AN756" s="92"/>
      <c r="AO756" s="92"/>
    </row>
    <row r="757" spans="2:41" s="83" customFormat="1">
      <c r="B757" s="95" t="s">
        <v>656</v>
      </c>
      <c r="C757" s="96"/>
      <c r="D757" s="163" t="s">
        <v>171</v>
      </c>
      <c r="E757" s="163"/>
      <c r="G757" s="90">
        <v>504</v>
      </c>
      <c r="H757" s="90">
        <v>594</v>
      </c>
      <c r="I757" s="90">
        <v>613</v>
      </c>
      <c r="J757" s="90">
        <v>600</v>
      </c>
      <c r="K757" s="90">
        <v>533.70000000000005</v>
      </c>
      <c r="L757" s="91">
        <v>111.2</v>
      </c>
      <c r="M757" s="91">
        <v>83.8</v>
      </c>
      <c r="N757" s="91">
        <v>150.5</v>
      </c>
      <c r="O757" s="91">
        <v>175.7</v>
      </c>
      <c r="P757" s="90">
        <v>521.20000000000005</v>
      </c>
      <c r="Q757" s="91">
        <v>130.5</v>
      </c>
      <c r="R757" s="91">
        <v>86.2</v>
      </c>
      <c r="S757" s="91">
        <v>170.9</v>
      </c>
      <c r="T757" s="91">
        <v>173.6</v>
      </c>
      <c r="U757" s="90">
        <v>561.20000000000005</v>
      </c>
      <c r="V757" s="91">
        <v>133.9</v>
      </c>
      <c r="W757" s="91">
        <v>92.8</v>
      </c>
      <c r="X757" s="91">
        <v>175.3</v>
      </c>
      <c r="Y757" s="91">
        <v>149.19999999999999</v>
      </c>
      <c r="Z757" s="90">
        <v>551.20000000000005</v>
      </c>
      <c r="AA757" s="91">
        <v>104.3</v>
      </c>
      <c r="AB757" s="91">
        <v>39.299999999999997</v>
      </c>
      <c r="AC757" s="97">
        <f>$AE$757*AC815</f>
        <v>150</v>
      </c>
      <c r="AD757" s="97">
        <f>$AE$757*AD815</f>
        <v>206.4</v>
      </c>
      <c r="AE757" s="130">
        <f>AE753</f>
        <v>500</v>
      </c>
      <c r="AF757" s="130">
        <f>AF753</f>
        <v>500</v>
      </c>
      <c r="AG757" s="130">
        <f t="shared" ref="AG757:AL757" si="643">AG753</f>
        <v>500</v>
      </c>
      <c r="AH757" s="130">
        <f t="shared" si="643"/>
        <v>500</v>
      </c>
      <c r="AI757" s="130">
        <f t="shared" si="643"/>
        <v>500</v>
      </c>
      <c r="AJ757" s="130">
        <f t="shared" si="643"/>
        <v>500</v>
      </c>
      <c r="AK757" s="130">
        <f t="shared" si="643"/>
        <v>500</v>
      </c>
      <c r="AL757" s="130">
        <f t="shared" si="643"/>
        <v>500</v>
      </c>
      <c r="AM757" s="651"/>
      <c r="AN757" s="92"/>
      <c r="AO757" s="92"/>
    </row>
    <row r="758" spans="2:41" s="83" customFormat="1">
      <c r="B758" s="95" t="s">
        <v>656</v>
      </c>
      <c r="C758" s="96"/>
      <c r="D758" s="163" t="s">
        <v>701</v>
      </c>
      <c r="E758" s="163"/>
      <c r="G758" s="703">
        <v>100.2</v>
      </c>
      <c r="H758" s="703">
        <v>112.8</v>
      </c>
      <c r="I758" s="703">
        <v>120</v>
      </c>
      <c r="J758" s="703">
        <v>131.5</v>
      </c>
      <c r="K758" s="703">
        <v>113.1</v>
      </c>
      <c r="L758" s="472">
        <v>0</v>
      </c>
      <c r="M758" s="472">
        <v>0</v>
      </c>
      <c r="N758" s="472">
        <v>66.599999999999994</v>
      </c>
      <c r="O758" s="472">
        <v>28.5</v>
      </c>
      <c r="P758" s="703">
        <v>95.1</v>
      </c>
      <c r="Q758" s="472">
        <v>0</v>
      </c>
      <c r="R758" s="472">
        <v>0</v>
      </c>
      <c r="S758" s="472">
        <v>64</v>
      </c>
      <c r="T758" s="472">
        <v>28.7</v>
      </c>
      <c r="U758" s="703">
        <v>92.7</v>
      </c>
      <c r="V758" s="472">
        <v>0</v>
      </c>
      <c r="W758" s="91">
        <v>2.8</v>
      </c>
      <c r="X758" s="91">
        <v>73.3</v>
      </c>
      <c r="Y758" s="472">
        <v>23.1</v>
      </c>
      <c r="Z758" s="703">
        <v>99.2</v>
      </c>
      <c r="AA758" s="472">
        <v>0</v>
      </c>
      <c r="AB758" s="472">
        <v>0</v>
      </c>
      <c r="AC758" s="97">
        <f>$AE$758*AC816</f>
        <v>45</v>
      </c>
      <c r="AD758" s="97">
        <f>$AE$758*AD816</f>
        <v>45</v>
      </c>
      <c r="AE758" s="463">
        <f>AE754</f>
        <v>90</v>
      </c>
      <c r="AF758" s="463">
        <f>AF754</f>
        <v>90</v>
      </c>
      <c r="AG758" s="463">
        <f t="shared" ref="AG758:AL758" si="644">AG754</f>
        <v>90</v>
      </c>
      <c r="AH758" s="463">
        <f t="shared" si="644"/>
        <v>90</v>
      </c>
      <c r="AI758" s="463">
        <f t="shared" si="644"/>
        <v>90</v>
      </c>
      <c r="AJ758" s="463">
        <f t="shared" si="644"/>
        <v>90</v>
      </c>
      <c r="AK758" s="463">
        <f t="shared" si="644"/>
        <v>90</v>
      </c>
      <c r="AL758" s="463">
        <f t="shared" si="644"/>
        <v>90</v>
      </c>
      <c r="AM758" s="651"/>
      <c r="AN758" s="92"/>
      <c r="AO758" s="92"/>
    </row>
    <row r="759" spans="2:41" s="83" customFormat="1">
      <c r="B759" s="95"/>
      <c r="C759" s="96"/>
      <c r="D759" s="163"/>
      <c r="E759" s="163"/>
      <c r="G759" s="95"/>
      <c r="H759" s="95"/>
      <c r="I759" s="95"/>
      <c r="J759" s="95"/>
      <c r="K759" s="95"/>
      <c r="L759" s="126"/>
      <c r="M759" s="126"/>
      <c r="N759" s="126"/>
      <c r="O759" s="126"/>
      <c r="P759" s="95"/>
      <c r="Q759" s="126"/>
      <c r="R759" s="126"/>
      <c r="S759" s="126"/>
      <c r="T759" s="126"/>
      <c r="U759" s="92"/>
      <c r="V759" s="126"/>
      <c r="W759" s="99"/>
      <c r="X759" s="99"/>
      <c r="Y759" s="99"/>
      <c r="Z759" s="92"/>
      <c r="AA759" s="126"/>
      <c r="AB759" s="99"/>
      <c r="AC759" s="99"/>
      <c r="AD759" s="99"/>
      <c r="AE759" s="92"/>
      <c r="AF759" s="92"/>
      <c r="AG759" s="92"/>
      <c r="AH759" s="92"/>
      <c r="AI759" s="92"/>
      <c r="AJ759" s="92"/>
      <c r="AK759" s="92"/>
      <c r="AL759" s="92"/>
      <c r="AM759" s="651"/>
      <c r="AN759" s="92"/>
      <c r="AO759" s="92"/>
    </row>
    <row r="760" spans="2:41" s="83" customFormat="1">
      <c r="B760" s="95"/>
      <c r="C760" s="96"/>
      <c r="D760" s="554" t="s">
        <v>621</v>
      </c>
      <c r="E760" s="554"/>
      <c r="F760" s="586"/>
      <c r="G760" s="605"/>
      <c r="H760" s="605"/>
      <c r="I760" s="605"/>
      <c r="J760" s="605"/>
      <c r="K760" s="605"/>
      <c r="L760" s="182"/>
      <c r="M760" s="182"/>
      <c r="N760" s="182"/>
      <c r="O760" s="182"/>
      <c r="P760" s="605"/>
      <c r="Q760" s="182"/>
      <c r="R760" s="182"/>
      <c r="S760" s="182"/>
      <c r="T760" s="182"/>
      <c r="U760" s="588"/>
      <c r="V760" s="182"/>
      <c r="W760" s="705"/>
      <c r="X760" s="705"/>
      <c r="Y760" s="705"/>
      <c r="Z760" s="588"/>
      <c r="AA760" s="182"/>
      <c r="AB760" s="705"/>
      <c r="AC760" s="705"/>
      <c r="AD760" s="705"/>
      <c r="AE760" s="588"/>
      <c r="AF760" s="588"/>
      <c r="AG760" s="588"/>
      <c r="AH760" s="588"/>
      <c r="AI760" s="588"/>
      <c r="AJ760" s="588"/>
      <c r="AK760" s="588"/>
      <c r="AL760" s="588"/>
      <c r="AM760" s="651"/>
      <c r="AN760" s="92"/>
      <c r="AO760" s="92"/>
    </row>
    <row r="761" spans="2:41" s="83" customFormat="1">
      <c r="B761" s="95" t="s">
        <v>618</v>
      </c>
      <c r="C761" s="96"/>
      <c r="D761" s="163" t="s">
        <v>171</v>
      </c>
      <c r="E761" s="163"/>
      <c r="G761" s="170">
        <f t="shared" ref="G761:U761" si="645">G18</f>
        <v>0.87</v>
      </c>
      <c r="H761" s="170">
        <f t="shared" si="645"/>
        <v>0.98</v>
      </c>
      <c r="I761" s="170">
        <f t="shared" si="645"/>
        <v>0.87</v>
      </c>
      <c r="J761" s="170">
        <f t="shared" si="645"/>
        <v>0.95</v>
      </c>
      <c r="K761" s="170">
        <f t="shared" si="645"/>
        <v>1.31</v>
      </c>
      <c r="L761" s="171">
        <f t="shared" si="645"/>
        <v>1.55</v>
      </c>
      <c r="M761" s="171">
        <f t="shared" si="645"/>
        <v>1.41</v>
      </c>
      <c r="N761" s="171">
        <f t="shared" si="645"/>
        <v>1.1499999999999999</v>
      </c>
      <c r="O761" s="171">
        <f t="shared" si="645"/>
        <v>1.19</v>
      </c>
      <c r="P761" s="170">
        <f t="shared" si="645"/>
        <v>1.33</v>
      </c>
      <c r="Q761" s="171">
        <f t="shared" si="645"/>
        <v>1.23</v>
      </c>
      <c r="R761" s="171">
        <f t="shared" si="645"/>
        <v>1.25</v>
      </c>
      <c r="S761" s="171">
        <f t="shared" si="645"/>
        <v>1.07</v>
      </c>
      <c r="T761" s="171">
        <f t="shared" si="645"/>
        <v>1.08</v>
      </c>
      <c r="U761" s="170">
        <f t="shared" si="645"/>
        <v>1.1599999999999999</v>
      </c>
      <c r="V761" s="171">
        <f>V18</f>
        <v>0.96526155538419667</v>
      </c>
      <c r="W761" s="171">
        <f>W18</f>
        <v>0.888955058777395</v>
      </c>
      <c r="X761" s="171">
        <f>X18</f>
        <v>1.0572625007216312</v>
      </c>
      <c r="Y761" s="171">
        <f>Y18</f>
        <v>1.1921592919350448</v>
      </c>
      <c r="Z761" s="769">
        <f>AVERAGE(V761:Y761)</f>
        <v>1.025909601704567</v>
      </c>
      <c r="AA761" s="171">
        <f>AA18</f>
        <v>1.2472190182432403</v>
      </c>
      <c r="AB761" s="171">
        <f>AB18</f>
        <v>1.3218622060032832</v>
      </c>
      <c r="AC761" s="171">
        <f>AC18</f>
        <v>1.2700716683298559</v>
      </c>
      <c r="AD761" s="171">
        <f>AD18</f>
        <v>1.2700716683298559</v>
      </c>
      <c r="AE761" s="769">
        <f>AVERAGE(AA761:AD761)</f>
        <v>1.2773061402265589</v>
      </c>
      <c r="AF761" s="170">
        <f t="shared" ref="AF761:AL761" si="646">AF18</f>
        <v>1.4065335753176043</v>
      </c>
      <c r="AG761" s="170">
        <f t="shared" si="646"/>
        <v>1.4972776769509981</v>
      </c>
      <c r="AH761" s="170">
        <f t="shared" si="646"/>
        <v>1.4519056261343013</v>
      </c>
      <c r="AI761" s="170">
        <f t="shared" si="646"/>
        <v>1.3611615245009074</v>
      </c>
      <c r="AJ761" s="170">
        <f t="shared" si="646"/>
        <v>1.1567449877528804</v>
      </c>
      <c r="AK761" s="170">
        <f t="shared" si="646"/>
        <v>1.1567449877528804</v>
      </c>
      <c r="AL761" s="170">
        <f t="shared" si="646"/>
        <v>1.1567449877528804</v>
      </c>
      <c r="AM761" s="651"/>
      <c r="AN761" s="92"/>
      <c r="AO761" s="92"/>
    </row>
    <row r="762" spans="2:41" s="83" customFormat="1">
      <c r="B762" s="95" t="s">
        <v>618</v>
      </c>
      <c r="C762" s="96"/>
      <c r="D762" s="163" t="s">
        <v>701</v>
      </c>
      <c r="E762" s="163"/>
      <c r="G762" s="170">
        <f t="shared" ref="G762:V762" si="647">G21</f>
        <v>0.97012785698892701</v>
      </c>
      <c r="H762" s="170">
        <f t="shared" si="647"/>
        <v>0.95060202903092705</v>
      </c>
      <c r="I762" s="170">
        <f t="shared" si="647"/>
        <v>0.80965249089309843</v>
      </c>
      <c r="J762" s="170">
        <f t="shared" si="647"/>
        <v>0.84714963574186797</v>
      </c>
      <c r="K762" s="170">
        <f t="shared" si="647"/>
        <v>1.04994256237679</v>
      </c>
      <c r="L762" s="171">
        <f t="shared" si="647"/>
        <v>1.142353506161</v>
      </c>
      <c r="M762" s="171">
        <f t="shared" si="647"/>
        <v>1.0812417876990341</v>
      </c>
      <c r="N762" s="171">
        <f t="shared" si="647"/>
        <v>0.95106892973782031</v>
      </c>
      <c r="O762" s="171">
        <f t="shared" si="647"/>
        <v>0.89163177277057071</v>
      </c>
      <c r="P762" s="170">
        <f t="shared" si="647"/>
        <v>1.0155656390751782</v>
      </c>
      <c r="Q762" s="171">
        <f t="shared" si="647"/>
        <v>0.92280714638511974</v>
      </c>
      <c r="R762" s="171">
        <f t="shared" si="647"/>
        <v>0.85434441845143461</v>
      </c>
      <c r="S762" s="171">
        <f t="shared" si="647"/>
        <v>0.92034138409898192</v>
      </c>
      <c r="T762" s="171">
        <f t="shared" si="647"/>
        <v>0.92625221128549395</v>
      </c>
      <c r="U762" s="170">
        <f t="shared" si="647"/>
        <v>0.90653830528263057</v>
      </c>
      <c r="V762" s="171">
        <f t="shared" si="647"/>
        <v>0.83585854576793994</v>
      </c>
      <c r="W762" s="171">
        <f>W21</f>
        <v>0.76212750173391153</v>
      </c>
      <c r="X762" s="171">
        <f>X21</f>
        <v>0.84873693846750187</v>
      </c>
      <c r="Y762" s="171">
        <f>Y21</f>
        <v>0.86279668080377425</v>
      </c>
      <c r="Z762" s="769">
        <f>AVERAGE(V762:Y762)</f>
        <v>0.82737991669328192</v>
      </c>
      <c r="AA762" s="171">
        <f>AA21</f>
        <v>0.91223955970848836</v>
      </c>
      <c r="AB762" s="171">
        <f>AB21</f>
        <v>0.96461036015603763</v>
      </c>
      <c r="AC762" s="171">
        <f>AC21</f>
        <v>0.96389367685747984</v>
      </c>
      <c r="AD762" s="171">
        <f>AD21</f>
        <v>0.96389367685747984</v>
      </c>
      <c r="AE762" s="769">
        <f>AVERAGE(AA762:AD762)</f>
        <v>0.95115931839487144</v>
      </c>
      <c r="AF762" s="170">
        <f t="shared" ref="AF762:AL762" si="648">AF21</f>
        <v>0.92987390002721582</v>
      </c>
      <c r="AG762" s="170">
        <f t="shared" si="648"/>
        <v>0.9645740723940851</v>
      </c>
      <c r="AH762" s="170">
        <f t="shared" si="648"/>
        <v>0.97523360246756785</v>
      </c>
      <c r="AI762" s="170">
        <f t="shared" si="648"/>
        <v>0.97523360246756785</v>
      </c>
      <c r="AJ762" s="170">
        <f t="shared" si="648"/>
        <v>0.97523360246756785</v>
      </c>
      <c r="AK762" s="170">
        <f t="shared" si="648"/>
        <v>0.97523360246756785</v>
      </c>
      <c r="AL762" s="170">
        <f t="shared" si="648"/>
        <v>0.97523360246756785</v>
      </c>
      <c r="AM762" s="651"/>
      <c r="AN762" s="92"/>
      <c r="AO762" s="92"/>
    </row>
    <row r="763" spans="2:41" s="83" customFormat="1">
      <c r="B763" s="95" t="s">
        <v>619</v>
      </c>
      <c r="C763" s="96"/>
      <c r="D763" s="163" t="s">
        <v>620</v>
      </c>
      <c r="E763" s="163"/>
      <c r="G763" s="170">
        <f t="shared" ref="G763:V763" si="649">G23</f>
        <v>1.03</v>
      </c>
      <c r="H763" s="170">
        <f t="shared" si="649"/>
        <v>1.1046</v>
      </c>
      <c r="I763" s="170">
        <f t="shared" si="649"/>
        <v>1.2789999999999999</v>
      </c>
      <c r="J763" s="170">
        <f t="shared" si="649"/>
        <v>1.3248</v>
      </c>
      <c r="K763" s="170">
        <f t="shared" si="649"/>
        <v>1.2982</v>
      </c>
      <c r="L763" s="171">
        <f t="shared" si="649"/>
        <v>1.2647999999999999</v>
      </c>
      <c r="M763" s="171">
        <f t="shared" si="649"/>
        <v>1.2907999999999999</v>
      </c>
      <c r="N763" s="171">
        <f t="shared" si="649"/>
        <v>1.3068</v>
      </c>
      <c r="O763" s="171">
        <f t="shared" si="649"/>
        <v>1.3218000000000001</v>
      </c>
      <c r="P763" s="170">
        <f t="shared" si="649"/>
        <v>1.2961</v>
      </c>
      <c r="Q763" s="171">
        <f t="shared" si="649"/>
        <v>1.3295999999999999</v>
      </c>
      <c r="R763" s="171">
        <f t="shared" si="649"/>
        <v>1.3376999999999999</v>
      </c>
      <c r="S763" s="171">
        <f t="shared" si="649"/>
        <v>1.3204</v>
      </c>
      <c r="T763" s="171">
        <f t="shared" si="649"/>
        <v>1.3198000000000001</v>
      </c>
      <c r="U763" s="170">
        <f t="shared" si="649"/>
        <v>1.3268</v>
      </c>
      <c r="V763" s="171">
        <f t="shared" si="649"/>
        <v>1.3436999999999999</v>
      </c>
      <c r="W763" s="171">
        <f>W23</f>
        <v>1.3858999999999999</v>
      </c>
      <c r="X763" s="171">
        <f>X23</f>
        <v>1.3326</v>
      </c>
      <c r="Y763" s="171">
        <f>Y23</f>
        <v>1.3027</v>
      </c>
      <c r="Z763" s="769">
        <f>AVERAGE(V763:Y763)</f>
        <v>1.3412249999999999</v>
      </c>
      <c r="AA763" s="171">
        <f>AA23</f>
        <v>1.266</v>
      </c>
      <c r="AB763" s="171">
        <f>AB23</f>
        <v>1.2287999999999999</v>
      </c>
      <c r="AC763" s="171">
        <f>AC23</f>
        <v>1.24</v>
      </c>
      <c r="AD763" s="171">
        <f>AD23</f>
        <v>1.24</v>
      </c>
      <c r="AE763" s="769">
        <f>AVERAGE(AA763:AD763)</f>
        <v>1.2437</v>
      </c>
      <c r="AF763" s="170">
        <f t="shared" ref="AF763:AL763" si="650">AF23</f>
        <v>1.22</v>
      </c>
      <c r="AG763" s="170">
        <f t="shared" si="650"/>
        <v>1.22</v>
      </c>
      <c r="AH763" s="170">
        <f t="shared" si="650"/>
        <v>1.23</v>
      </c>
      <c r="AI763" s="170">
        <f t="shared" si="650"/>
        <v>1.23</v>
      </c>
      <c r="AJ763" s="170">
        <f t="shared" si="650"/>
        <v>1.23</v>
      </c>
      <c r="AK763" s="170">
        <f t="shared" si="650"/>
        <v>1.23</v>
      </c>
      <c r="AL763" s="170">
        <f t="shared" si="650"/>
        <v>1.23</v>
      </c>
      <c r="AM763" s="651"/>
      <c r="AN763" s="92"/>
      <c r="AO763" s="92"/>
    </row>
    <row r="764" spans="2:41" s="83" customFormat="1">
      <c r="B764" s="95"/>
      <c r="C764" s="96"/>
      <c r="D764" s="163"/>
      <c r="E764" s="163"/>
      <c r="G764" s="95"/>
      <c r="H764" s="95"/>
      <c r="I764" s="95"/>
      <c r="J764" s="95"/>
      <c r="K764" s="95"/>
      <c r="L764" s="126"/>
      <c r="M764" s="126"/>
      <c r="N764" s="126"/>
      <c r="O764" s="126"/>
      <c r="P764" s="95"/>
      <c r="Q764" s="126"/>
      <c r="R764" s="126"/>
      <c r="S764" s="126"/>
      <c r="T764" s="126"/>
      <c r="U764" s="92"/>
      <c r="V764" s="126"/>
      <c r="W764" s="126"/>
      <c r="X764" s="126"/>
      <c r="Y764" s="126"/>
      <c r="Z764" s="92"/>
      <c r="AA764" s="99"/>
      <c r="AB764" s="99"/>
      <c r="AC764" s="99"/>
      <c r="AD764" s="99"/>
      <c r="AE764" s="92"/>
      <c r="AF764" s="92"/>
      <c r="AG764" s="92"/>
      <c r="AH764" s="92"/>
      <c r="AI764" s="92"/>
      <c r="AJ764" s="92"/>
      <c r="AK764" s="92"/>
      <c r="AL764" s="92"/>
      <c r="AM764" s="651"/>
      <c r="AN764" s="92"/>
      <c r="AO764" s="92"/>
    </row>
    <row r="765" spans="2:41" s="83" customFormat="1">
      <c r="B765" s="95"/>
      <c r="C765" s="96"/>
      <c r="D765" s="554" t="s">
        <v>284</v>
      </c>
      <c r="E765" s="554"/>
      <c r="F765" s="586"/>
      <c r="G765" s="605"/>
      <c r="H765" s="605"/>
      <c r="I765" s="605"/>
      <c r="J765" s="605"/>
      <c r="K765" s="605"/>
      <c r="L765" s="182"/>
      <c r="M765" s="182"/>
      <c r="N765" s="182"/>
      <c r="O765" s="182"/>
      <c r="P765" s="605"/>
      <c r="Q765" s="182"/>
      <c r="R765" s="182"/>
      <c r="S765" s="182"/>
      <c r="T765" s="182"/>
      <c r="U765" s="588"/>
      <c r="V765" s="182"/>
      <c r="W765" s="182"/>
      <c r="X765" s="182"/>
      <c r="Y765" s="182"/>
      <c r="Z765" s="588"/>
      <c r="AA765" s="705"/>
      <c r="AB765" s="705"/>
      <c r="AC765" s="705"/>
      <c r="AD765" s="705"/>
      <c r="AE765" s="588"/>
      <c r="AF765" s="588"/>
      <c r="AG765" s="588"/>
      <c r="AH765" s="588"/>
      <c r="AI765" s="588"/>
      <c r="AJ765" s="588"/>
      <c r="AK765" s="588"/>
      <c r="AL765" s="588"/>
      <c r="AM765" s="651"/>
      <c r="AN765" s="92"/>
      <c r="AO765" s="92"/>
    </row>
    <row r="766" spans="2:41" s="83" customFormat="1">
      <c r="B766" s="95" t="s">
        <v>221</v>
      </c>
      <c r="C766" s="96"/>
      <c r="D766" s="163" t="s">
        <v>626</v>
      </c>
      <c r="E766" s="163"/>
      <c r="G766" s="250">
        <f t="shared" ref="G766:U766" si="651">G34</f>
        <v>0.85</v>
      </c>
      <c r="H766" s="250">
        <f t="shared" si="651"/>
        <v>0.85</v>
      </c>
      <c r="I766" s="250">
        <f t="shared" si="651"/>
        <v>0.85</v>
      </c>
      <c r="J766" s="250">
        <f t="shared" si="651"/>
        <v>0.85</v>
      </c>
      <c r="K766" s="250">
        <f t="shared" si="651"/>
        <v>0.85</v>
      </c>
      <c r="L766" s="251">
        <f t="shared" si="651"/>
        <v>0.85</v>
      </c>
      <c r="M766" s="251">
        <f t="shared" si="651"/>
        <v>0.85</v>
      </c>
      <c r="N766" s="251">
        <f t="shared" si="651"/>
        <v>0.85</v>
      </c>
      <c r="O766" s="251">
        <f t="shared" si="651"/>
        <v>0.85</v>
      </c>
      <c r="P766" s="250">
        <f t="shared" si="651"/>
        <v>0.85</v>
      </c>
      <c r="Q766" s="251">
        <f t="shared" si="651"/>
        <v>0.85</v>
      </c>
      <c r="R766" s="251">
        <f t="shared" si="651"/>
        <v>0.85</v>
      </c>
      <c r="S766" s="251">
        <f t="shared" si="651"/>
        <v>0.85</v>
      </c>
      <c r="T766" s="251">
        <f t="shared" si="651"/>
        <v>0.85</v>
      </c>
      <c r="U766" s="250">
        <f t="shared" si="651"/>
        <v>0.85</v>
      </c>
      <c r="V766" s="251">
        <f>V34</f>
        <v>0.85</v>
      </c>
      <c r="W766" s="251">
        <f t="shared" ref="W766:AL766" si="652">W34</f>
        <v>0.85</v>
      </c>
      <c r="X766" s="251">
        <f t="shared" si="652"/>
        <v>0.85</v>
      </c>
      <c r="Y766" s="251">
        <f t="shared" si="652"/>
        <v>0.85</v>
      </c>
      <c r="Z766" s="250">
        <f t="shared" si="652"/>
        <v>0.85</v>
      </c>
      <c r="AA766" s="251">
        <f>AA34</f>
        <v>0.85</v>
      </c>
      <c r="AB766" s="251">
        <f t="shared" si="652"/>
        <v>0.85</v>
      </c>
      <c r="AC766" s="251">
        <f t="shared" si="652"/>
        <v>0.85</v>
      </c>
      <c r="AD766" s="251">
        <f t="shared" si="652"/>
        <v>0.85</v>
      </c>
      <c r="AE766" s="250">
        <f t="shared" si="652"/>
        <v>0.85</v>
      </c>
      <c r="AF766" s="250">
        <f t="shared" si="652"/>
        <v>0.85</v>
      </c>
      <c r="AG766" s="250">
        <f t="shared" si="652"/>
        <v>0.85</v>
      </c>
      <c r="AH766" s="250">
        <f t="shared" si="652"/>
        <v>0.85</v>
      </c>
      <c r="AI766" s="250">
        <f t="shared" si="652"/>
        <v>0.85</v>
      </c>
      <c r="AJ766" s="250">
        <f t="shared" si="652"/>
        <v>0.85</v>
      </c>
      <c r="AK766" s="250">
        <f t="shared" si="652"/>
        <v>0.85</v>
      </c>
      <c r="AL766" s="250">
        <f t="shared" si="652"/>
        <v>0.85</v>
      </c>
      <c r="AM766" s="651"/>
      <c r="AN766" s="92"/>
      <c r="AO766" s="92"/>
    </row>
    <row r="767" spans="2:41" s="83" customFormat="1">
      <c r="B767" s="95" t="s">
        <v>628</v>
      </c>
      <c r="C767" s="96"/>
      <c r="D767" s="163" t="s">
        <v>664</v>
      </c>
      <c r="E767" s="163"/>
      <c r="G767" s="95">
        <f>(G757*2204.6)*G766</f>
        <v>944450.6399999999</v>
      </c>
      <c r="H767" s="95">
        <f t="shared" ref="H767:T767" si="653">(H757*2204.6)*H766</f>
        <v>1113102.5399999998</v>
      </c>
      <c r="I767" s="95">
        <f t="shared" si="653"/>
        <v>1148706.83</v>
      </c>
      <c r="J767" s="95">
        <f t="shared" si="653"/>
        <v>1124346</v>
      </c>
      <c r="K767" s="95">
        <f t="shared" si="653"/>
        <v>1000105.767</v>
      </c>
      <c r="L767" s="126">
        <f t="shared" si="653"/>
        <v>208378.79199999999</v>
      </c>
      <c r="M767" s="126">
        <f t="shared" si="653"/>
        <v>157033.65799999997</v>
      </c>
      <c r="N767" s="126">
        <f t="shared" si="653"/>
        <v>282023.45499999996</v>
      </c>
      <c r="O767" s="126">
        <f t="shared" si="653"/>
        <v>329245.98699999996</v>
      </c>
      <c r="P767" s="95">
        <f>(P757*2204.6)*P766</f>
        <v>976681.89199999999</v>
      </c>
      <c r="Q767" s="126">
        <f t="shared" si="653"/>
        <v>244545.25499999998</v>
      </c>
      <c r="R767" s="126">
        <f t="shared" si="653"/>
        <v>161531.04199999999</v>
      </c>
      <c r="S767" s="126">
        <f t="shared" si="653"/>
        <v>320251.21899999998</v>
      </c>
      <c r="T767" s="126">
        <f t="shared" si="653"/>
        <v>325310.77600000001</v>
      </c>
      <c r="U767" s="95">
        <f>(U757*2204.6)*U766</f>
        <v>1051638.2919999999</v>
      </c>
      <c r="V767" s="126">
        <f>(V757*2204.6)*V766</f>
        <v>250916.549</v>
      </c>
      <c r="W767" s="126">
        <f>(W757*2204.6)*W766</f>
        <v>173898.84799999997</v>
      </c>
      <c r="X767" s="126">
        <f>(X757*2204.6)*X766</f>
        <v>328496.42300000001</v>
      </c>
      <c r="Y767" s="126">
        <f>(Y757*2204.6)*Y766</f>
        <v>279587.37199999997</v>
      </c>
      <c r="Z767" s="95">
        <f t="shared" ref="Z767:Z772" si="654">SUM(V767:Y767)</f>
        <v>1032899.192</v>
      </c>
      <c r="AA767" s="126">
        <f>(AA757*2204.6)*AA766</f>
        <v>195448.81299999997</v>
      </c>
      <c r="AB767" s="126">
        <f>(AB757*2204.6)*AB766</f>
        <v>73644.662999999986</v>
      </c>
      <c r="AC767" s="126">
        <f>(AC757*2204.6)*AC766</f>
        <v>281086.5</v>
      </c>
      <c r="AD767" s="126">
        <f>(AD757*2204.6)*AD766</f>
        <v>386775.02399999998</v>
      </c>
      <c r="AE767" s="95">
        <f t="shared" ref="AE767:AE772" si="655">SUM(AA767:AD767)</f>
        <v>936955</v>
      </c>
      <c r="AF767" s="95">
        <f t="shared" ref="AF767:AL767" si="656">(AF757*2204.6)*AF766</f>
        <v>936955</v>
      </c>
      <c r="AG767" s="95">
        <f t="shared" si="656"/>
        <v>936955</v>
      </c>
      <c r="AH767" s="95">
        <f t="shared" si="656"/>
        <v>936955</v>
      </c>
      <c r="AI767" s="95">
        <f t="shared" si="656"/>
        <v>936955</v>
      </c>
      <c r="AJ767" s="95">
        <f t="shared" si="656"/>
        <v>936955</v>
      </c>
      <c r="AK767" s="95">
        <f t="shared" si="656"/>
        <v>936955</v>
      </c>
      <c r="AL767" s="95">
        <f t="shared" si="656"/>
        <v>936955</v>
      </c>
      <c r="AM767" s="651"/>
      <c r="AN767" s="92"/>
      <c r="AO767" s="92"/>
    </row>
    <row r="768" spans="2:41" s="83" customFormat="1">
      <c r="B768" s="95" t="s">
        <v>681</v>
      </c>
      <c r="C768" s="96"/>
      <c r="D768" s="163" t="s">
        <v>680</v>
      </c>
      <c r="E768" s="163"/>
      <c r="G768" s="95">
        <f>(G757/0.54)*1000</f>
        <v>933333.33333333326</v>
      </c>
      <c r="H768" s="95">
        <f t="shared" ref="H768:V768" si="657">(H757/0.54)*1000</f>
        <v>1100000</v>
      </c>
      <c r="I768" s="95">
        <f t="shared" si="657"/>
        <v>1135185.1851851852</v>
      </c>
      <c r="J768" s="95">
        <f t="shared" si="657"/>
        <v>1111111.111111111</v>
      </c>
      <c r="K768" s="95">
        <f t="shared" si="657"/>
        <v>988333.33333333337</v>
      </c>
      <c r="L768" s="126">
        <f t="shared" si="657"/>
        <v>205925.92592592593</v>
      </c>
      <c r="M768" s="126">
        <f t="shared" si="657"/>
        <v>155185.18518518517</v>
      </c>
      <c r="N768" s="126">
        <f t="shared" si="657"/>
        <v>278703.70370370371</v>
      </c>
      <c r="O768" s="126">
        <f t="shared" si="657"/>
        <v>325370.37037037034</v>
      </c>
      <c r="P768" s="95">
        <f t="shared" si="657"/>
        <v>965185.18518518517</v>
      </c>
      <c r="Q768" s="126">
        <f t="shared" si="657"/>
        <v>241666.66666666666</v>
      </c>
      <c r="R768" s="126">
        <f t="shared" si="657"/>
        <v>159629.62962962961</v>
      </c>
      <c r="S768" s="126">
        <f t="shared" si="657"/>
        <v>316481.48148148146</v>
      </c>
      <c r="T768" s="126">
        <f t="shared" si="657"/>
        <v>321481.48148148146</v>
      </c>
      <c r="U768" s="95">
        <f t="shared" si="657"/>
        <v>1039259.2592592593</v>
      </c>
      <c r="V768" s="126">
        <f t="shared" si="657"/>
        <v>247962.96296296295</v>
      </c>
      <c r="W768" s="126">
        <f>(W757/0.54)*1000</f>
        <v>171851.85185185185</v>
      </c>
      <c r="X768" s="126">
        <f>(X757/0.54)*1000</f>
        <v>324629.62962962961</v>
      </c>
      <c r="Y768" s="126">
        <f>(Y757/0.54)*1000</f>
        <v>276296.29629629623</v>
      </c>
      <c r="Z768" s="95">
        <f t="shared" si="654"/>
        <v>1020740.7407407407</v>
      </c>
      <c r="AA768" s="126">
        <f t="shared" ref="AA768" si="658">(AA757/0.54)*1000</f>
        <v>193148.14814814812</v>
      </c>
      <c r="AB768" s="126">
        <f>(AB757/0.54)*1000</f>
        <v>72777.777777777766</v>
      </c>
      <c r="AC768" s="126">
        <f>(AC757/0.54)*1000</f>
        <v>277777.77777777775</v>
      </c>
      <c r="AD768" s="126">
        <f>(AD757/0.54)*1000</f>
        <v>382222.22222222225</v>
      </c>
      <c r="AE768" s="95">
        <f t="shared" si="655"/>
        <v>925925.92592592584</v>
      </c>
      <c r="AF768" s="95">
        <f t="shared" ref="AF768:AL768" si="659">(AF757/0.54)*1000</f>
        <v>925925.92592592584</v>
      </c>
      <c r="AG768" s="95">
        <f t="shared" si="659"/>
        <v>925925.92592592584</v>
      </c>
      <c r="AH768" s="95">
        <f t="shared" si="659"/>
        <v>925925.92592592584</v>
      </c>
      <c r="AI768" s="95">
        <f t="shared" si="659"/>
        <v>925925.92592592584</v>
      </c>
      <c r="AJ768" s="95">
        <f t="shared" si="659"/>
        <v>925925.92592592584</v>
      </c>
      <c r="AK768" s="95">
        <f t="shared" si="659"/>
        <v>925925.92592592584</v>
      </c>
      <c r="AL768" s="95">
        <f t="shared" si="659"/>
        <v>925925.92592592584</v>
      </c>
      <c r="AM768" s="651"/>
      <c r="AN768" s="92"/>
      <c r="AO768" s="92"/>
    </row>
    <row r="769" spans="2:41" s="83" customFormat="1">
      <c r="B769" s="95" t="s">
        <v>705</v>
      </c>
      <c r="C769" s="96"/>
      <c r="D769" s="163" t="s">
        <v>629</v>
      </c>
      <c r="E769" s="163"/>
      <c r="G769" s="95">
        <f t="shared" ref="G769:U769" si="660">G37</f>
        <v>209.85666666666665</v>
      </c>
      <c r="H769" s="95">
        <f t="shared" si="660"/>
        <v>0</v>
      </c>
      <c r="I769" s="95">
        <f t="shared" si="660"/>
        <v>245.30999999999995</v>
      </c>
      <c r="J769" s="95">
        <f t="shared" si="660"/>
        <v>212.83208333333334</v>
      </c>
      <c r="K769" s="95">
        <f t="shared" si="660"/>
        <v>180.54624999999999</v>
      </c>
      <c r="L769" s="126">
        <f t="shared" si="660"/>
        <v>154.76833333333335</v>
      </c>
      <c r="M769" s="126">
        <f t="shared" si="660"/>
        <v>141.86333333333332</v>
      </c>
      <c r="N769" s="126">
        <f t="shared" si="660"/>
        <v>132.97499999999999</v>
      </c>
      <c r="O769" s="126">
        <f t="shared" si="660"/>
        <v>132.50166666666667</v>
      </c>
      <c r="P769" s="95">
        <f t="shared" si="660"/>
        <v>140.52708333333331</v>
      </c>
      <c r="Q769" s="126">
        <f t="shared" si="660"/>
        <v>252.38750000000002</v>
      </c>
      <c r="R769" s="126">
        <f t="shared" si="660"/>
        <v>248.22000000000003</v>
      </c>
      <c r="S769" s="126">
        <f t="shared" si="660"/>
        <v>238.21333333333337</v>
      </c>
      <c r="T769" s="126">
        <f t="shared" si="660"/>
        <v>238.36</v>
      </c>
      <c r="U769" s="95">
        <f t="shared" si="660"/>
        <v>244.29520833333336</v>
      </c>
      <c r="V769" s="126">
        <f>V37</f>
        <v>299.69849999999997</v>
      </c>
      <c r="W769" s="126">
        <f>W37</f>
        <v>299.69849999999997</v>
      </c>
      <c r="X769" s="126">
        <f>X37</f>
        <v>299.69849999999997</v>
      </c>
      <c r="Y769" s="126">
        <f>Y37</f>
        <v>299.69849999999997</v>
      </c>
      <c r="Z769" s="95">
        <f t="shared" si="654"/>
        <v>1198.7939999999999</v>
      </c>
      <c r="AA769" s="126">
        <f>AA37</f>
        <v>328</v>
      </c>
      <c r="AB769" s="126">
        <f>AB37</f>
        <v>328</v>
      </c>
      <c r="AC769" s="126">
        <f>AC37</f>
        <v>328</v>
      </c>
      <c r="AD769" s="126">
        <f>AD37</f>
        <v>328</v>
      </c>
      <c r="AE769" s="95">
        <f t="shared" si="655"/>
        <v>1312</v>
      </c>
      <c r="AF769" s="95">
        <f t="shared" ref="AF769:AL769" si="661">AF37</f>
        <v>325.5</v>
      </c>
      <c r="AG769" s="95">
        <f t="shared" si="661"/>
        <v>323</v>
      </c>
      <c r="AH769" s="95">
        <f t="shared" si="661"/>
        <v>315.50799999999998</v>
      </c>
      <c r="AI769" s="95">
        <f t="shared" si="661"/>
        <v>315.50799999999998</v>
      </c>
      <c r="AJ769" s="95">
        <f t="shared" si="661"/>
        <v>315.50799999999998</v>
      </c>
      <c r="AK769" s="95">
        <f t="shared" si="661"/>
        <v>315.50799999999998</v>
      </c>
      <c r="AL769" s="95">
        <f t="shared" si="661"/>
        <v>315.50799999999998</v>
      </c>
      <c r="AM769" s="651"/>
      <c r="AN769" s="92"/>
      <c r="AO769" s="92"/>
    </row>
    <row r="770" spans="2:41" s="83" customFormat="1">
      <c r="B770" s="95" t="s">
        <v>631</v>
      </c>
      <c r="C770" s="96"/>
      <c r="D770" s="163" t="s">
        <v>630</v>
      </c>
      <c r="E770" s="163"/>
      <c r="G770" s="95">
        <f>(G769*G768)/1000000</f>
        <v>195.86622222222221</v>
      </c>
      <c r="H770" s="95">
        <f t="shared" ref="H770:U770" si="662">(H769*H768)/1000000</f>
        <v>0</v>
      </c>
      <c r="I770" s="95">
        <f t="shared" si="662"/>
        <v>278.47227777777772</v>
      </c>
      <c r="J770" s="95">
        <f t="shared" si="662"/>
        <v>236.4800925925926</v>
      </c>
      <c r="K770" s="95">
        <f t="shared" si="662"/>
        <v>178.4398770833333</v>
      </c>
      <c r="L770" s="126">
        <f t="shared" si="662"/>
        <v>31.870812345679013</v>
      </c>
      <c r="M770" s="126">
        <f t="shared" si="662"/>
        <v>22.015087654320983</v>
      </c>
      <c r="N770" s="126">
        <f t="shared" si="662"/>
        <v>37.060625000000002</v>
      </c>
      <c r="O770" s="126">
        <f t="shared" si="662"/>
        <v>43.112116358024686</v>
      </c>
      <c r="P770" s="95">
        <f t="shared" si="662"/>
        <v>135.63465895061725</v>
      </c>
      <c r="Q770" s="126">
        <f t="shared" si="662"/>
        <v>60.993645833333339</v>
      </c>
      <c r="R770" s="126">
        <f t="shared" si="662"/>
        <v>39.623266666666666</v>
      </c>
      <c r="S770" s="126">
        <f t="shared" si="662"/>
        <v>75.390108641975317</v>
      </c>
      <c r="T770" s="126">
        <f t="shared" si="662"/>
        <v>76.628325925925921</v>
      </c>
      <c r="U770" s="95">
        <f t="shared" si="662"/>
        <v>253.88605725308648</v>
      </c>
      <c r="V770" s="126">
        <f>(V769*V768)/1000000</f>
        <v>74.314128055555543</v>
      </c>
      <c r="W770" s="126">
        <f>(W769*W768)/1000000</f>
        <v>51.503742222222215</v>
      </c>
      <c r="X770" s="126">
        <f>(X769*X768)/1000000</f>
        <v>97.291013055555538</v>
      </c>
      <c r="Y770" s="126">
        <f>(Y769*Y768)/1000000</f>
        <v>82.805585555555524</v>
      </c>
      <c r="Z770" s="95">
        <f t="shared" si="654"/>
        <v>305.91446888888879</v>
      </c>
      <c r="AA770" s="126">
        <f>(AA769*AA768)/1000000</f>
        <v>63.352592592592579</v>
      </c>
      <c r="AB770" s="126">
        <f>(AB769*AB768)/1000000</f>
        <v>23.871111111111109</v>
      </c>
      <c r="AC770" s="126">
        <f>(AC769*AC768)/1000000</f>
        <v>91.1111111111111</v>
      </c>
      <c r="AD770" s="126">
        <f>(AD769*AD768)/1000000</f>
        <v>125.36888888888889</v>
      </c>
      <c r="AE770" s="95">
        <f t="shared" si="655"/>
        <v>303.7037037037037</v>
      </c>
      <c r="AF770" s="95">
        <f t="shared" ref="AF770:AL770" si="663">(AF769*AF768)/1000000</f>
        <v>301.38888888888886</v>
      </c>
      <c r="AG770" s="95">
        <f t="shared" si="663"/>
        <v>299.07407407407402</v>
      </c>
      <c r="AH770" s="95">
        <f t="shared" si="663"/>
        <v>292.13703703703703</v>
      </c>
      <c r="AI770" s="95">
        <f t="shared" si="663"/>
        <v>292.13703703703703</v>
      </c>
      <c r="AJ770" s="95">
        <f t="shared" si="663"/>
        <v>292.13703703703703</v>
      </c>
      <c r="AK770" s="95">
        <f t="shared" si="663"/>
        <v>292.13703703703703</v>
      </c>
      <c r="AL770" s="95">
        <f t="shared" si="663"/>
        <v>292.13703703703703</v>
      </c>
      <c r="AM770" s="651"/>
      <c r="AN770" s="92"/>
      <c r="AO770" s="92"/>
    </row>
    <row r="771" spans="2:41" s="83" customFormat="1">
      <c r="B771" s="95" t="s">
        <v>631</v>
      </c>
      <c r="C771" s="96"/>
      <c r="D771" s="163" t="s">
        <v>284</v>
      </c>
      <c r="E771" s="163"/>
      <c r="G771" s="95">
        <f>(G767*G761)/1000-G770</f>
        <v>625.80583457777777</v>
      </c>
      <c r="H771" s="95">
        <f t="shared" ref="H771:T771" si="664">(H767*H761)/1000-H770</f>
        <v>1090.8404891999996</v>
      </c>
      <c r="I771" s="95">
        <f t="shared" si="664"/>
        <v>720.90266432222234</v>
      </c>
      <c r="J771" s="95">
        <f t="shared" si="664"/>
        <v>831.64860740740733</v>
      </c>
      <c r="K771" s="95">
        <f t="shared" si="664"/>
        <v>1131.6986776866668</v>
      </c>
      <c r="L771" s="126">
        <f t="shared" si="664"/>
        <v>291.11631525432097</v>
      </c>
      <c r="M771" s="126">
        <f t="shared" si="664"/>
        <v>199.40237012567897</v>
      </c>
      <c r="N771" s="126">
        <f t="shared" si="664"/>
        <v>287.26634824999991</v>
      </c>
      <c r="O771" s="126">
        <f t="shared" si="664"/>
        <v>348.69060817197521</v>
      </c>
      <c r="P771" s="95">
        <f t="shared" si="664"/>
        <v>1163.3522574093829</v>
      </c>
      <c r="Q771" s="126">
        <f t="shared" si="664"/>
        <v>239.7970178166666</v>
      </c>
      <c r="R771" s="126">
        <f t="shared" si="664"/>
        <v>162.29053583333334</v>
      </c>
      <c r="S771" s="126">
        <f t="shared" si="664"/>
        <v>267.2786956880247</v>
      </c>
      <c r="T771" s="126">
        <f t="shared" si="664"/>
        <v>274.70731215407415</v>
      </c>
      <c r="U771" s="95">
        <f>(U767*U761)/1000-U770</f>
        <v>966.01436146691333</v>
      </c>
      <c r="V771" s="126">
        <f>(V767*V761)/1000-V770</f>
        <v>167.88597030381948</v>
      </c>
      <c r="W771" s="126">
        <f>(W767*W761)/1000-W770</f>
        <v>103.08451842293901</v>
      </c>
      <c r="X771" s="126">
        <f>(X767*X761)/1000-X770</f>
        <v>250.01593660353524</v>
      </c>
      <c r="Y771" s="126">
        <f>(Y767*Y761)/1000-Y770</f>
        <v>250.50709788194439</v>
      </c>
      <c r="Z771" s="605">
        <f t="shared" si="654"/>
        <v>771.49352321223819</v>
      </c>
      <c r="AA771" s="126">
        <f>(AA767*AA761)/1000-AA770</f>
        <v>180.41488407407405</v>
      </c>
      <c r="AB771" s="182">
        <f>(AB767*AB761)/1000-AB770</f>
        <v>73.476985582437237</v>
      </c>
      <c r="AC771" s="182">
        <f>(AC767*AC761)/1000-AC770</f>
        <v>265.88888888888891</v>
      </c>
      <c r="AD771" s="182">
        <f>(AD767*AD761)/1000-AD770</f>
        <v>365.86311111111115</v>
      </c>
      <c r="AE771" s="605">
        <f t="shared" si="655"/>
        <v>885.64386965651136</v>
      </c>
      <c r="AF771" s="95">
        <f t="shared" ref="AF771:AL771" si="665">(AF767*AF761)/1000-AF770</f>
        <v>1016.469777172817</v>
      </c>
      <c r="AG771" s="95">
        <f t="shared" si="665"/>
        <v>1103.8077317335483</v>
      </c>
      <c r="AH771" s="95">
        <f t="shared" si="665"/>
        <v>1068.2331988976271</v>
      </c>
      <c r="AI771" s="95">
        <f t="shared" si="665"/>
        <v>983.21005915171077</v>
      </c>
      <c r="AJ771" s="95">
        <f t="shared" si="665"/>
        <v>791.68096296296289</v>
      </c>
      <c r="AK771" s="95">
        <f t="shared" si="665"/>
        <v>791.68096296296289</v>
      </c>
      <c r="AL771" s="95">
        <f t="shared" si="665"/>
        <v>791.68096296296289</v>
      </c>
      <c r="AM771" s="651"/>
      <c r="AN771" s="92"/>
      <c r="AO771" s="92"/>
    </row>
    <row r="772" spans="2:41" s="83" customFormat="1">
      <c r="B772" s="95" t="s">
        <v>633</v>
      </c>
      <c r="C772" s="96"/>
      <c r="D772" s="183" t="s">
        <v>284</v>
      </c>
      <c r="E772" s="183"/>
      <c r="F772" s="103"/>
      <c r="G772" s="673">
        <f t="shared" ref="G772:Y772" si="666">G771*G763</f>
        <v>644.58000961511107</v>
      </c>
      <c r="H772" s="673">
        <f t="shared" si="666"/>
        <v>1204.9424043703195</v>
      </c>
      <c r="I772" s="673">
        <f t="shared" si="666"/>
        <v>922.03450766812227</v>
      </c>
      <c r="J772" s="673">
        <f t="shared" si="666"/>
        <v>1101.7680750933332</v>
      </c>
      <c r="K772" s="673">
        <f t="shared" si="666"/>
        <v>1469.1712233728308</v>
      </c>
      <c r="L772" s="674">
        <f t="shared" si="666"/>
        <v>368.20391553366511</v>
      </c>
      <c r="M772" s="674">
        <f t="shared" si="666"/>
        <v>257.38857935822642</v>
      </c>
      <c r="N772" s="674">
        <f t="shared" si="666"/>
        <v>375.39966389309984</v>
      </c>
      <c r="O772" s="674">
        <f t="shared" si="666"/>
        <v>460.89924588171687</v>
      </c>
      <c r="P772" s="673">
        <f t="shared" si="666"/>
        <v>1507.8208608283012</v>
      </c>
      <c r="Q772" s="674">
        <f t="shared" si="666"/>
        <v>318.83411488903988</v>
      </c>
      <c r="R772" s="674">
        <f t="shared" si="666"/>
        <v>217.09604978425</v>
      </c>
      <c r="S772" s="674">
        <f t="shared" si="666"/>
        <v>352.91478978646779</v>
      </c>
      <c r="T772" s="674">
        <f t="shared" si="666"/>
        <v>362.55871058094709</v>
      </c>
      <c r="U772" s="673">
        <f t="shared" si="666"/>
        <v>1281.7078547943006</v>
      </c>
      <c r="V772" s="674">
        <f>V771*V763</f>
        <v>225.5883782972422</v>
      </c>
      <c r="W772" s="674">
        <f t="shared" si="666"/>
        <v>142.86483408235117</v>
      </c>
      <c r="X772" s="674">
        <f t="shared" si="666"/>
        <v>333.17123711787104</v>
      </c>
      <c r="Y772" s="674">
        <f t="shared" si="666"/>
        <v>326.33559641080893</v>
      </c>
      <c r="Z772" s="95">
        <f t="shared" si="654"/>
        <v>1027.9600459082733</v>
      </c>
      <c r="AA772" s="674">
        <f>AA771*AA763</f>
        <v>228.40524323777774</v>
      </c>
      <c r="AB772" s="1181">
        <f>AB771*AB763</f>
        <v>90.288519883698868</v>
      </c>
      <c r="AC772" s="1181">
        <f>AC771*AC763</f>
        <v>329.70222222222225</v>
      </c>
      <c r="AD772" s="1181">
        <f>AD771*AD763</f>
        <v>453.67025777777781</v>
      </c>
      <c r="AE772" s="95">
        <f t="shared" si="655"/>
        <v>1102.0662431214766</v>
      </c>
      <c r="AF772" s="673">
        <f t="shared" ref="AF772:AL772" si="667">AF771*AF763</f>
        <v>1240.0931281508367</v>
      </c>
      <c r="AG772" s="673">
        <f t="shared" si="667"/>
        <v>1346.6454327149288</v>
      </c>
      <c r="AH772" s="673">
        <f t="shared" si="667"/>
        <v>1313.9268346440813</v>
      </c>
      <c r="AI772" s="673">
        <f t="shared" si="667"/>
        <v>1209.3483727566042</v>
      </c>
      <c r="AJ772" s="673">
        <f t="shared" si="667"/>
        <v>973.76758444444431</v>
      </c>
      <c r="AK772" s="673">
        <f t="shared" si="667"/>
        <v>973.76758444444431</v>
      </c>
      <c r="AL772" s="673">
        <f t="shared" si="667"/>
        <v>973.76758444444431</v>
      </c>
      <c r="AM772" s="651"/>
      <c r="AN772" s="92"/>
      <c r="AO772" s="92"/>
    </row>
    <row r="773" spans="2:41" s="83" customFormat="1">
      <c r="B773" s="95"/>
      <c r="C773" s="96"/>
      <c r="D773" s="162"/>
      <c r="E773" s="162"/>
      <c r="G773" s="95"/>
      <c r="H773" s="95"/>
      <c r="I773" s="95"/>
      <c r="J773" s="95"/>
      <c r="K773" s="95"/>
      <c r="L773" s="126"/>
      <c r="M773" s="126"/>
      <c r="N773" s="126"/>
      <c r="O773" s="126"/>
      <c r="P773" s="95"/>
      <c r="Q773" s="126"/>
      <c r="R773" s="126"/>
      <c r="S773" s="126"/>
      <c r="T773" s="126"/>
      <c r="U773" s="92"/>
      <c r="V773" s="126"/>
      <c r="W773" s="99"/>
      <c r="X773" s="99"/>
      <c r="Y773" s="99"/>
      <c r="Z773" s="92"/>
      <c r="AA773" s="99"/>
      <c r="AB773" s="99"/>
      <c r="AC773" s="99"/>
      <c r="AD773" s="99"/>
      <c r="AE773" s="92"/>
      <c r="AF773" s="92"/>
      <c r="AG773" s="92"/>
      <c r="AH773" s="92"/>
      <c r="AI773" s="92"/>
      <c r="AJ773" s="92"/>
      <c r="AK773" s="92"/>
      <c r="AL773" s="92"/>
      <c r="AM773" s="651"/>
      <c r="AN773" s="92"/>
      <c r="AO773" s="92"/>
    </row>
    <row r="774" spans="2:41" s="83" customFormat="1">
      <c r="B774" s="95"/>
      <c r="C774" s="96"/>
      <c r="D774" s="162"/>
      <c r="E774" s="162"/>
      <c r="G774" s="95"/>
      <c r="H774" s="95"/>
      <c r="I774" s="95"/>
      <c r="J774" s="95"/>
      <c r="K774" s="95"/>
      <c r="L774" s="126"/>
      <c r="M774" s="126"/>
      <c r="N774" s="126"/>
      <c r="O774" s="126"/>
      <c r="P774" s="95"/>
      <c r="Q774" s="126"/>
      <c r="R774" s="126"/>
      <c r="S774" s="126"/>
      <c r="T774" s="126"/>
      <c r="U774" s="92"/>
      <c r="V774" s="126"/>
      <c r="W774" s="99"/>
      <c r="X774" s="99"/>
      <c r="Y774" s="99"/>
      <c r="Z774" s="92"/>
      <c r="AA774" s="99"/>
      <c r="AB774" s="99"/>
      <c r="AC774" s="99"/>
      <c r="AD774" s="99"/>
      <c r="AE774" s="92"/>
      <c r="AF774" s="92"/>
      <c r="AG774" s="92"/>
      <c r="AH774" s="92"/>
      <c r="AI774" s="92"/>
      <c r="AJ774" s="92"/>
      <c r="AK774" s="92"/>
      <c r="AL774" s="92"/>
      <c r="AM774" s="651"/>
      <c r="AN774" s="92"/>
      <c r="AO774" s="92"/>
    </row>
    <row r="775" spans="2:41" s="83" customFormat="1">
      <c r="B775" s="95"/>
      <c r="C775" s="96"/>
      <c r="D775" s="554" t="s">
        <v>706</v>
      </c>
      <c r="E775" s="554"/>
      <c r="F775" s="586"/>
      <c r="G775" s="605"/>
      <c r="H775" s="605"/>
      <c r="I775" s="605"/>
      <c r="J775" s="605"/>
      <c r="K775" s="605"/>
      <c r="L775" s="182"/>
      <c r="M775" s="182"/>
      <c r="N775" s="182"/>
      <c r="O775" s="182"/>
      <c r="P775" s="605"/>
      <c r="Q775" s="182"/>
      <c r="R775" s="182"/>
      <c r="S775" s="182"/>
      <c r="T775" s="182"/>
      <c r="U775" s="588"/>
      <c r="V775" s="182"/>
      <c r="W775" s="705"/>
      <c r="X775" s="705"/>
      <c r="Y775" s="705"/>
      <c r="Z775" s="588"/>
      <c r="AA775" s="705"/>
      <c r="AB775" s="705"/>
      <c r="AC775" s="705"/>
      <c r="AD775" s="705"/>
      <c r="AE775" s="588"/>
      <c r="AF775" s="588"/>
      <c r="AG775" s="588"/>
      <c r="AH775" s="588"/>
      <c r="AI775" s="588"/>
      <c r="AJ775" s="588"/>
      <c r="AK775" s="588"/>
      <c r="AL775" s="588"/>
      <c r="AM775" s="651"/>
      <c r="AN775" s="92"/>
      <c r="AO775" s="92"/>
    </row>
    <row r="776" spans="2:41" s="83" customFormat="1">
      <c r="B776" s="95" t="s">
        <v>221</v>
      </c>
      <c r="C776" s="96"/>
      <c r="D776" s="163" t="s">
        <v>626</v>
      </c>
      <c r="E776" s="162"/>
      <c r="G776" s="250">
        <f t="shared" ref="G776:V776" si="668">G40</f>
        <v>0.95</v>
      </c>
      <c r="H776" s="250">
        <f t="shared" si="668"/>
        <v>0.95</v>
      </c>
      <c r="I776" s="250">
        <f t="shared" si="668"/>
        <v>0.95</v>
      </c>
      <c r="J776" s="250">
        <f t="shared" si="668"/>
        <v>0.95</v>
      </c>
      <c r="K776" s="250">
        <f t="shared" si="668"/>
        <v>0.95</v>
      </c>
      <c r="L776" s="251">
        <f t="shared" si="668"/>
        <v>0.95</v>
      </c>
      <c r="M776" s="251">
        <f t="shared" si="668"/>
        <v>0.95</v>
      </c>
      <c r="N776" s="251">
        <f t="shared" si="668"/>
        <v>0.95</v>
      </c>
      <c r="O776" s="251">
        <f t="shared" si="668"/>
        <v>0.95</v>
      </c>
      <c r="P776" s="250">
        <f t="shared" si="668"/>
        <v>0.95</v>
      </c>
      <c r="Q776" s="251">
        <f t="shared" si="668"/>
        <v>0.95</v>
      </c>
      <c r="R776" s="251">
        <f t="shared" si="668"/>
        <v>0.95</v>
      </c>
      <c r="S776" s="251">
        <f t="shared" si="668"/>
        <v>0.95</v>
      </c>
      <c r="T776" s="251">
        <f t="shared" si="668"/>
        <v>0.95</v>
      </c>
      <c r="U776" s="250">
        <f t="shared" si="668"/>
        <v>0.95</v>
      </c>
      <c r="V776" s="251">
        <f t="shared" si="668"/>
        <v>0.95</v>
      </c>
      <c r="W776" s="251">
        <f t="shared" ref="W776:AL776" si="669">W40</f>
        <v>0.95</v>
      </c>
      <c r="X776" s="251">
        <f t="shared" si="669"/>
        <v>0.95</v>
      </c>
      <c r="Y776" s="251">
        <f t="shared" si="669"/>
        <v>0.95</v>
      </c>
      <c r="Z776" s="250">
        <f t="shared" si="669"/>
        <v>0.95</v>
      </c>
      <c r="AA776" s="251">
        <f t="shared" si="669"/>
        <v>0.95</v>
      </c>
      <c r="AB776" s="251">
        <f t="shared" si="669"/>
        <v>0.95</v>
      </c>
      <c r="AC776" s="251">
        <f t="shared" si="669"/>
        <v>0.95</v>
      </c>
      <c r="AD776" s="251">
        <f t="shared" si="669"/>
        <v>0.95</v>
      </c>
      <c r="AE776" s="250">
        <f t="shared" si="669"/>
        <v>0.95</v>
      </c>
      <c r="AF776" s="250">
        <f t="shared" si="669"/>
        <v>0.95</v>
      </c>
      <c r="AG776" s="250">
        <f t="shared" si="669"/>
        <v>0.95</v>
      </c>
      <c r="AH776" s="250">
        <f t="shared" si="669"/>
        <v>0.95</v>
      </c>
      <c r="AI776" s="250">
        <f t="shared" si="669"/>
        <v>0.95</v>
      </c>
      <c r="AJ776" s="250">
        <f t="shared" si="669"/>
        <v>0.95</v>
      </c>
      <c r="AK776" s="250">
        <f t="shared" si="669"/>
        <v>0.95</v>
      </c>
      <c r="AL776" s="250">
        <f t="shared" si="669"/>
        <v>0.95</v>
      </c>
      <c r="AM776" s="651"/>
      <c r="AN776" s="92"/>
      <c r="AO776" s="92"/>
    </row>
    <row r="777" spans="2:41" s="83" customFormat="1">
      <c r="B777" s="95" t="s">
        <v>628</v>
      </c>
      <c r="C777" s="96"/>
      <c r="D777" s="163" t="s">
        <v>707</v>
      </c>
      <c r="E777" s="162"/>
      <c r="G777" s="95">
        <f>(G758*2204.6)*G776</f>
        <v>209855.87399999998</v>
      </c>
      <c r="H777" s="95">
        <f t="shared" ref="H777:U777" si="670">(H758*2204.6)*H776</f>
        <v>236244.93599999996</v>
      </c>
      <c r="I777" s="95">
        <f t="shared" si="670"/>
        <v>251324.4</v>
      </c>
      <c r="J777" s="95">
        <f t="shared" si="670"/>
        <v>275409.65499999997</v>
      </c>
      <c r="K777" s="95">
        <f t="shared" si="670"/>
        <v>236873.24699999997</v>
      </c>
      <c r="L777" s="126">
        <f t="shared" si="670"/>
        <v>0</v>
      </c>
      <c r="M777" s="126">
        <f t="shared" si="670"/>
        <v>0</v>
      </c>
      <c r="N777" s="126">
        <f t="shared" si="670"/>
        <v>139485.04199999999</v>
      </c>
      <c r="O777" s="126">
        <f t="shared" si="670"/>
        <v>59689.544999999998</v>
      </c>
      <c r="P777" s="95">
        <f t="shared" si="670"/>
        <v>199174.58699999997</v>
      </c>
      <c r="Q777" s="126">
        <f>(Q758*2204.6)*Q776</f>
        <v>0</v>
      </c>
      <c r="R777" s="126">
        <f t="shared" si="670"/>
        <v>0</v>
      </c>
      <c r="S777" s="126">
        <f t="shared" si="670"/>
        <v>134039.67999999999</v>
      </c>
      <c r="T777" s="126">
        <f t="shared" si="670"/>
        <v>60108.418999999994</v>
      </c>
      <c r="U777" s="95">
        <f t="shared" si="670"/>
        <v>194148.09899999999</v>
      </c>
      <c r="V777" s="126">
        <f>(V758*2204.6)*V776</f>
        <v>0</v>
      </c>
      <c r="W777" s="126">
        <f>(W758*2204.6)*W776</f>
        <v>5864.235999999999</v>
      </c>
      <c r="X777" s="126">
        <f>(X758*2204.6)*X776</f>
        <v>153517.321</v>
      </c>
      <c r="Y777" s="126">
        <f>(Y758*2204.6)*Y776</f>
        <v>48379.947</v>
      </c>
      <c r="Z777" s="95">
        <f t="shared" ref="Z777:Z782" si="671">SUM(V777:Y777)</f>
        <v>207761.50400000002</v>
      </c>
      <c r="AA777" s="126">
        <f>(AA758*2204.6)*AA776</f>
        <v>0</v>
      </c>
      <c r="AB777" s="126">
        <f>(AB758*2204.6)*AB776</f>
        <v>0</v>
      </c>
      <c r="AC777" s="126">
        <f>(AC758*2204.6)*AC776</f>
        <v>94246.65</v>
      </c>
      <c r="AD777" s="126">
        <f>(AD758*2204.6)*AD776</f>
        <v>94246.65</v>
      </c>
      <c r="AE777" s="95">
        <f t="shared" ref="AE777:AE782" si="672">SUM(AA777:AD777)</f>
        <v>188493.3</v>
      </c>
      <c r="AF777" s="95">
        <f>(AF758*2204.6)*AF776</f>
        <v>188493.3</v>
      </c>
      <c r="AG777" s="95">
        <f t="shared" ref="AG777:AL777" si="673">(AG758*2204.6)*AG776</f>
        <v>188493.3</v>
      </c>
      <c r="AH777" s="95">
        <f t="shared" si="673"/>
        <v>188493.3</v>
      </c>
      <c r="AI777" s="95">
        <f t="shared" si="673"/>
        <v>188493.3</v>
      </c>
      <c r="AJ777" s="95">
        <f t="shared" si="673"/>
        <v>188493.3</v>
      </c>
      <c r="AK777" s="95">
        <f t="shared" si="673"/>
        <v>188493.3</v>
      </c>
      <c r="AL777" s="95">
        <f t="shared" si="673"/>
        <v>188493.3</v>
      </c>
      <c r="AM777" s="651"/>
      <c r="AN777" s="92"/>
      <c r="AO777" s="92"/>
    </row>
    <row r="778" spans="2:41" s="83" customFormat="1">
      <c r="B778" s="95" t="s">
        <v>681</v>
      </c>
      <c r="C778" s="96"/>
      <c r="D778" s="163" t="s">
        <v>708</v>
      </c>
      <c r="E778" s="162"/>
      <c r="G778" s="95">
        <f>(G758/0.55)*1000</f>
        <v>182181.81818181815</v>
      </c>
      <c r="H778" s="95">
        <f t="shared" ref="H778:V778" si="674">(H758/0.55)*1000</f>
        <v>205090.90909090906</v>
      </c>
      <c r="I778" s="95">
        <f t="shared" si="674"/>
        <v>218181.81818181815</v>
      </c>
      <c r="J778" s="95">
        <f t="shared" si="674"/>
        <v>239090.90909090906</v>
      </c>
      <c r="K778" s="95">
        <f t="shared" si="674"/>
        <v>205636.36363636359</v>
      </c>
      <c r="L778" s="126">
        <f t="shared" si="674"/>
        <v>0</v>
      </c>
      <c r="M778" s="126">
        <f t="shared" si="674"/>
        <v>0</v>
      </c>
      <c r="N778" s="126">
        <f t="shared" si="674"/>
        <v>121090.90909090906</v>
      </c>
      <c r="O778" s="126">
        <f t="shared" si="674"/>
        <v>51818.181818181816</v>
      </c>
      <c r="P778" s="95">
        <f t="shared" si="674"/>
        <v>172909.09090909088</v>
      </c>
      <c r="Q778" s="126">
        <f t="shared" si="674"/>
        <v>0</v>
      </c>
      <c r="R778" s="126">
        <f t="shared" si="674"/>
        <v>0</v>
      </c>
      <c r="S778" s="126">
        <f t="shared" si="674"/>
        <v>116363.63636363635</v>
      </c>
      <c r="T778" s="126">
        <f t="shared" si="674"/>
        <v>52181.818181818169</v>
      </c>
      <c r="U778" s="95">
        <f t="shared" si="674"/>
        <v>168545.45454545453</v>
      </c>
      <c r="V778" s="126">
        <f t="shared" si="674"/>
        <v>0</v>
      </c>
      <c r="W778" s="126">
        <f>(W758/0.55)*1000</f>
        <v>5090.9090909090901</v>
      </c>
      <c r="X778" s="126">
        <f>(X758/0.55)*1000</f>
        <v>133272.72727272726</v>
      </c>
      <c r="Y778" s="126">
        <f>(Y758/0.55)*1000</f>
        <v>42000</v>
      </c>
      <c r="Z778" s="95">
        <f t="shared" si="671"/>
        <v>180363.63636363635</v>
      </c>
      <c r="AA778" s="126">
        <f t="shared" ref="AA778" si="675">(AA758/0.55)*1000</f>
        <v>0</v>
      </c>
      <c r="AB778" s="126">
        <f>(AB758/0.55)*1000</f>
        <v>0</v>
      </c>
      <c r="AC778" s="126">
        <f>(AC758/0.55)*1000</f>
        <v>81818.181818181809</v>
      </c>
      <c r="AD778" s="126">
        <f>(AD758/0.55)*1000</f>
        <v>81818.181818181809</v>
      </c>
      <c r="AE778" s="95">
        <f t="shared" si="672"/>
        <v>163636.36363636362</v>
      </c>
      <c r="AF778" s="95">
        <f>(AF758/0.55)*1000</f>
        <v>163636.36363636362</v>
      </c>
      <c r="AG778" s="95">
        <f t="shared" ref="AG778:AL778" si="676">(AG758/0.55)*1000</f>
        <v>163636.36363636362</v>
      </c>
      <c r="AH778" s="95">
        <f t="shared" si="676"/>
        <v>163636.36363636362</v>
      </c>
      <c r="AI778" s="95">
        <f t="shared" si="676"/>
        <v>163636.36363636362</v>
      </c>
      <c r="AJ778" s="95">
        <f t="shared" si="676"/>
        <v>163636.36363636362</v>
      </c>
      <c r="AK778" s="95">
        <f t="shared" si="676"/>
        <v>163636.36363636362</v>
      </c>
      <c r="AL778" s="95">
        <f t="shared" si="676"/>
        <v>163636.36363636362</v>
      </c>
      <c r="AM778" s="651"/>
      <c r="AN778" s="92"/>
      <c r="AO778" s="92"/>
    </row>
    <row r="779" spans="2:41" s="83" customFormat="1">
      <c r="B779" s="95" t="s">
        <v>705</v>
      </c>
      <c r="C779" s="96"/>
      <c r="D779" s="163" t="s">
        <v>629</v>
      </c>
      <c r="E779" s="162"/>
      <c r="G779" s="95">
        <f t="shared" ref="G779:V779" si="677">G41</f>
        <v>215</v>
      </c>
      <c r="H779" s="95">
        <f t="shared" si="677"/>
        <v>215</v>
      </c>
      <c r="I779" s="95">
        <f t="shared" si="677"/>
        <v>215</v>
      </c>
      <c r="J779" s="95">
        <f t="shared" si="677"/>
        <v>175</v>
      </c>
      <c r="K779" s="95">
        <f t="shared" si="677"/>
        <v>130</v>
      </c>
      <c r="L779" s="126">
        <f t="shared" si="677"/>
        <v>99</v>
      </c>
      <c r="M779" s="126">
        <f t="shared" si="677"/>
        <v>99</v>
      </c>
      <c r="N779" s="126">
        <f t="shared" si="677"/>
        <v>99</v>
      </c>
      <c r="O779" s="126">
        <f t="shared" si="677"/>
        <v>99</v>
      </c>
      <c r="P779" s="95">
        <f t="shared" si="677"/>
        <v>99</v>
      </c>
      <c r="Q779" s="126">
        <f t="shared" si="677"/>
        <v>99</v>
      </c>
      <c r="R779" s="126">
        <f t="shared" si="677"/>
        <v>99</v>
      </c>
      <c r="S779" s="126">
        <f t="shared" si="677"/>
        <v>99</v>
      </c>
      <c r="T779" s="126">
        <f t="shared" si="677"/>
        <v>99</v>
      </c>
      <c r="U779" s="95">
        <f t="shared" si="677"/>
        <v>99</v>
      </c>
      <c r="V779" s="126">
        <f t="shared" si="677"/>
        <v>175</v>
      </c>
      <c r="W779" s="126">
        <f>W41</f>
        <v>175</v>
      </c>
      <c r="X779" s="126">
        <f>X41</f>
        <v>175</v>
      </c>
      <c r="Y779" s="126">
        <f>Y41</f>
        <v>175</v>
      </c>
      <c r="Z779" s="95">
        <f t="shared" si="671"/>
        <v>700</v>
      </c>
      <c r="AA779" s="126">
        <f>AA41</f>
        <v>175</v>
      </c>
      <c r="AB779" s="126">
        <f>AB41</f>
        <v>175</v>
      </c>
      <c r="AC779" s="126">
        <f>AC41</f>
        <v>175</v>
      </c>
      <c r="AD779" s="126">
        <f>AD41</f>
        <v>175</v>
      </c>
      <c r="AE779" s="95">
        <f t="shared" si="672"/>
        <v>700</v>
      </c>
      <c r="AF779" s="95">
        <f t="shared" ref="AF779:AL779" si="678">AF41</f>
        <v>180</v>
      </c>
      <c r="AG779" s="95">
        <f t="shared" si="678"/>
        <v>180</v>
      </c>
      <c r="AH779" s="95">
        <f t="shared" si="678"/>
        <v>180</v>
      </c>
      <c r="AI779" s="95">
        <f t="shared" si="678"/>
        <v>180</v>
      </c>
      <c r="AJ779" s="95">
        <f t="shared" si="678"/>
        <v>180</v>
      </c>
      <c r="AK779" s="95">
        <f t="shared" si="678"/>
        <v>180</v>
      </c>
      <c r="AL779" s="95">
        <f t="shared" si="678"/>
        <v>180</v>
      </c>
      <c r="AM779" s="651"/>
      <c r="AN779" s="92"/>
      <c r="AO779" s="92"/>
    </row>
    <row r="780" spans="2:41" s="83" customFormat="1">
      <c r="B780" s="95" t="s">
        <v>631</v>
      </c>
      <c r="C780" s="96"/>
      <c r="D780" s="163" t="s">
        <v>630</v>
      </c>
      <c r="E780" s="162"/>
      <c r="G780" s="95">
        <f>(G779*G778)/1000000</f>
        <v>39.169090909090897</v>
      </c>
      <c r="H780" s="95">
        <f t="shared" ref="H780:V780" si="679">(H779*H778)/1000000</f>
        <v>44.094545454545447</v>
      </c>
      <c r="I780" s="95">
        <f t="shared" si="679"/>
        <v>46.909090909090899</v>
      </c>
      <c r="J780" s="95">
        <f t="shared" si="679"/>
        <v>41.840909090909086</v>
      </c>
      <c r="K780" s="95">
        <f t="shared" si="679"/>
        <v>26.732727272727267</v>
      </c>
      <c r="L780" s="126">
        <f t="shared" si="679"/>
        <v>0</v>
      </c>
      <c r="M780" s="126">
        <f t="shared" si="679"/>
        <v>0</v>
      </c>
      <c r="N780" s="126">
        <f t="shared" si="679"/>
        <v>11.987999999999996</v>
      </c>
      <c r="O780" s="126">
        <f t="shared" si="679"/>
        <v>5.13</v>
      </c>
      <c r="P780" s="95">
        <f t="shared" si="679"/>
        <v>17.117999999999995</v>
      </c>
      <c r="Q780" s="126">
        <f t="shared" si="679"/>
        <v>0</v>
      </c>
      <c r="R780" s="126">
        <f t="shared" si="679"/>
        <v>0</v>
      </c>
      <c r="S780" s="126">
        <f t="shared" si="679"/>
        <v>11.519999999999998</v>
      </c>
      <c r="T780" s="126">
        <f t="shared" si="679"/>
        <v>5.1659999999999995</v>
      </c>
      <c r="U780" s="95">
        <f t="shared" si="679"/>
        <v>16.685999999999996</v>
      </c>
      <c r="V780" s="126">
        <f t="shared" si="679"/>
        <v>0</v>
      </c>
      <c r="W780" s="126">
        <f>(W779*W778)/1000000</f>
        <v>0.89090909090909076</v>
      </c>
      <c r="X780" s="126">
        <f>(X779*X778)/1000000</f>
        <v>23.322727272727271</v>
      </c>
      <c r="Y780" s="126">
        <f>(Y779*Y778)/1000000</f>
        <v>7.35</v>
      </c>
      <c r="Z780" s="95">
        <f t="shared" si="671"/>
        <v>31.563636363636363</v>
      </c>
      <c r="AA780" s="126">
        <f t="shared" ref="AA780" si="680">(AA779*AA778)/1000000</f>
        <v>0</v>
      </c>
      <c r="AB780" s="126">
        <f>(AB779*AB778)/1000000</f>
        <v>0</v>
      </c>
      <c r="AC780" s="126">
        <f>(AC779*AC778)/1000000</f>
        <v>14.318181818181817</v>
      </c>
      <c r="AD780" s="126">
        <f>(AD779*AD778)/1000000</f>
        <v>14.318181818181817</v>
      </c>
      <c r="AE780" s="95">
        <f t="shared" si="672"/>
        <v>28.636363636363633</v>
      </c>
      <c r="AF780" s="95">
        <f>(AF779*AF778)/1000000</f>
        <v>29.45454545454545</v>
      </c>
      <c r="AG780" s="95">
        <f t="shared" ref="AG780:AL780" si="681">(AG779*AG778)/1000000</f>
        <v>29.45454545454545</v>
      </c>
      <c r="AH780" s="95">
        <f t="shared" si="681"/>
        <v>29.45454545454545</v>
      </c>
      <c r="AI780" s="95">
        <f t="shared" si="681"/>
        <v>29.45454545454545</v>
      </c>
      <c r="AJ780" s="95">
        <f t="shared" si="681"/>
        <v>29.45454545454545</v>
      </c>
      <c r="AK780" s="95">
        <f t="shared" si="681"/>
        <v>29.45454545454545</v>
      </c>
      <c r="AL780" s="95">
        <f t="shared" si="681"/>
        <v>29.45454545454545</v>
      </c>
      <c r="AM780" s="651"/>
      <c r="AN780" s="92"/>
      <c r="AO780" s="92"/>
    </row>
    <row r="781" spans="2:41" s="83" customFormat="1">
      <c r="B781" s="95" t="s">
        <v>631</v>
      </c>
      <c r="C781" s="96"/>
      <c r="D781" s="163" t="s">
        <v>706</v>
      </c>
      <c r="E781" s="162"/>
      <c r="G781" s="95">
        <f>(G777*G762)/1000-G780</f>
        <v>164.41793841106738</v>
      </c>
      <c r="H781" s="95">
        <f t="shared" ref="H781:V781" si="682">(H777*H762)/1000-H780</f>
        <v>180.48037005533601</v>
      </c>
      <c r="I781" s="95">
        <f t="shared" si="682"/>
        <v>156.57633557312252</v>
      </c>
      <c r="J781" s="95">
        <f t="shared" si="682"/>
        <v>191.4722798221344</v>
      </c>
      <c r="K781" s="95">
        <f t="shared" si="682"/>
        <v>221.97057664096297</v>
      </c>
      <c r="L781" s="126">
        <f t="shared" si="682"/>
        <v>0</v>
      </c>
      <c r="M781" s="126">
        <f t="shared" si="682"/>
        <v>0</v>
      </c>
      <c r="N781" s="126">
        <f t="shared" si="682"/>
        <v>120.67188960937489</v>
      </c>
      <c r="O781" s="126">
        <f t="shared" si="682"/>
        <v>48.09109482421875</v>
      </c>
      <c r="P781" s="95">
        <f t="shared" si="682"/>
        <v>185.15686673418966</v>
      </c>
      <c r="Q781" s="126">
        <f t="shared" si="682"/>
        <v>0</v>
      </c>
      <c r="R781" s="126">
        <f t="shared" si="682"/>
        <v>0</v>
      </c>
      <c r="S781" s="126">
        <f t="shared" si="682"/>
        <v>111.84226461538462</v>
      </c>
      <c r="T781" s="126">
        <f t="shared" si="682"/>
        <v>50.509556015624995</v>
      </c>
      <c r="U781" s="95">
        <f>(U777*U762)/1000-U780</f>
        <v>159.31668864130438</v>
      </c>
      <c r="V781" s="126">
        <f t="shared" si="682"/>
        <v>0</v>
      </c>
      <c r="W781" s="126">
        <f>(W777*W762)/1000-W780</f>
        <v>3.5783864413489752</v>
      </c>
      <c r="X781" s="126">
        <f>(X777*X762)/1000-X780</f>
        <v>106.97309375454546</v>
      </c>
      <c r="Y781" s="126">
        <f>(Y777*Y762)/1000-Y780</f>
        <v>34.392057689062511</v>
      </c>
      <c r="Z781" s="95">
        <f t="shared" si="671"/>
        <v>144.94353788495695</v>
      </c>
      <c r="AA781" s="126">
        <f t="shared" ref="AA781" si="683">(AA777*AA762)/1000-AA780</f>
        <v>0</v>
      </c>
      <c r="AB781" s="126">
        <f>(AB777*AB762)/1000-AB780</f>
        <v>0</v>
      </c>
      <c r="AC781" s="126">
        <f>(AC777*AC762)/1000-AC780</f>
        <v>76.525568181818187</v>
      </c>
      <c r="AD781" s="126">
        <f>(AD777*AD762)/1000-AD780</f>
        <v>76.525568181818187</v>
      </c>
      <c r="AE781" s="95">
        <f t="shared" si="672"/>
        <v>153.05113636363637</v>
      </c>
      <c r="AF781" s="95">
        <f t="shared" ref="AF781:AL781" si="684">(AF777*AF762)/1000-AF780</f>
        <v>145.82045454545457</v>
      </c>
      <c r="AG781" s="95">
        <f t="shared" si="684"/>
        <v>152.36120454545457</v>
      </c>
      <c r="AH781" s="95">
        <f t="shared" si="684"/>
        <v>154.37045454545455</v>
      </c>
      <c r="AI781" s="95">
        <f t="shared" si="684"/>
        <v>154.37045454545455</v>
      </c>
      <c r="AJ781" s="95">
        <f t="shared" si="684"/>
        <v>154.37045454545455</v>
      </c>
      <c r="AK781" s="95">
        <f t="shared" si="684"/>
        <v>154.37045454545455</v>
      </c>
      <c r="AL781" s="95">
        <f t="shared" si="684"/>
        <v>154.37045454545455</v>
      </c>
      <c r="AM781" s="651"/>
      <c r="AN781" s="92"/>
      <c r="AO781" s="92"/>
    </row>
    <row r="782" spans="2:41" s="83" customFormat="1">
      <c r="B782" s="95" t="s">
        <v>633</v>
      </c>
      <c r="C782" s="96"/>
      <c r="D782" s="183" t="s">
        <v>706</v>
      </c>
      <c r="E782" s="659"/>
      <c r="F782" s="103"/>
      <c r="G782" s="673">
        <f>G781*G763</f>
        <v>169.35047656339941</v>
      </c>
      <c r="H782" s="673">
        <f t="shared" ref="H782:V782" si="685">H781*H763</f>
        <v>199.35861676312416</v>
      </c>
      <c r="I782" s="673">
        <f t="shared" si="685"/>
        <v>200.26113319802369</v>
      </c>
      <c r="J782" s="673">
        <f t="shared" si="685"/>
        <v>253.66247630836364</v>
      </c>
      <c r="K782" s="673">
        <f t="shared" si="685"/>
        <v>288.16220259529814</v>
      </c>
      <c r="L782" s="674">
        <f t="shared" si="685"/>
        <v>0</v>
      </c>
      <c r="M782" s="674">
        <f t="shared" si="685"/>
        <v>0</v>
      </c>
      <c r="N782" s="674">
        <f t="shared" si="685"/>
        <v>157.6940253415311</v>
      </c>
      <c r="O782" s="674">
        <f t="shared" si="685"/>
        <v>63.566809138652346</v>
      </c>
      <c r="P782" s="673">
        <f t="shared" si="685"/>
        <v>239.98181497418324</v>
      </c>
      <c r="Q782" s="674">
        <f t="shared" si="685"/>
        <v>0</v>
      </c>
      <c r="R782" s="674">
        <f t="shared" si="685"/>
        <v>0</v>
      </c>
      <c r="S782" s="674">
        <f t="shared" si="685"/>
        <v>147.67652619815385</v>
      </c>
      <c r="T782" s="674">
        <f t="shared" si="685"/>
        <v>66.662512029421876</v>
      </c>
      <c r="U782" s="673">
        <f t="shared" si="685"/>
        <v>211.38138248928266</v>
      </c>
      <c r="V782" s="674">
        <f t="shared" si="685"/>
        <v>0</v>
      </c>
      <c r="W782" s="674">
        <f>W781*W763</f>
        <v>4.9592857690655441</v>
      </c>
      <c r="X782" s="674">
        <f>X781*X763</f>
        <v>142.55234473730729</v>
      </c>
      <c r="Y782" s="674">
        <f>Y781*Y763</f>
        <v>44.802533551541735</v>
      </c>
      <c r="Z782" s="1204">
        <f t="shared" si="671"/>
        <v>192.31416405791455</v>
      </c>
      <c r="AA782" s="674">
        <f t="shared" ref="AA782" si="686">AA781*AA763</f>
        <v>0</v>
      </c>
      <c r="AB782" s="674">
        <f>AB781*AB763</f>
        <v>0</v>
      </c>
      <c r="AC782" s="674">
        <f>AC781*AC763</f>
        <v>94.891704545454544</v>
      </c>
      <c r="AD782" s="674">
        <f>AD781*AD763</f>
        <v>94.891704545454544</v>
      </c>
      <c r="AE782" s="95">
        <f t="shared" si="672"/>
        <v>189.78340909090909</v>
      </c>
      <c r="AF782" s="673">
        <f>AF781*AF763</f>
        <v>177.90095454545457</v>
      </c>
      <c r="AG782" s="673">
        <f t="shared" ref="AG782:AL782" si="687">AG781*AG763</f>
        <v>185.88066954545457</v>
      </c>
      <c r="AH782" s="673">
        <f t="shared" si="687"/>
        <v>189.8756590909091</v>
      </c>
      <c r="AI782" s="673">
        <f t="shared" si="687"/>
        <v>189.8756590909091</v>
      </c>
      <c r="AJ782" s="673">
        <f t="shared" si="687"/>
        <v>189.8756590909091</v>
      </c>
      <c r="AK782" s="673">
        <f t="shared" si="687"/>
        <v>189.8756590909091</v>
      </c>
      <c r="AL782" s="673">
        <f t="shared" si="687"/>
        <v>189.8756590909091</v>
      </c>
      <c r="AM782" s="651"/>
      <c r="AN782" s="92"/>
      <c r="AO782" s="92"/>
    </row>
    <row r="783" spans="2:41" s="83" customFormat="1">
      <c r="B783" s="95"/>
      <c r="C783" s="96"/>
      <c r="D783" s="162"/>
      <c r="E783" s="162"/>
      <c r="G783" s="95"/>
      <c r="H783" s="95"/>
      <c r="I783" s="95"/>
      <c r="J783" s="95"/>
      <c r="K783" s="95"/>
      <c r="L783" s="126"/>
      <c r="M783" s="126"/>
      <c r="N783" s="126"/>
      <c r="O783" s="126"/>
      <c r="P783" s="95"/>
      <c r="Q783" s="126"/>
      <c r="R783" s="126"/>
      <c r="S783" s="126"/>
      <c r="T783" s="126"/>
      <c r="U783" s="92"/>
      <c r="V783" s="126"/>
      <c r="W783" s="99"/>
      <c r="X783" s="99"/>
      <c r="Y783" s="99"/>
      <c r="Z783" s="92"/>
      <c r="AA783" s="99"/>
      <c r="AB783" s="99"/>
      <c r="AC783" s="99"/>
      <c r="AD783" s="99"/>
      <c r="AE783" s="92"/>
      <c r="AF783" s="92"/>
      <c r="AG783" s="92"/>
      <c r="AH783" s="92"/>
      <c r="AI783" s="92"/>
      <c r="AJ783" s="92"/>
      <c r="AK783" s="92"/>
      <c r="AL783" s="92"/>
      <c r="AM783" s="651"/>
      <c r="AN783" s="92"/>
      <c r="AO783" s="92"/>
    </row>
    <row r="784" spans="2:41" s="83" customFormat="1">
      <c r="B784" s="95" t="s">
        <v>633</v>
      </c>
      <c r="C784" s="96" t="s">
        <v>225</v>
      </c>
      <c r="D784" s="164" t="s">
        <v>636</v>
      </c>
      <c r="E784" s="162"/>
      <c r="G784" s="95">
        <f>G772+G782</f>
        <v>813.93048617851048</v>
      </c>
      <c r="H784" s="95">
        <f t="shared" ref="H784:AL784" si="688">H772+H782</f>
        <v>1404.3010211334438</v>
      </c>
      <c r="I784" s="95">
        <f t="shared" si="688"/>
        <v>1122.295640866146</v>
      </c>
      <c r="J784" s="95">
        <f t="shared" si="688"/>
        <v>1355.4305514016969</v>
      </c>
      <c r="K784" s="95">
        <f t="shared" si="688"/>
        <v>1757.3334259681289</v>
      </c>
      <c r="L784" s="126">
        <f t="shared" si="688"/>
        <v>368.20391553366511</v>
      </c>
      <c r="M784" s="126">
        <f t="shared" si="688"/>
        <v>257.38857935822642</v>
      </c>
      <c r="N784" s="126">
        <f t="shared" si="688"/>
        <v>533.09368923463092</v>
      </c>
      <c r="O784" s="126">
        <f t="shared" si="688"/>
        <v>524.46605502036925</v>
      </c>
      <c r="P784" s="95">
        <f>P772+P782</f>
        <v>1747.8026758024844</v>
      </c>
      <c r="Q784" s="126">
        <f>Q772+Q782</f>
        <v>318.83411488903988</v>
      </c>
      <c r="R784" s="126">
        <f t="shared" si="688"/>
        <v>217.09604978425</v>
      </c>
      <c r="S784" s="126">
        <f t="shared" si="688"/>
        <v>500.59131598462164</v>
      </c>
      <c r="T784" s="126">
        <f t="shared" si="688"/>
        <v>429.22122261036895</v>
      </c>
      <c r="U784" s="95">
        <f t="shared" si="688"/>
        <v>1493.0892372835833</v>
      </c>
      <c r="V784" s="126">
        <f t="shared" si="688"/>
        <v>225.5883782972422</v>
      </c>
      <c r="W784" s="126">
        <f t="shared" si="688"/>
        <v>147.8241198514167</v>
      </c>
      <c r="X784" s="126">
        <f t="shared" si="688"/>
        <v>475.72358185517834</v>
      </c>
      <c r="Y784" s="126">
        <f>Y772+Y782</f>
        <v>371.13812996235066</v>
      </c>
      <c r="Z784" s="95">
        <f>Z772+Z782</f>
        <v>1220.2742099661878</v>
      </c>
      <c r="AA784" s="126">
        <f>AA772+AA782</f>
        <v>228.40524323777774</v>
      </c>
      <c r="AB784" s="126">
        <f t="shared" si="688"/>
        <v>90.288519883698868</v>
      </c>
      <c r="AC784" s="126">
        <f t="shared" si="688"/>
        <v>424.59392676767681</v>
      </c>
      <c r="AD784" s="126">
        <f t="shared" si="688"/>
        <v>548.56196232323236</v>
      </c>
      <c r="AE784" s="95">
        <f t="shared" si="688"/>
        <v>1291.8496522123858</v>
      </c>
      <c r="AF784" s="95">
        <f t="shared" si="688"/>
        <v>1417.9940826962913</v>
      </c>
      <c r="AG784" s="95">
        <f t="shared" si="688"/>
        <v>1532.5261022603834</v>
      </c>
      <c r="AH784" s="95">
        <f t="shared" si="688"/>
        <v>1503.8024937349903</v>
      </c>
      <c r="AI784" s="95">
        <f t="shared" si="688"/>
        <v>1399.2240318475133</v>
      </c>
      <c r="AJ784" s="95">
        <f t="shared" si="688"/>
        <v>1163.6432435353533</v>
      </c>
      <c r="AK784" s="95">
        <f t="shared" si="688"/>
        <v>1163.6432435353533</v>
      </c>
      <c r="AL784" s="95">
        <f t="shared" si="688"/>
        <v>1163.6432435353533</v>
      </c>
      <c r="AM784" s="651"/>
      <c r="AN784" s="92"/>
      <c r="AO784" s="92"/>
    </row>
    <row r="785" spans="2:41" s="83" customFormat="1">
      <c r="B785" s="95" t="s">
        <v>633</v>
      </c>
      <c r="C785" s="96" t="s">
        <v>225</v>
      </c>
      <c r="D785" s="164" t="s">
        <v>682</v>
      </c>
      <c r="E785" s="162"/>
      <c r="G785" s="95">
        <f>G786-G784</f>
        <v>60.069513821489522</v>
      </c>
      <c r="H785" s="95">
        <f t="shared" ref="H785:AB785" si="689">H786-H784</f>
        <v>-164.30102113344378</v>
      </c>
      <c r="I785" s="95">
        <f t="shared" si="689"/>
        <v>97.704359133854041</v>
      </c>
      <c r="J785" s="95">
        <f t="shared" si="689"/>
        <v>88.569448598303097</v>
      </c>
      <c r="K785" s="95">
        <f t="shared" si="689"/>
        <v>-5.3334259681289495</v>
      </c>
      <c r="L785" s="126">
        <f t="shared" si="689"/>
        <v>-32.203915533665111</v>
      </c>
      <c r="M785" s="126">
        <f t="shared" si="689"/>
        <v>-12.388579358226423</v>
      </c>
      <c r="N785" s="126">
        <f t="shared" si="689"/>
        <v>36.906310765369085</v>
      </c>
      <c r="O785" s="126">
        <f t="shared" si="689"/>
        <v>20.533944979630746</v>
      </c>
      <c r="P785" s="95">
        <f t="shared" si="689"/>
        <v>-51.802675802484373</v>
      </c>
      <c r="Q785" s="126">
        <f>Q786-Q784</f>
        <v>27.165885110960119</v>
      </c>
      <c r="R785" s="126">
        <f t="shared" si="689"/>
        <v>11.903950215750001</v>
      </c>
      <c r="S785" s="126">
        <f t="shared" si="689"/>
        <v>70.408684015378356</v>
      </c>
      <c r="T785" s="126">
        <f t="shared" si="689"/>
        <v>18.778777389631045</v>
      </c>
      <c r="U785" s="95">
        <f t="shared" si="689"/>
        <v>100.91076271641668</v>
      </c>
      <c r="V785" s="126">
        <f t="shared" si="689"/>
        <v>24.411621702757799</v>
      </c>
      <c r="W785" s="126">
        <f t="shared" si="689"/>
        <v>23.175880148583303</v>
      </c>
      <c r="X785" s="126">
        <f t="shared" si="689"/>
        <v>93.276418144821662</v>
      </c>
      <c r="Y785" s="126">
        <f t="shared" si="689"/>
        <v>32.861870037649339</v>
      </c>
      <c r="Z785" s="94">
        <f>SUM(V785:Y785)</f>
        <v>173.7257900338121</v>
      </c>
      <c r="AA785" s="126">
        <f t="shared" si="689"/>
        <v>8.5947567622222607</v>
      </c>
      <c r="AB785" s="126">
        <f t="shared" si="689"/>
        <v>8.7114801163011322</v>
      </c>
      <c r="AC785" s="99"/>
      <c r="AD785" s="99"/>
      <c r="AE785" s="92"/>
      <c r="AF785" s="92"/>
      <c r="AG785" s="92"/>
      <c r="AH785" s="92"/>
      <c r="AI785" s="92"/>
      <c r="AJ785" s="92"/>
      <c r="AK785" s="92"/>
      <c r="AL785" s="92"/>
      <c r="AM785" s="651"/>
      <c r="AN785" s="92"/>
      <c r="AO785" s="92"/>
    </row>
    <row r="786" spans="2:41" s="83" customFormat="1">
      <c r="B786" s="95" t="s">
        <v>633</v>
      </c>
      <c r="C786" s="96" t="s">
        <v>225</v>
      </c>
      <c r="D786" s="173" t="s">
        <v>638</v>
      </c>
      <c r="E786" s="653"/>
      <c r="F786" s="586"/>
      <c r="G786" s="175">
        <v>874</v>
      </c>
      <c r="H786" s="175">
        <v>1240</v>
      </c>
      <c r="I786" s="175">
        <v>1220</v>
      </c>
      <c r="J786" s="175">
        <v>1444</v>
      </c>
      <c r="K786" s="175">
        <v>1752</v>
      </c>
      <c r="L786" s="176">
        <v>336</v>
      </c>
      <c r="M786" s="176">
        <v>245</v>
      </c>
      <c r="N786" s="176">
        <v>570</v>
      </c>
      <c r="O786" s="176">
        <v>545</v>
      </c>
      <c r="P786" s="175">
        <v>1696</v>
      </c>
      <c r="Q786" s="176">
        <v>346</v>
      </c>
      <c r="R786" s="177">
        <v>229</v>
      </c>
      <c r="S786" s="176">
        <v>571</v>
      </c>
      <c r="T786" s="177">
        <v>448</v>
      </c>
      <c r="U786" s="175">
        <v>1594</v>
      </c>
      <c r="V786" s="176">
        <v>250</v>
      </c>
      <c r="W786" s="176">
        <v>171</v>
      </c>
      <c r="X786" s="176">
        <v>569</v>
      </c>
      <c r="Y786" s="176">
        <v>404</v>
      </c>
      <c r="Z786" s="178">
        <f>Z784+Z785</f>
        <v>1393.9999999999998</v>
      </c>
      <c r="AA786" s="176">
        <v>237</v>
      </c>
      <c r="AB786" s="176">
        <v>99</v>
      </c>
      <c r="AC786" s="1014">
        <f t="shared" ref="AC786:AL786" si="690">AC784+AC785</f>
        <v>424.59392676767681</v>
      </c>
      <c r="AD786" s="1014">
        <f t="shared" si="690"/>
        <v>548.56196232323236</v>
      </c>
      <c r="AE786" s="178">
        <f t="shared" si="690"/>
        <v>1291.8496522123858</v>
      </c>
      <c r="AF786" s="178">
        <f t="shared" si="690"/>
        <v>1417.9940826962913</v>
      </c>
      <c r="AG786" s="178">
        <f t="shared" si="690"/>
        <v>1532.5261022603834</v>
      </c>
      <c r="AH786" s="178">
        <f t="shared" si="690"/>
        <v>1503.8024937349903</v>
      </c>
      <c r="AI786" s="178">
        <f t="shared" si="690"/>
        <v>1399.2240318475133</v>
      </c>
      <c r="AJ786" s="178">
        <f t="shared" si="690"/>
        <v>1163.6432435353533</v>
      </c>
      <c r="AK786" s="178">
        <f t="shared" si="690"/>
        <v>1163.6432435353533</v>
      </c>
      <c r="AL786" s="178">
        <f t="shared" si="690"/>
        <v>1163.6432435353533</v>
      </c>
      <c r="AM786" s="651"/>
      <c r="AN786" s="92"/>
      <c r="AO786" s="92"/>
    </row>
    <row r="787" spans="2:41" s="83" customFormat="1">
      <c r="B787" s="95" t="s">
        <v>633</v>
      </c>
      <c r="C787" s="96" t="s">
        <v>225</v>
      </c>
      <c r="D787" s="599" t="s">
        <v>642</v>
      </c>
      <c r="E787" s="162"/>
      <c r="G787" s="90">
        <v>-222</v>
      </c>
      <c r="H787" s="90">
        <v>-252</v>
      </c>
      <c r="I787" s="90">
        <v>-304</v>
      </c>
      <c r="J787" s="90">
        <v>-277</v>
      </c>
      <c r="K787" s="90">
        <v>-242</v>
      </c>
      <c r="L787" s="91">
        <v>-39</v>
      </c>
      <c r="M787" s="91">
        <v>-26</v>
      </c>
      <c r="N787" s="91">
        <v>-105</v>
      </c>
      <c r="O787" s="91">
        <v>-78</v>
      </c>
      <c r="P787" s="90">
        <v>-248</v>
      </c>
      <c r="Q787" s="91">
        <v>-54</v>
      </c>
      <c r="R787" s="91">
        <v>-32</v>
      </c>
      <c r="S787" s="91">
        <v>-123</v>
      </c>
      <c r="T787" s="91">
        <v>-103</v>
      </c>
      <c r="U787" s="90">
        <v>-312</v>
      </c>
      <c r="V787" s="91">
        <v>-54</v>
      </c>
      <c r="W787" s="91">
        <v>-44</v>
      </c>
      <c r="X787" s="91">
        <v>-137</v>
      </c>
      <c r="Y787" s="91">
        <v>-87</v>
      </c>
      <c r="Z787" s="130">
        <f t="shared" ref="Z787:Z794" si="691">SUM(V787:Y787)</f>
        <v>-322</v>
      </c>
      <c r="AA787" s="91">
        <v>-56</v>
      </c>
      <c r="AB787" s="91">
        <v>-20</v>
      </c>
      <c r="AC787" s="126">
        <f>(-AC806*AC800)/1000</f>
        <v>-91.096571871913468</v>
      </c>
      <c r="AD787" s="126">
        <f>(-AD806*AD800)/1000</f>
        <v>-83.808846122160347</v>
      </c>
      <c r="AE787" s="130">
        <f t="shared" ref="AE787:AE794" si="692">SUM(AA787:AD787)</f>
        <v>-250.90541799407379</v>
      </c>
      <c r="AF787" s="95">
        <f>(-AF806*AF800)/1000</f>
        <v>-364.38628748765387</v>
      </c>
      <c r="AG787" s="95">
        <f t="shared" ref="AG787:AL787" si="693">(-AG806*AG800)/1000</f>
        <v>-364.38628748765387</v>
      </c>
      <c r="AH787" s="95">
        <f t="shared" si="693"/>
        <v>-338.35869552425004</v>
      </c>
      <c r="AI787" s="95">
        <f t="shared" si="693"/>
        <v>-338.35869552425004</v>
      </c>
      <c r="AJ787" s="95">
        <f t="shared" si="693"/>
        <v>-338.35869552425004</v>
      </c>
      <c r="AK787" s="95">
        <f t="shared" si="693"/>
        <v>-338.35869552425004</v>
      </c>
      <c r="AL787" s="95">
        <f t="shared" si="693"/>
        <v>-338.35869552425004</v>
      </c>
      <c r="AM787" s="651"/>
      <c r="AN787" s="92"/>
      <c r="AO787" s="92"/>
    </row>
    <row r="788" spans="2:41" s="83" customFormat="1">
      <c r="B788" s="95" t="s">
        <v>633</v>
      </c>
      <c r="C788" s="96" t="s">
        <v>225</v>
      </c>
      <c r="D788" s="599" t="s">
        <v>643</v>
      </c>
      <c r="E788" s="162"/>
      <c r="G788" s="90">
        <v>-109</v>
      </c>
      <c r="H788" s="90">
        <v>-135</v>
      </c>
      <c r="I788" s="90">
        <v>-138</v>
      </c>
      <c r="J788" s="90">
        <v>-136</v>
      </c>
      <c r="K788" s="90">
        <v>-127</v>
      </c>
      <c r="L788" s="91">
        <v>-23</v>
      </c>
      <c r="M788" s="91">
        <v>-17</v>
      </c>
      <c r="N788" s="91">
        <v>-41</v>
      </c>
      <c r="O788" s="91">
        <v>-50</v>
      </c>
      <c r="P788" s="90">
        <v>-131</v>
      </c>
      <c r="Q788" s="91">
        <v>-30</v>
      </c>
      <c r="R788" s="91">
        <v>-22</v>
      </c>
      <c r="S788" s="91">
        <v>-48</v>
      </c>
      <c r="T788" s="91">
        <v>-39</v>
      </c>
      <c r="U788" s="90">
        <v>-139</v>
      </c>
      <c r="V788" s="91">
        <v>-25</v>
      </c>
      <c r="W788" s="91">
        <v>-17</v>
      </c>
      <c r="X788" s="91">
        <v>-46</v>
      </c>
      <c r="Y788" s="91">
        <v>-36</v>
      </c>
      <c r="Z788" s="130">
        <f t="shared" si="691"/>
        <v>-124</v>
      </c>
      <c r="AA788" s="91">
        <v>-20</v>
      </c>
      <c r="AB788" s="91">
        <v>-7</v>
      </c>
      <c r="AC788" s="126">
        <f>(-AC807*AC802)/1000000</f>
        <v>-33.744557329462985</v>
      </c>
      <c r="AD788" s="126">
        <f>(-AD807*AD802)/1000000</f>
        <v>-46.432510885341074</v>
      </c>
      <c r="AE788" s="130">
        <f t="shared" si="692"/>
        <v>-107.17706821480405</v>
      </c>
      <c r="AF788" s="95">
        <f>(-AF807*AF802)/1000000</f>
        <v>-112.48185776487662</v>
      </c>
      <c r="AG788" s="95">
        <f t="shared" ref="AG788:AL788" si="694">(-AG807*AG802)/1000000</f>
        <v>-112.48185776487662</v>
      </c>
      <c r="AH788" s="95">
        <f t="shared" si="694"/>
        <v>-112.48185776487662</v>
      </c>
      <c r="AI788" s="95">
        <f t="shared" si="694"/>
        <v>-112.48185776487662</v>
      </c>
      <c r="AJ788" s="95">
        <f t="shared" si="694"/>
        <v>-112.48185776487662</v>
      </c>
      <c r="AK788" s="95">
        <f t="shared" si="694"/>
        <v>-112.48185776487662</v>
      </c>
      <c r="AL788" s="95">
        <f t="shared" si="694"/>
        <v>-112.48185776487662</v>
      </c>
      <c r="AM788" s="651"/>
      <c r="AN788" s="92"/>
      <c r="AO788" s="92"/>
    </row>
    <row r="789" spans="2:41" s="83" customFormat="1">
      <c r="B789" s="95" t="s">
        <v>633</v>
      </c>
      <c r="C789" s="96" t="s">
        <v>225</v>
      </c>
      <c r="D789" s="599" t="s">
        <v>713</v>
      </c>
      <c r="E789" s="162"/>
      <c r="G789" s="90">
        <v>-125</v>
      </c>
      <c r="H789" s="90">
        <v>-215</v>
      </c>
      <c r="I789" s="90">
        <v>-178</v>
      </c>
      <c r="J789" s="90">
        <v>-282</v>
      </c>
      <c r="K789" s="90">
        <v>-412</v>
      </c>
      <c r="L789" s="91">
        <v>-74</v>
      </c>
      <c r="M789" s="91">
        <v>-22</v>
      </c>
      <c r="N789" s="91">
        <v>-118</v>
      </c>
      <c r="O789" s="91">
        <v>-113</v>
      </c>
      <c r="P789" s="90">
        <v>-327</v>
      </c>
      <c r="Q789" s="91">
        <v>-84</v>
      </c>
      <c r="R789" s="91">
        <v>-10</v>
      </c>
      <c r="S789" s="91">
        <v>-116</v>
      </c>
      <c r="T789" s="91">
        <v>-96</v>
      </c>
      <c r="U789" s="90">
        <v>-306</v>
      </c>
      <c r="V789" s="91">
        <v>-13</v>
      </c>
      <c r="W789" s="91">
        <v>6</v>
      </c>
      <c r="X789" s="91">
        <v>-131</v>
      </c>
      <c r="Y789" s="91">
        <v>-93</v>
      </c>
      <c r="Z789" s="130">
        <f t="shared" si="691"/>
        <v>-231</v>
      </c>
      <c r="AA789" s="91">
        <v>-36</v>
      </c>
      <c r="AB789" s="91">
        <v>-19</v>
      </c>
      <c r="AC789" s="126">
        <f>-(AC786+AC787+AC788+AC790)*0.35</f>
        <v>-85.483145331078859</v>
      </c>
      <c r="AD789" s="126">
        <f>-(AD786+AD787+AD788+AD790)*0.35</f>
        <v>-119.67607252814008</v>
      </c>
      <c r="AE789" s="130">
        <f t="shared" si="692"/>
        <v>-260.15921785921893</v>
      </c>
      <c r="AF789" s="95">
        <f>-(AF786+AF787+AF788+AF790)*0.35</f>
        <v>-264.62629871489543</v>
      </c>
      <c r="AG789" s="95">
        <f t="shared" ref="AG789:AL789" si="695">-(AG786+AG787+AG788+AG790)*0.35</f>
        <v>-304.71250556232764</v>
      </c>
      <c r="AH789" s="95">
        <f t="shared" si="695"/>
        <v>-303.76889976563132</v>
      </c>
      <c r="AI789" s="95">
        <f t="shared" si="695"/>
        <v>-267.16643810501449</v>
      </c>
      <c r="AJ789" s="95">
        <f t="shared" si="695"/>
        <v>-184.7131621957584</v>
      </c>
      <c r="AK789" s="95">
        <f t="shared" si="695"/>
        <v>-184.7131621957584</v>
      </c>
      <c r="AL789" s="95">
        <f t="shared" si="695"/>
        <v>-184.7131621957584</v>
      </c>
      <c r="AM789" s="651"/>
      <c r="AN789" s="92"/>
      <c r="AO789" s="92"/>
    </row>
    <row r="790" spans="2:41" s="83" customFormat="1">
      <c r="B790" s="95" t="s">
        <v>633</v>
      </c>
      <c r="C790" s="96" t="s">
        <v>225</v>
      </c>
      <c r="D790" s="599" t="s">
        <v>644</v>
      </c>
      <c r="E790" s="162"/>
      <c r="G790" s="90">
        <v>-54</v>
      </c>
      <c r="H790" s="90">
        <v>-64</v>
      </c>
      <c r="I790" s="90">
        <v>-63</v>
      </c>
      <c r="J790" s="90">
        <v>-81</v>
      </c>
      <c r="K790" s="90">
        <v>-97</v>
      </c>
      <c r="L790" s="91">
        <v>-19</v>
      </c>
      <c r="M790" s="91">
        <v>-19</v>
      </c>
      <c r="N790" s="91">
        <v>-40</v>
      </c>
      <c r="O790" s="91">
        <v>-48</v>
      </c>
      <c r="P790" s="90">
        <v>-126</v>
      </c>
      <c r="Q790" s="91">
        <v>-29</v>
      </c>
      <c r="R790" s="180">
        <v>-23</v>
      </c>
      <c r="S790" s="91">
        <v>-47</v>
      </c>
      <c r="T790" s="180">
        <v>-42</v>
      </c>
      <c r="U790" s="90">
        <v>-141</v>
      </c>
      <c r="V790" s="91">
        <v>-42</v>
      </c>
      <c r="W790" s="91">
        <v>-36</v>
      </c>
      <c r="X790" s="91">
        <v>-78</v>
      </c>
      <c r="Y790" s="91">
        <v>-48</v>
      </c>
      <c r="Z790" s="130">
        <f t="shared" si="691"/>
        <v>-204</v>
      </c>
      <c r="AA790" s="91">
        <v>-25</v>
      </c>
      <c r="AB790" s="91">
        <v>-14</v>
      </c>
      <c r="AC790" s="97">
        <f>(-AC801*AC810)/1000000</f>
        <v>-55.515239477503627</v>
      </c>
      <c r="AD790" s="97">
        <f>(-AD801*AD810)/1000000</f>
        <v>-76.388969521044984</v>
      </c>
      <c r="AE790" s="130">
        <f t="shared" si="692"/>
        <v>-170.9042089985486</v>
      </c>
      <c r="AF790" s="130">
        <f>(-AF801*AF810)/1000000</f>
        <v>-185.05079825834542</v>
      </c>
      <c r="AG790" s="130">
        <f t="shared" ref="AG790:AL790" si="696">(-AG801*AG810)/1000000</f>
        <v>-185.05079825834542</v>
      </c>
      <c r="AH790" s="130">
        <f t="shared" si="696"/>
        <v>-185.05079825834542</v>
      </c>
      <c r="AI790" s="130">
        <f t="shared" si="696"/>
        <v>-185.05079825834542</v>
      </c>
      <c r="AJ790" s="130">
        <f t="shared" si="696"/>
        <v>-185.05079825834542</v>
      </c>
      <c r="AK790" s="130">
        <f t="shared" si="696"/>
        <v>-185.05079825834542</v>
      </c>
      <c r="AL790" s="130">
        <f t="shared" si="696"/>
        <v>-185.05079825834542</v>
      </c>
      <c r="AM790" s="651"/>
      <c r="AN790" s="92"/>
      <c r="AO790" s="92"/>
    </row>
    <row r="791" spans="2:41" s="83" customFormat="1">
      <c r="B791" s="95" t="s">
        <v>633</v>
      </c>
      <c r="C791" s="96" t="s">
        <v>225</v>
      </c>
      <c r="D791" s="600" t="s">
        <v>645</v>
      </c>
      <c r="E791" s="677"/>
      <c r="F791" s="600"/>
      <c r="G791" s="601">
        <f>G788+G789+G790+G787</f>
        <v>-510</v>
      </c>
      <c r="H791" s="601">
        <f t="shared" ref="H791:V791" si="697">H788+H789+H790+H787</f>
        <v>-666</v>
      </c>
      <c r="I791" s="601">
        <f t="shared" si="697"/>
        <v>-683</v>
      </c>
      <c r="J791" s="601">
        <f t="shared" si="697"/>
        <v>-776</v>
      </c>
      <c r="K791" s="601">
        <f t="shared" si="697"/>
        <v>-878</v>
      </c>
      <c r="L791" s="614">
        <f t="shared" si="697"/>
        <v>-155</v>
      </c>
      <c r="M791" s="614">
        <f t="shared" si="697"/>
        <v>-84</v>
      </c>
      <c r="N791" s="614">
        <f t="shared" si="697"/>
        <v>-304</v>
      </c>
      <c r="O791" s="614">
        <f t="shared" si="697"/>
        <v>-289</v>
      </c>
      <c r="P791" s="601">
        <f t="shared" si="697"/>
        <v>-832</v>
      </c>
      <c r="Q791" s="614">
        <f t="shared" si="697"/>
        <v>-197</v>
      </c>
      <c r="R791" s="614">
        <f t="shared" si="697"/>
        <v>-87</v>
      </c>
      <c r="S791" s="614">
        <f t="shared" si="697"/>
        <v>-334</v>
      </c>
      <c r="T791" s="614">
        <f t="shared" si="697"/>
        <v>-280</v>
      </c>
      <c r="U791" s="601">
        <f t="shared" si="697"/>
        <v>-898</v>
      </c>
      <c r="V791" s="614">
        <f t="shared" si="697"/>
        <v>-134</v>
      </c>
      <c r="W791" s="614">
        <f>W788+W789+W790+W787</f>
        <v>-91</v>
      </c>
      <c r="X791" s="614">
        <f>X788+X789+X790+X787</f>
        <v>-392</v>
      </c>
      <c r="Y791" s="614">
        <f>Y788+Y789+Y790+Y787</f>
        <v>-264</v>
      </c>
      <c r="Z791" s="1021">
        <f t="shared" si="691"/>
        <v>-881</v>
      </c>
      <c r="AA791" s="614">
        <f>AA788+AA789+AA790+AA787</f>
        <v>-137</v>
      </c>
      <c r="AB791" s="614">
        <f>AB788+AB789+AB790+AB787</f>
        <v>-60</v>
      </c>
      <c r="AC791" s="614">
        <f>AC788+AC789+AC790+AC787</f>
        <v>-265.83951400995892</v>
      </c>
      <c r="AD791" s="614">
        <f>AD788+AD789+AD790+AD787</f>
        <v>-326.30639905668647</v>
      </c>
      <c r="AE791" s="1021">
        <f t="shared" si="692"/>
        <v>-789.14591306664533</v>
      </c>
      <c r="AF791" s="601">
        <f t="shared" ref="AF791:AL791" si="698">AF788+AF789+AF790+AF787</f>
        <v>-926.54524222577129</v>
      </c>
      <c r="AG791" s="601">
        <f t="shared" si="698"/>
        <v>-966.63144907320361</v>
      </c>
      <c r="AH791" s="601">
        <f t="shared" si="698"/>
        <v>-939.66025131310346</v>
      </c>
      <c r="AI791" s="601">
        <f t="shared" si="698"/>
        <v>-903.05778965248658</v>
      </c>
      <c r="AJ791" s="601">
        <f t="shared" si="698"/>
        <v>-820.60451374323043</v>
      </c>
      <c r="AK791" s="601">
        <f t="shared" si="698"/>
        <v>-820.60451374323043</v>
      </c>
      <c r="AL791" s="601">
        <f t="shared" si="698"/>
        <v>-820.60451374323043</v>
      </c>
      <c r="AM791" s="651"/>
      <c r="AN791" s="92"/>
      <c r="AO791" s="92"/>
    </row>
    <row r="792" spans="2:41" s="83" customFormat="1">
      <c r="B792" s="95" t="s">
        <v>633</v>
      </c>
      <c r="C792" s="96" t="s">
        <v>225</v>
      </c>
      <c r="D792" s="660" t="s">
        <v>226</v>
      </c>
      <c r="E792" s="677"/>
      <c r="F792" s="600"/>
      <c r="G792" s="601">
        <f>G786+G787+G788+G789</f>
        <v>418</v>
      </c>
      <c r="H792" s="601">
        <f t="shared" ref="H792:V792" si="699">H786+H787+H788+H789</f>
        <v>638</v>
      </c>
      <c r="I792" s="601">
        <f t="shared" si="699"/>
        <v>600</v>
      </c>
      <c r="J792" s="601">
        <f t="shared" si="699"/>
        <v>749</v>
      </c>
      <c r="K792" s="601">
        <f t="shared" si="699"/>
        <v>971</v>
      </c>
      <c r="L792" s="614">
        <f t="shared" si="699"/>
        <v>200</v>
      </c>
      <c r="M792" s="614">
        <f t="shared" si="699"/>
        <v>180</v>
      </c>
      <c r="N792" s="614">
        <f t="shared" si="699"/>
        <v>306</v>
      </c>
      <c r="O792" s="614">
        <f t="shared" si="699"/>
        <v>304</v>
      </c>
      <c r="P792" s="601">
        <f t="shared" si="699"/>
        <v>990</v>
      </c>
      <c r="Q792" s="614">
        <f t="shared" si="699"/>
        <v>178</v>
      </c>
      <c r="R792" s="614">
        <f t="shared" si="699"/>
        <v>165</v>
      </c>
      <c r="S792" s="614">
        <f t="shared" si="699"/>
        <v>284</v>
      </c>
      <c r="T792" s="614">
        <f t="shared" si="699"/>
        <v>210</v>
      </c>
      <c r="U792" s="601">
        <f t="shared" si="699"/>
        <v>837</v>
      </c>
      <c r="V792" s="614">
        <f t="shared" si="699"/>
        <v>158</v>
      </c>
      <c r="W792" s="614">
        <f>W786+W787+W788+W789</f>
        <v>116</v>
      </c>
      <c r="X792" s="614">
        <f>X786+X787+X788+X789</f>
        <v>255</v>
      </c>
      <c r="Y792" s="614">
        <f>Y786+Y787+Y788+Y789</f>
        <v>188</v>
      </c>
      <c r="Z792" s="1021">
        <f t="shared" si="691"/>
        <v>717</v>
      </c>
      <c r="AA792" s="614">
        <f>AA786+AA787+AA788+AA789</f>
        <v>125</v>
      </c>
      <c r="AB792" s="614">
        <f>AB786+AB787+AB788+AB789</f>
        <v>53</v>
      </c>
      <c r="AC792" s="614">
        <f>AC786+AC787+AC788+AC789</f>
        <v>214.26965223522154</v>
      </c>
      <c r="AD792" s="614">
        <f>AD786+AD787+AD788+AD789</f>
        <v>298.64453278759089</v>
      </c>
      <c r="AE792" s="1021">
        <f t="shared" si="692"/>
        <v>690.91418502281249</v>
      </c>
      <c r="AF792" s="601">
        <f t="shared" ref="AF792:AL792" si="700">AF786+AF787+AF788+AF789</f>
        <v>676.49963872886542</v>
      </c>
      <c r="AG792" s="601">
        <f t="shared" si="700"/>
        <v>750.94545144552535</v>
      </c>
      <c r="AH792" s="601">
        <f t="shared" si="700"/>
        <v>749.19304068023223</v>
      </c>
      <c r="AI792" s="601">
        <f t="shared" si="700"/>
        <v>681.21704045337219</v>
      </c>
      <c r="AJ792" s="601">
        <f t="shared" si="700"/>
        <v>528.08952805046829</v>
      </c>
      <c r="AK792" s="601">
        <f t="shared" si="700"/>
        <v>528.08952805046829</v>
      </c>
      <c r="AL792" s="601">
        <f t="shared" si="700"/>
        <v>528.08952805046829</v>
      </c>
      <c r="AM792" s="651"/>
      <c r="AN792" s="92"/>
      <c r="AO792" s="92"/>
    </row>
    <row r="793" spans="2:41" s="83" customFormat="1">
      <c r="B793" s="95" t="s">
        <v>633</v>
      </c>
      <c r="C793" s="96" t="s">
        <v>225</v>
      </c>
      <c r="D793" s="594" t="s">
        <v>178</v>
      </c>
      <c r="E793" s="661"/>
      <c r="F793" s="595"/>
      <c r="G793" s="678">
        <f>G792+G790</f>
        <v>364</v>
      </c>
      <c r="H793" s="678">
        <f t="shared" ref="H793:V793" si="701">H792+H790</f>
        <v>574</v>
      </c>
      <c r="I793" s="678">
        <f t="shared" si="701"/>
        <v>537</v>
      </c>
      <c r="J793" s="678">
        <f t="shared" si="701"/>
        <v>668</v>
      </c>
      <c r="K793" s="678">
        <f t="shared" si="701"/>
        <v>874</v>
      </c>
      <c r="L793" s="679">
        <f t="shared" si="701"/>
        <v>181</v>
      </c>
      <c r="M793" s="679">
        <f t="shared" si="701"/>
        <v>161</v>
      </c>
      <c r="N793" s="679">
        <f t="shared" si="701"/>
        <v>266</v>
      </c>
      <c r="O793" s="679">
        <f t="shared" si="701"/>
        <v>256</v>
      </c>
      <c r="P793" s="678">
        <f t="shared" si="701"/>
        <v>864</v>
      </c>
      <c r="Q793" s="679">
        <f t="shared" si="701"/>
        <v>149</v>
      </c>
      <c r="R793" s="679">
        <f t="shared" si="701"/>
        <v>142</v>
      </c>
      <c r="S793" s="679">
        <f t="shared" si="701"/>
        <v>237</v>
      </c>
      <c r="T793" s="679">
        <f t="shared" si="701"/>
        <v>168</v>
      </c>
      <c r="U793" s="678">
        <f t="shared" si="701"/>
        <v>696</v>
      </c>
      <c r="V793" s="679">
        <f t="shared" si="701"/>
        <v>116</v>
      </c>
      <c r="W793" s="679">
        <f>W792+W790</f>
        <v>80</v>
      </c>
      <c r="X793" s="679">
        <f>X792+X790</f>
        <v>177</v>
      </c>
      <c r="Y793" s="679">
        <f>Y792+Y790</f>
        <v>140</v>
      </c>
      <c r="Z793" s="602">
        <f>SUM(V793:Y793)</f>
        <v>513</v>
      </c>
      <c r="AA793" s="679">
        <f>AA792+AA790</f>
        <v>100</v>
      </c>
      <c r="AB793" s="679">
        <f>AB792+AB790</f>
        <v>39</v>
      </c>
      <c r="AC793" s="679">
        <f>AC792+AC790</f>
        <v>158.75441275771792</v>
      </c>
      <c r="AD793" s="679">
        <f>AD792+AD790</f>
        <v>222.25556326654589</v>
      </c>
      <c r="AE793" s="602">
        <f t="shared" si="692"/>
        <v>520.00997602426378</v>
      </c>
      <c r="AF793" s="678">
        <f t="shared" ref="AF793:AL793" si="702">AF792+AF790</f>
        <v>491.44884047052</v>
      </c>
      <c r="AG793" s="678">
        <f t="shared" si="702"/>
        <v>565.89465318717998</v>
      </c>
      <c r="AH793" s="678">
        <f t="shared" si="702"/>
        <v>564.14224242188675</v>
      </c>
      <c r="AI793" s="678">
        <f t="shared" si="702"/>
        <v>496.16624219502677</v>
      </c>
      <c r="AJ793" s="678">
        <f t="shared" si="702"/>
        <v>343.03872979212287</v>
      </c>
      <c r="AK793" s="678">
        <f t="shared" si="702"/>
        <v>343.03872979212287</v>
      </c>
      <c r="AL793" s="678">
        <f t="shared" si="702"/>
        <v>343.03872979212287</v>
      </c>
      <c r="AM793" s="651"/>
      <c r="AN793" s="92"/>
      <c r="AO793" s="92"/>
    </row>
    <row r="794" spans="2:41" s="83" customFormat="1">
      <c r="B794" s="95" t="s">
        <v>633</v>
      </c>
      <c r="C794" s="96" t="s">
        <v>225</v>
      </c>
      <c r="D794" s="607" t="s">
        <v>261</v>
      </c>
      <c r="E794" s="162"/>
      <c r="G794" s="90">
        <v>42</v>
      </c>
      <c r="H794" s="90">
        <v>47</v>
      </c>
      <c r="I794" s="90">
        <v>66</v>
      </c>
      <c r="J794" s="90">
        <v>44</v>
      </c>
      <c r="K794" s="90">
        <v>25</v>
      </c>
      <c r="L794" s="91">
        <v>5</v>
      </c>
      <c r="M794" s="91">
        <v>4</v>
      </c>
      <c r="N794" s="91">
        <v>6</v>
      </c>
      <c r="O794" s="91">
        <v>24</v>
      </c>
      <c r="P794" s="90">
        <v>39</v>
      </c>
      <c r="Q794" s="91">
        <v>8</v>
      </c>
      <c r="R794" s="91">
        <v>3</v>
      </c>
      <c r="S794" s="91">
        <v>8</v>
      </c>
      <c r="T794" s="91">
        <v>26</v>
      </c>
      <c r="U794" s="113">
        <v>45</v>
      </c>
      <c r="V794" s="91">
        <v>9</v>
      </c>
      <c r="W794" s="91">
        <v>13</v>
      </c>
      <c r="X794" s="91">
        <v>17</v>
      </c>
      <c r="Y794" s="91">
        <v>13</v>
      </c>
      <c r="Z794" s="383">
        <f t="shared" si="691"/>
        <v>52</v>
      </c>
      <c r="AA794" s="91">
        <v>9</v>
      </c>
      <c r="AB794" s="91">
        <v>9</v>
      </c>
      <c r="AC794" s="97">
        <f>(AC809*AC801)/1000000</f>
        <v>14.150943396226415</v>
      </c>
      <c r="AD794" s="97">
        <f>(AD809*AD801)/1000000</f>
        <v>19.471698113207548</v>
      </c>
      <c r="AE794" s="383">
        <f t="shared" si="692"/>
        <v>51.622641509433961</v>
      </c>
      <c r="AF794" s="130">
        <f>(AF809*AF801)/1000000</f>
        <v>47.169811320754725</v>
      </c>
      <c r="AG794" s="130">
        <f t="shared" ref="AG794:AL794" si="703">(AG809*AG801)/1000000</f>
        <v>47.169811320754725</v>
      </c>
      <c r="AH794" s="130">
        <f t="shared" si="703"/>
        <v>47.169811320754725</v>
      </c>
      <c r="AI794" s="130">
        <f t="shared" si="703"/>
        <v>47.169811320754725</v>
      </c>
      <c r="AJ794" s="130">
        <f t="shared" si="703"/>
        <v>47.169811320754725</v>
      </c>
      <c r="AK794" s="130">
        <f t="shared" si="703"/>
        <v>47.169811320754725</v>
      </c>
      <c r="AL794" s="130">
        <f t="shared" si="703"/>
        <v>47.169811320754725</v>
      </c>
      <c r="AM794" s="651"/>
      <c r="AN794" s="92"/>
      <c r="AO794" s="92"/>
    </row>
    <row r="795" spans="2:41" s="83" customFormat="1">
      <c r="B795" s="95"/>
      <c r="C795" s="96"/>
      <c r="D795" s="162"/>
      <c r="E795" s="162"/>
      <c r="G795" s="95"/>
      <c r="H795" s="95"/>
      <c r="I795" s="95"/>
      <c r="J795" s="95"/>
      <c r="K795" s="95"/>
      <c r="L795" s="126"/>
      <c r="M795" s="126"/>
      <c r="N795" s="126"/>
      <c r="O795" s="126"/>
      <c r="P795" s="95"/>
      <c r="Q795" s="126"/>
      <c r="R795" s="126"/>
      <c r="S795" s="126"/>
      <c r="T795" s="126"/>
      <c r="U795" s="100"/>
      <c r="V795" s="126"/>
      <c r="W795" s="126"/>
      <c r="X795" s="126"/>
      <c r="Y795" s="126"/>
      <c r="Z795" s="92"/>
      <c r="AA795" s="99"/>
      <c r="AB795" s="99"/>
      <c r="AC795" s="99"/>
      <c r="AD795" s="99"/>
      <c r="AE795" s="92"/>
      <c r="AF795" s="92"/>
      <c r="AG795" s="92"/>
      <c r="AH795" s="92"/>
      <c r="AI795" s="92"/>
      <c r="AJ795" s="92"/>
      <c r="AK795" s="92"/>
      <c r="AL795" s="92"/>
      <c r="AM795" s="651"/>
      <c r="AN795" s="92"/>
      <c r="AO795" s="92"/>
    </row>
    <row r="796" spans="2:41" s="83" customFormat="1">
      <c r="B796" s="95"/>
      <c r="C796" s="96"/>
      <c r="D796" s="162"/>
      <c r="E796" s="162"/>
      <c r="G796" s="95"/>
      <c r="H796" s="95"/>
      <c r="I796" s="95"/>
      <c r="J796" s="95"/>
      <c r="K796" s="95"/>
      <c r="L796" s="126"/>
      <c r="M796" s="126"/>
      <c r="N796" s="126"/>
      <c r="O796" s="126"/>
      <c r="P796" s="95"/>
      <c r="Q796" s="126"/>
      <c r="R796" s="126"/>
      <c r="S796" s="126"/>
      <c r="T796" s="126"/>
      <c r="U796" s="92"/>
      <c r="V796" s="126"/>
      <c r="W796" s="126"/>
      <c r="X796" s="126"/>
      <c r="Y796" s="126"/>
      <c r="Z796" s="92"/>
      <c r="AA796" s="99"/>
      <c r="AB796" s="99"/>
      <c r="AC796" s="99"/>
      <c r="AD796" s="99"/>
      <c r="AE796" s="92"/>
      <c r="AF796" s="92"/>
      <c r="AG796" s="92"/>
      <c r="AH796" s="92"/>
      <c r="AI796" s="92"/>
      <c r="AJ796" s="92"/>
      <c r="AK796" s="92"/>
      <c r="AL796" s="92"/>
      <c r="AM796" s="651"/>
      <c r="AN796" s="92"/>
      <c r="AO796" s="92"/>
    </row>
    <row r="797" spans="2:41" s="83" customFormat="1">
      <c r="B797" s="95"/>
      <c r="C797" s="96"/>
      <c r="D797" s="162"/>
      <c r="E797" s="162"/>
      <c r="G797" s="95"/>
      <c r="H797" s="95"/>
      <c r="I797" s="95"/>
      <c r="J797" s="95"/>
      <c r="K797" s="95"/>
      <c r="L797" s="126"/>
      <c r="M797" s="126"/>
      <c r="N797" s="126"/>
      <c r="O797" s="126"/>
      <c r="P797" s="95"/>
      <c r="Q797" s="126"/>
      <c r="R797" s="126"/>
      <c r="S797" s="126"/>
      <c r="T797" s="126"/>
      <c r="U797" s="92"/>
      <c r="V797" s="126"/>
      <c r="W797" s="126"/>
      <c r="X797" s="126"/>
      <c r="Y797" s="126"/>
      <c r="Z797" s="92"/>
      <c r="AA797" s="99"/>
      <c r="AB797" s="99"/>
      <c r="AC797" s="99"/>
      <c r="AD797" s="99"/>
      <c r="AE797" s="92"/>
      <c r="AF797" s="92"/>
      <c r="AG797" s="92"/>
      <c r="AH797" s="92"/>
      <c r="AI797" s="92"/>
      <c r="AJ797" s="92"/>
      <c r="AK797" s="92"/>
      <c r="AL797" s="92"/>
      <c r="AM797" s="651"/>
      <c r="AN797" s="92"/>
      <c r="AO797" s="92"/>
    </row>
    <row r="798" spans="2:41" s="83" customFormat="1">
      <c r="B798" s="95"/>
      <c r="C798" s="96"/>
      <c r="D798" s="554" t="s">
        <v>646</v>
      </c>
      <c r="E798" s="653"/>
      <c r="F798" s="586"/>
      <c r="G798" s="605"/>
      <c r="H798" s="605"/>
      <c r="I798" s="605"/>
      <c r="J798" s="605"/>
      <c r="K798" s="605"/>
      <c r="L798" s="182"/>
      <c r="M798" s="182"/>
      <c r="N798" s="182"/>
      <c r="O798" s="182"/>
      <c r="P798" s="605"/>
      <c r="Q798" s="182"/>
      <c r="R798" s="182"/>
      <c r="S798" s="182"/>
      <c r="T798" s="182"/>
      <c r="U798" s="588"/>
      <c r="V798" s="182"/>
      <c r="W798" s="182"/>
      <c r="X798" s="182"/>
      <c r="Y798" s="182"/>
      <c r="Z798" s="588"/>
      <c r="AA798" s="705"/>
      <c r="AB798" s="705"/>
      <c r="AC798" s="705"/>
      <c r="AD798" s="705"/>
      <c r="AE798" s="588"/>
      <c r="AF798" s="588"/>
      <c r="AG798" s="588"/>
      <c r="AH798" s="588"/>
      <c r="AI798" s="588"/>
      <c r="AJ798" s="588"/>
      <c r="AK798" s="588"/>
      <c r="AL798" s="588"/>
      <c r="AM798" s="651"/>
      <c r="AN798" s="92"/>
      <c r="AO798" s="92"/>
    </row>
    <row r="799" spans="2:41" s="83" customFormat="1">
      <c r="B799" s="95" t="s">
        <v>649</v>
      </c>
      <c r="C799" s="96"/>
      <c r="D799" s="203" t="s">
        <v>657</v>
      </c>
      <c r="E799" s="162"/>
      <c r="G799" s="90">
        <v>12343</v>
      </c>
      <c r="H799" s="90">
        <v>12930</v>
      </c>
      <c r="I799" s="90">
        <v>12496</v>
      </c>
      <c r="J799" s="90">
        <v>13704</v>
      </c>
      <c r="K799" s="90">
        <v>11726</v>
      </c>
      <c r="L799" s="91">
        <v>2903</v>
      </c>
      <c r="M799" s="91">
        <v>2765</v>
      </c>
      <c r="N799" s="91">
        <v>3080</v>
      </c>
      <c r="O799" s="91">
        <v>2721</v>
      </c>
      <c r="P799" s="90">
        <v>11469</v>
      </c>
      <c r="Q799" s="91">
        <v>2132</v>
      </c>
      <c r="R799" s="91">
        <v>2127</v>
      </c>
      <c r="S799" s="91">
        <v>2741</v>
      </c>
      <c r="T799" s="91">
        <v>3856</v>
      </c>
      <c r="U799" s="146">
        <v>10856</v>
      </c>
      <c r="V799" s="91">
        <v>2743</v>
      </c>
      <c r="W799" s="91">
        <v>2734</v>
      </c>
      <c r="X799" s="91">
        <v>3056</v>
      </c>
      <c r="Y799" s="91">
        <v>2721</v>
      </c>
      <c r="Z799" s="146">
        <v>11254</v>
      </c>
      <c r="AA799" s="91">
        <v>1964</v>
      </c>
      <c r="AB799" s="91">
        <v>2577</v>
      </c>
      <c r="AC799" s="126">
        <f>AC800/0.4</f>
        <v>2967.7113010446342</v>
      </c>
      <c r="AD799" s="126">
        <f>AD800/0.4</f>
        <v>2730.2943969610624</v>
      </c>
      <c r="AE799" s="95">
        <f>SUM(AA799:AD799)</f>
        <v>10239.005698005696</v>
      </c>
      <c r="AF799" s="95">
        <f>AF800/0.4</f>
        <v>11870.845204178537</v>
      </c>
      <c r="AG799" s="95">
        <f t="shared" ref="AG799:AL799" si="704">AG800/0.4</f>
        <v>11870.845204178537</v>
      </c>
      <c r="AH799" s="95">
        <f t="shared" si="704"/>
        <v>11022.927689594355</v>
      </c>
      <c r="AI799" s="95">
        <f t="shared" si="704"/>
        <v>11022.927689594355</v>
      </c>
      <c r="AJ799" s="95">
        <f t="shared" si="704"/>
        <v>11022.927689594355</v>
      </c>
      <c r="AK799" s="95">
        <f t="shared" si="704"/>
        <v>11022.927689594355</v>
      </c>
      <c r="AL799" s="95">
        <f t="shared" si="704"/>
        <v>11022.927689594355</v>
      </c>
      <c r="AM799" s="651"/>
      <c r="AN799" s="92"/>
      <c r="AO799" s="92"/>
    </row>
    <row r="800" spans="2:41" s="83" customFormat="1">
      <c r="B800" s="95" t="s">
        <v>649</v>
      </c>
      <c r="C800" s="96"/>
      <c r="D800" s="163" t="s">
        <v>614</v>
      </c>
      <c r="E800" s="162"/>
      <c r="G800" s="95">
        <f>G742</f>
        <v>3853</v>
      </c>
      <c r="H800" s="95">
        <f t="shared" ref="H800:U800" si="705">H742</f>
        <v>4300</v>
      </c>
      <c r="I800" s="95">
        <f t="shared" si="705"/>
        <v>4026</v>
      </c>
      <c r="J800" s="95">
        <f t="shared" si="705"/>
        <v>4250</v>
      </c>
      <c r="K800" s="95">
        <f t="shared" si="705"/>
        <v>4270</v>
      </c>
      <c r="L800" s="126">
        <f t="shared" si="705"/>
        <v>913</v>
      </c>
      <c r="M800" s="126">
        <f t="shared" si="705"/>
        <v>1112</v>
      </c>
      <c r="N800" s="126">
        <f t="shared" si="705"/>
        <v>1108</v>
      </c>
      <c r="O800" s="126">
        <f t="shared" si="705"/>
        <v>1296</v>
      </c>
      <c r="P800" s="95">
        <f t="shared" si="705"/>
        <v>4429</v>
      </c>
      <c r="Q800" s="126">
        <f t="shared" si="705"/>
        <v>887</v>
      </c>
      <c r="R800" s="126">
        <f t="shared" si="705"/>
        <v>1197</v>
      </c>
      <c r="S800" s="126">
        <f t="shared" si="705"/>
        <v>1169</v>
      </c>
      <c r="T800" s="126">
        <f t="shared" si="705"/>
        <v>1003</v>
      </c>
      <c r="U800" s="95">
        <f t="shared" si="705"/>
        <v>4256</v>
      </c>
      <c r="V800" s="126">
        <f>V742</f>
        <v>1136</v>
      </c>
      <c r="W800" s="126">
        <f>W742</f>
        <v>859</v>
      </c>
      <c r="X800" s="126">
        <f>X742</f>
        <v>1091</v>
      </c>
      <c r="Y800" s="126">
        <f>Y742</f>
        <v>1110</v>
      </c>
      <c r="Z800" s="95">
        <f>SUM(V800:Y800)</f>
        <v>4196</v>
      </c>
      <c r="AA800" s="126">
        <f>AA742</f>
        <v>1114</v>
      </c>
      <c r="AB800" s="126">
        <f>AB742</f>
        <v>1191</v>
      </c>
      <c r="AC800" s="126">
        <f>AC742</f>
        <v>1187.0845204178538</v>
      </c>
      <c r="AD800" s="126">
        <f>AD742</f>
        <v>1092.117758784425</v>
      </c>
      <c r="AE800" s="95">
        <f>SUM(AA800:AD800)</f>
        <v>4584.202279202279</v>
      </c>
      <c r="AF800" s="95">
        <f t="shared" ref="AF800:AL800" si="706">AF742</f>
        <v>4748.3380816714152</v>
      </c>
      <c r="AG800" s="95">
        <f t="shared" si="706"/>
        <v>4748.3380816714152</v>
      </c>
      <c r="AH800" s="95">
        <f t="shared" si="706"/>
        <v>4409.1710758377421</v>
      </c>
      <c r="AI800" s="95">
        <f t="shared" si="706"/>
        <v>4409.1710758377421</v>
      </c>
      <c r="AJ800" s="95">
        <f t="shared" si="706"/>
        <v>4409.1710758377421</v>
      </c>
      <c r="AK800" s="95">
        <f t="shared" si="706"/>
        <v>4409.1710758377421</v>
      </c>
      <c r="AL800" s="95">
        <f t="shared" si="706"/>
        <v>4409.1710758377421</v>
      </c>
      <c r="AM800" s="651"/>
      <c r="AN800" s="92"/>
      <c r="AO800" s="92"/>
    </row>
    <row r="801" spans="2:41" s="83" customFormat="1">
      <c r="B801" s="95" t="s">
        <v>650</v>
      </c>
      <c r="C801" s="96"/>
      <c r="D801" s="163" t="s">
        <v>714</v>
      </c>
      <c r="E801" s="162"/>
      <c r="G801" s="95">
        <f>G757*1000</f>
        <v>504000</v>
      </c>
      <c r="H801" s="95">
        <f t="shared" ref="H801:U801" si="707">H757*1000</f>
        <v>594000</v>
      </c>
      <c r="I801" s="95">
        <f t="shared" si="707"/>
        <v>613000</v>
      </c>
      <c r="J801" s="95">
        <f t="shared" si="707"/>
        <v>600000</v>
      </c>
      <c r="K801" s="95">
        <f t="shared" si="707"/>
        <v>533700</v>
      </c>
      <c r="L801" s="126">
        <f t="shared" si="707"/>
        <v>111200</v>
      </c>
      <c r="M801" s="126">
        <f t="shared" si="707"/>
        <v>83800</v>
      </c>
      <c r="N801" s="126">
        <f t="shared" si="707"/>
        <v>150500</v>
      </c>
      <c r="O801" s="126">
        <f t="shared" si="707"/>
        <v>175700</v>
      </c>
      <c r="P801" s="95">
        <f>P757*1000</f>
        <v>521200.00000000006</v>
      </c>
      <c r="Q801" s="126">
        <f t="shared" si="707"/>
        <v>130500</v>
      </c>
      <c r="R801" s="126">
        <f t="shared" si="707"/>
        <v>86200</v>
      </c>
      <c r="S801" s="126">
        <f t="shared" si="707"/>
        <v>170900</v>
      </c>
      <c r="T801" s="126">
        <f t="shared" si="707"/>
        <v>173600</v>
      </c>
      <c r="U801" s="95">
        <f t="shared" si="707"/>
        <v>561200</v>
      </c>
      <c r="V801" s="126">
        <f>V757*1000</f>
        <v>133900</v>
      </c>
      <c r="W801" s="126">
        <f>W757*1000</f>
        <v>92800</v>
      </c>
      <c r="X801" s="126">
        <f>X757*1000</f>
        <v>175300</v>
      </c>
      <c r="Y801" s="126">
        <f>Y757*1000</f>
        <v>149200</v>
      </c>
      <c r="Z801" s="95">
        <f>SUM(V801:Y801)</f>
        <v>551200</v>
      </c>
      <c r="AA801" s="126">
        <f>AA757*1000</f>
        <v>104300</v>
      </c>
      <c r="AB801" s="126">
        <f>AB757*1000</f>
        <v>39300</v>
      </c>
      <c r="AC801" s="126">
        <f>AC757*1000</f>
        <v>150000</v>
      </c>
      <c r="AD801" s="126">
        <f>AD757*1000</f>
        <v>206400</v>
      </c>
      <c r="AE801" s="95">
        <f>SUM(AA801:AD801)</f>
        <v>500000</v>
      </c>
      <c r="AF801" s="95">
        <f t="shared" ref="AF801:AL801" si="708">AF757*1000</f>
        <v>500000</v>
      </c>
      <c r="AG801" s="95">
        <f t="shared" si="708"/>
        <v>500000</v>
      </c>
      <c r="AH801" s="95">
        <f t="shared" si="708"/>
        <v>500000</v>
      </c>
      <c r="AI801" s="95">
        <f t="shared" si="708"/>
        <v>500000</v>
      </c>
      <c r="AJ801" s="95">
        <f t="shared" si="708"/>
        <v>500000</v>
      </c>
      <c r="AK801" s="95">
        <f t="shared" si="708"/>
        <v>500000</v>
      </c>
      <c r="AL801" s="95">
        <f t="shared" si="708"/>
        <v>500000</v>
      </c>
      <c r="AM801" s="651"/>
      <c r="AN801" s="92"/>
      <c r="AO801" s="92"/>
    </row>
    <row r="802" spans="2:41" s="83" customFormat="1">
      <c r="B802" s="95" t="s">
        <v>650</v>
      </c>
      <c r="C802" s="96"/>
      <c r="D802" s="163" t="s">
        <v>715</v>
      </c>
      <c r="E802" s="162"/>
      <c r="G802" s="95">
        <f>G801/0.54</f>
        <v>933333.33333333326</v>
      </c>
      <c r="H802" s="95">
        <f t="shared" ref="H802:V802" si="709">H801/0.54</f>
        <v>1100000</v>
      </c>
      <c r="I802" s="95">
        <f t="shared" si="709"/>
        <v>1135185.1851851852</v>
      </c>
      <c r="J802" s="95">
        <f t="shared" si="709"/>
        <v>1111111.111111111</v>
      </c>
      <c r="K802" s="95">
        <f t="shared" si="709"/>
        <v>988333.33333333326</v>
      </c>
      <c r="L802" s="126">
        <f t="shared" si="709"/>
        <v>205925.9259259259</v>
      </c>
      <c r="M802" s="126">
        <f t="shared" si="709"/>
        <v>155185.18518518517</v>
      </c>
      <c r="N802" s="126">
        <f t="shared" si="709"/>
        <v>278703.70370370371</v>
      </c>
      <c r="O802" s="126">
        <f t="shared" si="709"/>
        <v>325370.37037037034</v>
      </c>
      <c r="P802" s="95">
        <f>P801/0.54</f>
        <v>965185.18518518528</v>
      </c>
      <c r="Q802" s="126">
        <f t="shared" si="709"/>
        <v>241666.66666666666</v>
      </c>
      <c r="R802" s="126">
        <f t="shared" si="709"/>
        <v>159629.62962962961</v>
      </c>
      <c r="S802" s="126">
        <f t="shared" si="709"/>
        <v>316481.48148148146</v>
      </c>
      <c r="T802" s="126">
        <f t="shared" si="709"/>
        <v>321481.48148148146</v>
      </c>
      <c r="U802" s="95">
        <f t="shared" si="709"/>
        <v>1039259.2592592592</v>
      </c>
      <c r="V802" s="126">
        <f t="shared" si="709"/>
        <v>247962.96296296295</v>
      </c>
      <c r="W802" s="126">
        <f>W801/0.54</f>
        <v>171851.85185185185</v>
      </c>
      <c r="X802" s="126">
        <f>X801/0.54</f>
        <v>324629.62962962961</v>
      </c>
      <c r="Y802" s="126">
        <f>Y801/0.54</f>
        <v>276296.29629629629</v>
      </c>
      <c r="Z802" s="95">
        <f>SUM(V802:Y802)</f>
        <v>1020740.7407407408</v>
      </c>
      <c r="AA802" s="126">
        <f t="shared" ref="AA802" si="710">AA801/0.54</f>
        <v>193148.14814814815</v>
      </c>
      <c r="AB802" s="126">
        <f>AB801/0.54</f>
        <v>72777.777777777766</v>
      </c>
      <c r="AC802" s="126">
        <f>AC801/0.54</f>
        <v>277777.77777777775</v>
      </c>
      <c r="AD802" s="126">
        <f>AD801/0.54</f>
        <v>382222.22222222219</v>
      </c>
      <c r="AE802" s="95">
        <f>SUM(AA802:AD802)</f>
        <v>925925.92592592584</v>
      </c>
      <c r="AF802" s="95">
        <f t="shared" ref="AF802:AL802" si="711">AF801/0.54</f>
        <v>925925.92592592584</v>
      </c>
      <c r="AG802" s="95">
        <f t="shared" si="711"/>
        <v>925925.92592592584</v>
      </c>
      <c r="AH802" s="95">
        <f t="shared" si="711"/>
        <v>925925.92592592584</v>
      </c>
      <c r="AI802" s="95">
        <f t="shared" si="711"/>
        <v>925925.92592592584</v>
      </c>
      <c r="AJ802" s="95">
        <f t="shared" si="711"/>
        <v>925925.92592592584</v>
      </c>
      <c r="AK802" s="95">
        <f t="shared" si="711"/>
        <v>925925.92592592584</v>
      </c>
      <c r="AL802" s="95">
        <f t="shared" si="711"/>
        <v>925925.92592592584</v>
      </c>
      <c r="AM802" s="651"/>
      <c r="AN802" s="92"/>
      <c r="AO802" s="92"/>
    </row>
    <row r="803" spans="2:41" s="83" customFormat="1">
      <c r="B803" s="95"/>
      <c r="C803" s="96"/>
      <c r="D803" s="163"/>
      <c r="E803" s="162"/>
      <c r="G803" s="95"/>
      <c r="H803" s="95"/>
      <c r="I803" s="95"/>
      <c r="J803" s="95"/>
      <c r="K803" s="95"/>
      <c r="L803" s="126"/>
      <c r="M803" s="126"/>
      <c r="N803" s="126"/>
      <c r="O803" s="126"/>
      <c r="P803" s="95"/>
      <c r="Q803" s="126"/>
      <c r="R803" s="126"/>
      <c r="S803" s="126"/>
      <c r="T803" s="126"/>
      <c r="U803" s="92"/>
      <c r="V803" s="126"/>
      <c r="W803" s="126"/>
      <c r="X803" s="126"/>
      <c r="Y803" s="126"/>
      <c r="Z803" s="92"/>
      <c r="AA803" s="99"/>
      <c r="AB803" s="99"/>
      <c r="AC803" s="99"/>
      <c r="AD803" s="99"/>
      <c r="AE803" s="92"/>
      <c r="AF803" s="92"/>
      <c r="AG803" s="92"/>
      <c r="AH803" s="92"/>
      <c r="AI803" s="92"/>
      <c r="AJ803" s="92"/>
      <c r="AK803" s="92"/>
      <c r="AL803" s="92"/>
      <c r="AM803" s="651"/>
      <c r="AN803" s="92"/>
      <c r="AO803" s="92"/>
    </row>
    <row r="804" spans="2:41" s="83" customFormat="1">
      <c r="B804" s="95"/>
      <c r="C804" s="96"/>
      <c r="D804" s="163"/>
      <c r="E804" s="162"/>
      <c r="G804" s="95"/>
      <c r="H804" s="95"/>
      <c r="I804" s="95"/>
      <c r="J804" s="95"/>
      <c r="K804" s="95"/>
      <c r="L804" s="126"/>
      <c r="M804" s="126"/>
      <c r="N804" s="126"/>
      <c r="O804" s="126"/>
      <c r="P804" s="95"/>
      <c r="Q804" s="126"/>
      <c r="R804" s="126"/>
      <c r="S804" s="126"/>
      <c r="T804" s="126"/>
      <c r="U804" s="92"/>
      <c r="V804" s="126"/>
      <c r="W804" s="126"/>
      <c r="X804" s="126"/>
      <c r="Y804" s="126"/>
      <c r="Z804" s="92"/>
      <c r="AA804" s="99"/>
      <c r="AB804" s="99"/>
      <c r="AC804" s="99"/>
      <c r="AD804" s="99"/>
      <c r="AE804" s="92"/>
      <c r="AF804" s="92"/>
      <c r="AG804" s="92"/>
      <c r="AH804" s="92"/>
      <c r="AI804" s="92"/>
      <c r="AJ804" s="92"/>
      <c r="AK804" s="92"/>
      <c r="AL804" s="92"/>
      <c r="AM804" s="651"/>
      <c r="AN804" s="92"/>
      <c r="AO804" s="92"/>
    </row>
    <row r="805" spans="2:41" s="83" customFormat="1">
      <c r="B805" s="95"/>
      <c r="C805" s="96"/>
      <c r="D805" s="554" t="s">
        <v>651</v>
      </c>
      <c r="E805" s="653"/>
      <c r="F805" s="586"/>
      <c r="G805" s="605"/>
      <c r="H805" s="605"/>
      <c r="I805" s="605"/>
      <c r="J805" s="605"/>
      <c r="K805" s="605"/>
      <c r="L805" s="182"/>
      <c r="M805" s="182"/>
      <c r="N805" s="182"/>
      <c r="O805" s="182"/>
      <c r="P805" s="605"/>
      <c r="Q805" s="182"/>
      <c r="R805" s="182"/>
      <c r="S805" s="182"/>
      <c r="T805" s="182"/>
      <c r="U805" s="588"/>
      <c r="V805" s="182"/>
      <c r="W805" s="182"/>
      <c r="X805" s="182"/>
      <c r="Y805" s="182"/>
      <c r="Z805" s="588"/>
      <c r="AA805" s="705"/>
      <c r="AB805" s="705"/>
      <c r="AC805" s="705"/>
      <c r="AD805" s="705"/>
      <c r="AE805" s="306"/>
      <c r="AF805" s="588"/>
      <c r="AG805" s="588"/>
      <c r="AH805" s="588"/>
      <c r="AI805" s="588"/>
      <c r="AJ805" s="588"/>
      <c r="AK805" s="588"/>
      <c r="AL805" s="588"/>
      <c r="AM805" s="651"/>
      <c r="AN805" s="92"/>
      <c r="AO805" s="92"/>
    </row>
    <row r="806" spans="2:41" s="83" customFormat="1">
      <c r="B806" s="95"/>
      <c r="C806" s="96"/>
      <c r="D806" s="163" t="s">
        <v>652</v>
      </c>
      <c r="E806" s="162"/>
      <c r="G806" s="603">
        <f>(-G787*1000000)/(G800*1000)</f>
        <v>57.617440955099923</v>
      </c>
      <c r="H806" s="603">
        <f t="shared" ref="H806:U806" si="712">(-H787*1000000)/(H800*1000)</f>
        <v>58.604651162790695</v>
      </c>
      <c r="I806" s="603">
        <f t="shared" si="712"/>
        <v>75.50919026328863</v>
      </c>
      <c r="J806" s="603">
        <f t="shared" si="712"/>
        <v>65.17647058823529</v>
      </c>
      <c r="K806" s="603">
        <f t="shared" si="712"/>
        <v>56.674473067915692</v>
      </c>
      <c r="L806" s="616">
        <f t="shared" si="712"/>
        <v>42.716319824753562</v>
      </c>
      <c r="M806" s="616">
        <f t="shared" si="712"/>
        <v>23.381294964028775</v>
      </c>
      <c r="N806" s="616">
        <f t="shared" si="712"/>
        <v>94.765342960288805</v>
      </c>
      <c r="O806" s="616">
        <f t="shared" si="712"/>
        <v>60.185185185185183</v>
      </c>
      <c r="P806" s="603">
        <f t="shared" si="712"/>
        <v>55.994581169564235</v>
      </c>
      <c r="Q806" s="616">
        <f t="shared" si="712"/>
        <v>60.879368658399095</v>
      </c>
      <c r="R806" s="616">
        <f t="shared" si="712"/>
        <v>26.733500417710943</v>
      </c>
      <c r="S806" s="616">
        <f t="shared" si="712"/>
        <v>105.21813515825492</v>
      </c>
      <c r="T806" s="616">
        <f t="shared" si="712"/>
        <v>102.69192422731804</v>
      </c>
      <c r="U806" s="603">
        <f t="shared" si="712"/>
        <v>73.308270676691734</v>
      </c>
      <c r="V806" s="616">
        <f>(-V787*1000000)/(V800*1000)</f>
        <v>47.535211267605632</v>
      </c>
      <c r="W806" s="616">
        <f>(-W787*1000000)/(W800*1000)</f>
        <v>51.222351571594878</v>
      </c>
      <c r="X806" s="616">
        <f>(-X787*1000000)/(X800*1000)</f>
        <v>125.57286892758937</v>
      </c>
      <c r="Y806" s="616">
        <f>(-Y787*1000000)/(Y800*1000)</f>
        <v>78.378378378378372</v>
      </c>
      <c r="Z806" s="603">
        <f t="shared" ref="Z806" si="713">(-Z787*1000000)/(Z800*1000)</f>
        <v>76.73975214489991</v>
      </c>
      <c r="AA806" s="616">
        <f>(-AA787*1000000)/(AA800*1000)</f>
        <v>50.269299820466784</v>
      </c>
      <c r="AB806" s="616">
        <f>(-AB787*1000000)/(AB800*1000)</f>
        <v>16.792611251049539</v>
      </c>
      <c r="AC806" s="616">
        <f>AE806</f>
        <v>76.73975214489991</v>
      </c>
      <c r="AD806" s="616">
        <f>AE806</f>
        <v>76.73975214489991</v>
      </c>
      <c r="AE806" s="1192">
        <f>Z806</f>
        <v>76.73975214489991</v>
      </c>
      <c r="AF806" s="704">
        <f>AE806</f>
        <v>76.73975214489991</v>
      </c>
      <c r="AG806" s="704">
        <f t="shared" ref="AG806:AL806" si="714">AF806</f>
        <v>76.73975214489991</v>
      </c>
      <c r="AH806" s="704">
        <f t="shared" si="714"/>
        <v>76.73975214489991</v>
      </c>
      <c r="AI806" s="704">
        <f t="shared" si="714"/>
        <v>76.73975214489991</v>
      </c>
      <c r="AJ806" s="704">
        <f t="shared" si="714"/>
        <v>76.73975214489991</v>
      </c>
      <c r="AK806" s="704">
        <f t="shared" si="714"/>
        <v>76.73975214489991</v>
      </c>
      <c r="AL806" s="704">
        <f t="shared" si="714"/>
        <v>76.73975214489991</v>
      </c>
      <c r="AM806" s="651"/>
      <c r="AN806" s="92"/>
      <c r="AO806" s="92"/>
    </row>
    <row r="807" spans="2:41" s="83" customFormat="1">
      <c r="B807" s="95"/>
      <c r="C807" s="96"/>
      <c r="D807" s="163" t="s">
        <v>653</v>
      </c>
      <c r="E807" s="162"/>
      <c r="G807" s="603">
        <f t="shared" ref="G807:V807" si="715">(-G788*1000000)/G802</f>
        <v>116.78571428571429</v>
      </c>
      <c r="H807" s="603">
        <f t="shared" si="715"/>
        <v>122.72727272727273</v>
      </c>
      <c r="I807" s="603">
        <f t="shared" si="715"/>
        <v>121.56606851549755</v>
      </c>
      <c r="J807" s="603">
        <f t="shared" si="715"/>
        <v>122.4</v>
      </c>
      <c r="K807" s="603">
        <f t="shared" si="715"/>
        <v>128.49915682967961</v>
      </c>
      <c r="L807" s="616">
        <f t="shared" si="715"/>
        <v>111.6906474820144</v>
      </c>
      <c r="M807" s="616">
        <f t="shared" si="715"/>
        <v>109.54653937947495</v>
      </c>
      <c r="N807" s="616">
        <f t="shared" si="715"/>
        <v>147.10963455149502</v>
      </c>
      <c r="O807" s="616">
        <f t="shared" si="715"/>
        <v>153.67103016505408</v>
      </c>
      <c r="P807" s="603">
        <f t="shared" si="715"/>
        <v>135.72524942440521</v>
      </c>
      <c r="Q807" s="616">
        <f t="shared" si="715"/>
        <v>124.13793103448276</v>
      </c>
      <c r="R807" s="616">
        <f t="shared" si="715"/>
        <v>137.81902552204178</v>
      </c>
      <c r="S807" s="616">
        <f t="shared" si="715"/>
        <v>151.66764189584552</v>
      </c>
      <c r="T807" s="616">
        <f t="shared" si="715"/>
        <v>121.31336405529954</v>
      </c>
      <c r="U807" s="603">
        <f t="shared" si="715"/>
        <v>133.74910905203137</v>
      </c>
      <c r="V807" s="616">
        <f t="shared" si="715"/>
        <v>100.82150858849889</v>
      </c>
      <c r="W807" s="616">
        <f>(-W788*1000000)/W802</f>
        <v>98.922413793103445</v>
      </c>
      <c r="X807" s="616">
        <f>(-X788*1000000)/X802</f>
        <v>141.69994295493441</v>
      </c>
      <c r="Y807" s="616">
        <f t="shared" ref="Y807:AA807" si="716">(-Y788*1000000)/Y802</f>
        <v>130.29490616621985</v>
      </c>
      <c r="Z807" s="603">
        <f t="shared" si="716"/>
        <v>121.48040638606676</v>
      </c>
      <c r="AA807" s="616">
        <f t="shared" si="716"/>
        <v>103.54745925215724</v>
      </c>
      <c r="AB807" s="616">
        <f t="shared" ref="AB807" si="717">(-AB788*1000000)/AB802</f>
        <v>96.183206106870244</v>
      </c>
      <c r="AC807" s="616">
        <f>AE807</f>
        <v>121.48040638606676</v>
      </c>
      <c r="AD807" s="616">
        <f>AE807</f>
        <v>121.48040638606676</v>
      </c>
      <c r="AE807" s="1192">
        <f>Z807</f>
        <v>121.48040638606676</v>
      </c>
      <c r="AF807" s="704">
        <f t="shared" ref="AF807:AL810" si="718">AE807</f>
        <v>121.48040638606676</v>
      </c>
      <c r="AG807" s="704">
        <f t="shared" si="718"/>
        <v>121.48040638606676</v>
      </c>
      <c r="AH807" s="704">
        <f t="shared" si="718"/>
        <v>121.48040638606676</v>
      </c>
      <c r="AI807" s="704">
        <f t="shared" si="718"/>
        <v>121.48040638606676</v>
      </c>
      <c r="AJ807" s="704">
        <f t="shared" si="718"/>
        <v>121.48040638606676</v>
      </c>
      <c r="AK807" s="704">
        <f t="shared" si="718"/>
        <v>121.48040638606676</v>
      </c>
      <c r="AL807" s="704">
        <f t="shared" si="718"/>
        <v>121.48040638606676</v>
      </c>
      <c r="AM807" s="651"/>
      <c r="AN807" s="92"/>
      <c r="AO807" s="92"/>
    </row>
    <row r="808" spans="2:41" s="83" customFormat="1">
      <c r="B808" s="95"/>
      <c r="C808" s="96"/>
      <c r="D808" s="163" t="s">
        <v>654</v>
      </c>
      <c r="E808" s="162"/>
      <c r="G808" s="603">
        <f>(G794*1000000)/(G799*1000)</f>
        <v>3.4027383942315481</v>
      </c>
      <c r="H808" s="603">
        <f t="shared" ref="H808:V808" si="719">(H794*1000000)/(H799*1000)</f>
        <v>3.6349574632637278</v>
      </c>
      <c r="I808" s="603">
        <f t="shared" si="719"/>
        <v>5.28169014084507</v>
      </c>
      <c r="J808" s="603">
        <f t="shared" si="719"/>
        <v>3.2107413893753649</v>
      </c>
      <c r="K808" s="603">
        <f t="shared" si="719"/>
        <v>2.1320143271362784</v>
      </c>
      <c r="L808" s="616">
        <f t="shared" si="719"/>
        <v>1.722356183258698</v>
      </c>
      <c r="M808" s="616">
        <f t="shared" si="719"/>
        <v>1.4466546112115732</v>
      </c>
      <c r="N808" s="616">
        <f t="shared" si="719"/>
        <v>1.948051948051948</v>
      </c>
      <c r="O808" s="616">
        <f t="shared" si="719"/>
        <v>8.8202866593164284</v>
      </c>
      <c r="P808" s="603">
        <f t="shared" si="719"/>
        <v>3.4004708344232277</v>
      </c>
      <c r="Q808" s="616">
        <f t="shared" si="719"/>
        <v>3.75234521575985</v>
      </c>
      <c r="R808" s="616">
        <f t="shared" si="719"/>
        <v>1.4104372355430184</v>
      </c>
      <c r="S808" s="616">
        <f t="shared" si="719"/>
        <v>2.9186428310835462</v>
      </c>
      <c r="T808" s="616">
        <f t="shared" si="719"/>
        <v>6.7427385892116183</v>
      </c>
      <c r="U808" s="603">
        <f t="shared" si="719"/>
        <v>4.1451731761238024</v>
      </c>
      <c r="V808" s="616">
        <f t="shared" si="719"/>
        <v>3.2810791104629966</v>
      </c>
      <c r="W808" s="616">
        <f>(W794*1000000)/(W799*1000)</f>
        <v>4.7549378200438914</v>
      </c>
      <c r="X808" s="616">
        <f>(X794*1000000)/(X799*1000)</f>
        <v>5.5628272251308903</v>
      </c>
      <c r="Y808" s="616">
        <f t="shared" ref="Y808:AA808" si="720">(Y794*1000000)/(Y799*1000)</f>
        <v>4.7776552737963982</v>
      </c>
      <c r="Z808" s="603">
        <f t="shared" si="720"/>
        <v>4.6205793495645988</v>
      </c>
      <c r="AA808" s="616">
        <f t="shared" si="720"/>
        <v>4.5824847250509162</v>
      </c>
      <c r="AB808" s="616">
        <f t="shared" ref="AB808" si="721">(AB794*1000000)/(AB799*1000)</f>
        <v>3.4924330616996508</v>
      </c>
      <c r="AC808" s="616">
        <f>AE808</f>
        <v>4.6205793495645988</v>
      </c>
      <c r="AD808" s="616">
        <f>AE808</f>
        <v>4.6205793495645988</v>
      </c>
      <c r="AE808" s="1192">
        <f>Z808</f>
        <v>4.6205793495645988</v>
      </c>
      <c r="AF808" s="704">
        <f t="shared" si="718"/>
        <v>4.6205793495645988</v>
      </c>
      <c r="AG808" s="704">
        <f t="shared" si="718"/>
        <v>4.6205793495645988</v>
      </c>
      <c r="AH808" s="704">
        <f t="shared" si="718"/>
        <v>4.6205793495645988</v>
      </c>
      <c r="AI808" s="704">
        <f t="shared" si="718"/>
        <v>4.6205793495645988</v>
      </c>
      <c r="AJ808" s="704">
        <f t="shared" si="718"/>
        <v>4.6205793495645988</v>
      </c>
      <c r="AK808" s="704">
        <f t="shared" si="718"/>
        <v>4.6205793495645988</v>
      </c>
      <c r="AL808" s="704">
        <f t="shared" si="718"/>
        <v>4.6205793495645988</v>
      </c>
      <c r="AM808" s="651"/>
      <c r="AN808" s="92"/>
      <c r="AO808" s="92"/>
    </row>
    <row r="809" spans="2:41" s="83" customFormat="1">
      <c r="B809" s="95"/>
      <c r="C809" s="96"/>
      <c r="D809" s="163" t="s">
        <v>871</v>
      </c>
      <c r="E809" s="162"/>
      <c r="G809" s="603">
        <f>(G794*1000000)/(G801)</f>
        <v>83.333333333333329</v>
      </c>
      <c r="H809" s="603">
        <f>(H794*1000000)/(H801)</f>
        <v>79.124579124579128</v>
      </c>
      <c r="I809" s="603">
        <f t="shared" ref="I809:U809" si="722">(I794*1000000)/(I801)</f>
        <v>107.66721044045677</v>
      </c>
      <c r="J809" s="603">
        <f t="shared" si="722"/>
        <v>73.333333333333329</v>
      </c>
      <c r="K809" s="603">
        <f t="shared" si="722"/>
        <v>46.842795578040096</v>
      </c>
      <c r="L809" s="616">
        <f t="shared" si="722"/>
        <v>44.964028776978417</v>
      </c>
      <c r="M809" s="616">
        <f t="shared" si="722"/>
        <v>47.732696897374701</v>
      </c>
      <c r="N809" s="616">
        <f t="shared" si="722"/>
        <v>39.867109634551497</v>
      </c>
      <c r="O809" s="616">
        <f t="shared" si="722"/>
        <v>136.59647125782584</v>
      </c>
      <c r="P809" s="603">
        <f t="shared" si="722"/>
        <v>74.827321565617794</v>
      </c>
      <c r="Q809" s="616">
        <f t="shared" si="722"/>
        <v>61.302681992337163</v>
      </c>
      <c r="R809" s="616">
        <f t="shared" si="722"/>
        <v>34.80278422273782</v>
      </c>
      <c r="S809" s="616">
        <f t="shared" si="722"/>
        <v>46.811000585137506</v>
      </c>
      <c r="T809" s="616">
        <f t="shared" si="722"/>
        <v>149.76958525345623</v>
      </c>
      <c r="U809" s="603">
        <f t="shared" si="722"/>
        <v>80.185317177476833</v>
      </c>
      <c r="V809" s="616">
        <f>(V794*1000000)/(V801)</f>
        <v>67.214339058999258</v>
      </c>
      <c r="W809" s="616">
        <f>(W794*1000000)/(W801)</f>
        <v>140.08620689655172</v>
      </c>
      <c r="X809" s="616">
        <f>(X794*1000000)/(X801)</f>
        <v>96.976611523103259</v>
      </c>
      <c r="Y809" s="616">
        <f>(Y794*1000000)/(Y801)</f>
        <v>87.131367292225207</v>
      </c>
      <c r="Z809" s="603">
        <f t="shared" ref="Z809" si="723">(Z794*1000000)/(Z801)</f>
        <v>94.339622641509436</v>
      </c>
      <c r="AA809" s="616">
        <f>(AA794*1000000)/(AA801)</f>
        <v>86.289549376797694</v>
      </c>
      <c r="AB809" s="616">
        <f>(AB794*1000000)/(AB801)</f>
        <v>229.00763358778627</v>
      </c>
      <c r="AC809" s="616">
        <f>AE809</f>
        <v>94.339622641509436</v>
      </c>
      <c r="AD809" s="616">
        <f>AE809</f>
        <v>94.339622641509436</v>
      </c>
      <c r="AE809" s="1192">
        <f>Z809</f>
        <v>94.339622641509436</v>
      </c>
      <c r="AF809" s="704">
        <f t="shared" si="718"/>
        <v>94.339622641509436</v>
      </c>
      <c r="AG809" s="704">
        <f t="shared" si="718"/>
        <v>94.339622641509436</v>
      </c>
      <c r="AH809" s="704">
        <f t="shared" si="718"/>
        <v>94.339622641509436</v>
      </c>
      <c r="AI809" s="704">
        <f t="shared" si="718"/>
        <v>94.339622641509436</v>
      </c>
      <c r="AJ809" s="704">
        <f t="shared" si="718"/>
        <v>94.339622641509436</v>
      </c>
      <c r="AK809" s="704">
        <f t="shared" si="718"/>
        <v>94.339622641509436</v>
      </c>
      <c r="AL809" s="704">
        <f t="shared" si="718"/>
        <v>94.339622641509436</v>
      </c>
      <c r="AM809" s="651"/>
      <c r="AN809" s="92"/>
      <c r="AO809" s="92"/>
    </row>
    <row r="810" spans="2:41" s="83" customFormat="1">
      <c r="B810" s="95"/>
      <c r="C810" s="96"/>
      <c r="D810" s="162" t="s">
        <v>870</v>
      </c>
      <c r="E810" s="162"/>
      <c r="G810" s="95"/>
      <c r="H810" s="603">
        <f>(-H790*1000000)/(H801)</f>
        <v>107.74410774410775</v>
      </c>
      <c r="I810" s="603">
        <f t="shared" ref="I810:U810" si="724">(-I790*1000000)/(I801)</f>
        <v>102.77324632952691</v>
      </c>
      <c r="J810" s="603">
        <f t="shared" si="724"/>
        <v>135</v>
      </c>
      <c r="K810" s="603">
        <f t="shared" si="724"/>
        <v>181.75004684279557</v>
      </c>
      <c r="L810" s="616">
        <f t="shared" si="724"/>
        <v>170.86330935251797</v>
      </c>
      <c r="M810" s="616">
        <f t="shared" si="724"/>
        <v>226.73031026252983</v>
      </c>
      <c r="N810" s="616">
        <f t="shared" si="724"/>
        <v>265.78073089700996</v>
      </c>
      <c r="O810" s="616">
        <f t="shared" si="724"/>
        <v>273.19294251565168</v>
      </c>
      <c r="P810" s="603">
        <f t="shared" si="724"/>
        <v>241.74980813507287</v>
      </c>
      <c r="Q810" s="616">
        <f t="shared" si="724"/>
        <v>222.22222222222223</v>
      </c>
      <c r="R810" s="616">
        <f t="shared" si="724"/>
        <v>266.82134570765663</v>
      </c>
      <c r="S810" s="616">
        <f t="shared" si="724"/>
        <v>275.01462843768286</v>
      </c>
      <c r="T810" s="616">
        <f t="shared" si="724"/>
        <v>241.93548387096774</v>
      </c>
      <c r="U810" s="603">
        <f t="shared" si="724"/>
        <v>251.24732715609409</v>
      </c>
      <c r="V810" s="616">
        <f>(-V790*1000000)/(V801)</f>
        <v>313.6669156086632</v>
      </c>
      <c r="W810" s="616">
        <f>(-W790*1000000)/(W801)</f>
        <v>387.93103448275861</v>
      </c>
      <c r="X810" s="616">
        <f>(-X790*1000000)/(X801)</f>
        <v>444.95151169423843</v>
      </c>
      <c r="Y810" s="616">
        <f>(-Y790*1000000)/(Y801)</f>
        <v>321.71581769436995</v>
      </c>
      <c r="Z810" s="603">
        <f t="shared" ref="Z810" si="725">(-Z790*1000000)/(Z801)</f>
        <v>370.10159651669085</v>
      </c>
      <c r="AA810" s="616">
        <f>(-AA790*1000000)/(AA801)</f>
        <v>239.69319271332694</v>
      </c>
      <c r="AB810" s="616">
        <f>(-AB790*1000000)/(AB801)</f>
        <v>356.23409669211196</v>
      </c>
      <c r="AC810" s="616">
        <f>AE810</f>
        <v>370.10159651669085</v>
      </c>
      <c r="AD810" s="616">
        <f>AE810</f>
        <v>370.10159651669085</v>
      </c>
      <c r="AE810" s="1192">
        <f>Z810</f>
        <v>370.10159651669085</v>
      </c>
      <c r="AF810" s="704">
        <f t="shared" si="718"/>
        <v>370.10159651669085</v>
      </c>
      <c r="AG810" s="704">
        <f t="shared" si="718"/>
        <v>370.10159651669085</v>
      </c>
      <c r="AH810" s="704">
        <f t="shared" si="718"/>
        <v>370.10159651669085</v>
      </c>
      <c r="AI810" s="704">
        <f t="shared" si="718"/>
        <v>370.10159651669085</v>
      </c>
      <c r="AJ810" s="704">
        <f t="shared" si="718"/>
        <v>370.10159651669085</v>
      </c>
      <c r="AK810" s="704">
        <f t="shared" si="718"/>
        <v>370.10159651669085</v>
      </c>
      <c r="AL810" s="704">
        <f t="shared" si="718"/>
        <v>370.10159651669085</v>
      </c>
      <c r="AM810" s="651"/>
      <c r="AN810" s="92"/>
      <c r="AO810" s="92"/>
    </row>
    <row r="811" spans="2:41" s="83" customFormat="1">
      <c r="B811" s="95"/>
      <c r="C811" s="96"/>
      <c r="D811" s="162"/>
      <c r="E811" s="162"/>
      <c r="G811" s="95"/>
      <c r="H811" s="95"/>
      <c r="I811" s="95"/>
      <c r="J811" s="95"/>
      <c r="K811" s="95"/>
      <c r="L811" s="126"/>
      <c r="M811" s="126"/>
      <c r="N811" s="126"/>
      <c r="O811" s="126"/>
      <c r="P811" s="95"/>
      <c r="Q811" s="126"/>
      <c r="R811" s="126"/>
      <c r="S811" s="126"/>
      <c r="T811" s="126"/>
      <c r="U811" s="92"/>
      <c r="V811" s="126"/>
      <c r="W811" s="126"/>
      <c r="X811" s="126"/>
      <c r="Y811" s="126"/>
      <c r="Z811" s="92"/>
      <c r="AA811" s="99"/>
      <c r="AB811" s="99"/>
      <c r="AC811" s="99"/>
      <c r="AD811" s="99"/>
      <c r="AE811" s="92"/>
      <c r="AF811" s="92"/>
      <c r="AG811" s="92"/>
      <c r="AH811" s="92"/>
      <c r="AI811" s="92"/>
      <c r="AJ811" s="92"/>
      <c r="AK811" s="92"/>
      <c r="AL811" s="92"/>
      <c r="AM811" s="651"/>
      <c r="AN811" s="92"/>
      <c r="AO811" s="92"/>
    </row>
    <row r="812" spans="2:41" s="83" customFormat="1">
      <c r="B812" s="95"/>
      <c r="C812" s="96"/>
      <c r="D812" s="554" t="s">
        <v>207</v>
      </c>
      <c r="E812" s="653"/>
      <c r="F812" s="586"/>
      <c r="G812" s="605"/>
      <c r="H812" s="605"/>
      <c r="I812" s="605"/>
      <c r="J812" s="605"/>
      <c r="K812" s="605"/>
      <c r="L812" s="182"/>
      <c r="M812" s="182"/>
      <c r="N812" s="182"/>
      <c r="O812" s="182"/>
      <c r="P812" s="605"/>
      <c r="Q812" s="182"/>
      <c r="R812" s="182"/>
      <c r="S812" s="182"/>
      <c r="T812" s="182"/>
      <c r="U812" s="588"/>
      <c r="V812" s="182"/>
      <c r="W812" s="182"/>
      <c r="X812" s="182"/>
      <c r="Y812" s="182"/>
      <c r="Z812" s="588"/>
      <c r="AA812" s="705"/>
      <c r="AB812" s="705"/>
      <c r="AC812" s="705"/>
      <c r="AD812" s="705"/>
      <c r="AE812" s="588"/>
      <c r="AF812" s="588"/>
      <c r="AG812" s="588"/>
      <c r="AH812" s="588"/>
      <c r="AI812" s="588"/>
      <c r="AJ812" s="588"/>
      <c r="AK812" s="588"/>
      <c r="AL812" s="588"/>
      <c r="AM812" s="651"/>
      <c r="AN812" s="92"/>
      <c r="AO812" s="92"/>
    </row>
    <row r="813" spans="2:41" s="83" customFormat="1">
      <c r="B813" s="95"/>
      <c r="C813" s="96"/>
      <c r="D813" s="566" t="s">
        <v>866</v>
      </c>
      <c r="E813" s="566"/>
      <c r="F813" s="134"/>
      <c r="G813" s="228"/>
      <c r="H813" s="228"/>
      <c r="I813" s="228"/>
      <c r="J813" s="228"/>
      <c r="K813" s="228"/>
      <c r="L813" s="1018">
        <f>L753/$P$753</f>
        <v>0.20840480274442538</v>
      </c>
      <c r="M813" s="1018">
        <f>M753/$P$753</f>
        <v>0.26346483704974272</v>
      </c>
      <c r="N813" s="1018">
        <f>N753/$P$753</f>
        <v>0.25385934819897082</v>
      </c>
      <c r="O813" s="1018">
        <f>O753/$P$753</f>
        <v>0.2746140651801029</v>
      </c>
      <c r="P813" s="1019">
        <v>1</v>
      </c>
      <c r="Q813" s="1018">
        <f>Q753/$U$753</f>
        <v>0.19949312092686461</v>
      </c>
      <c r="R813" s="1018">
        <f>R753/$U$753</f>
        <v>0.28602461984069516</v>
      </c>
      <c r="S813" s="1018">
        <f>S753/$U$753</f>
        <v>0.27715423606082551</v>
      </c>
      <c r="T813" s="1018">
        <f>T753/$U$753</f>
        <v>0.23732802317161478</v>
      </c>
      <c r="U813" s="1019">
        <v>1</v>
      </c>
      <c r="V813" s="1018">
        <f>V753/$Z$753</f>
        <v>0.26166700631750561</v>
      </c>
      <c r="W813" s="1018">
        <f>W753/$Z$753</f>
        <v>0.17098023232117385</v>
      </c>
      <c r="X813" s="1018">
        <f>X753/$Z$753</f>
        <v>0.26961483594864483</v>
      </c>
      <c r="Y813" s="1018">
        <f>Y753/$Z$753</f>
        <v>0.29773792541267574</v>
      </c>
      <c r="Z813" s="1019">
        <v>1</v>
      </c>
      <c r="AA813" s="1018">
        <f>AA753/$AE$753</f>
        <v>0.2394</v>
      </c>
      <c r="AB813" s="1018">
        <f>AB753/$AE$753</f>
        <v>0.28060000000000002</v>
      </c>
      <c r="AC813" s="122">
        <v>0.25</v>
      </c>
      <c r="AD813" s="122">
        <f>AE813-AA813-AB813-AC813</f>
        <v>0.22999999999999993</v>
      </c>
      <c r="AE813" s="1019">
        <v>1</v>
      </c>
      <c r="AF813" s="306"/>
      <c r="AG813" s="306"/>
      <c r="AH813" s="306"/>
      <c r="AI813" s="306"/>
      <c r="AJ813" s="306"/>
      <c r="AK813" s="306"/>
      <c r="AL813" s="306"/>
      <c r="AM813" s="651"/>
      <c r="AN813" s="92"/>
      <c r="AO813" s="92"/>
    </row>
    <row r="814" spans="2:41" s="83" customFormat="1">
      <c r="B814" s="95"/>
      <c r="C814" s="96"/>
      <c r="D814" s="566" t="s">
        <v>867</v>
      </c>
      <c r="E814" s="566"/>
      <c r="F814" s="134"/>
      <c r="G814" s="228"/>
      <c r="H814" s="228"/>
      <c r="I814" s="228"/>
      <c r="J814" s="228"/>
      <c r="K814" s="228"/>
      <c r="L814" s="1018">
        <f>L754/$P$754</f>
        <v>0.20020325203252032</v>
      </c>
      <c r="M814" s="1018">
        <f>M754/$P$754</f>
        <v>0.26117886178861788</v>
      </c>
      <c r="N814" s="1018">
        <f>N754/$P$754</f>
        <v>0.26829268292682923</v>
      </c>
      <c r="O814" s="1018">
        <f>O754/$P$754</f>
        <v>0.27032520325203252</v>
      </c>
      <c r="P814" s="1019">
        <v>1</v>
      </c>
      <c r="Q814" s="1018">
        <f>Q754/$U$754</f>
        <v>0.183852140077821</v>
      </c>
      <c r="R814" s="1018">
        <f>R754/$U$754</f>
        <v>0.28210116731517509</v>
      </c>
      <c r="S814" s="1018">
        <f>S754/$U$754</f>
        <v>0.2811284046692607</v>
      </c>
      <c r="T814" s="1018">
        <f>T754/$U$754</f>
        <v>0.25291828793774318</v>
      </c>
      <c r="U814" s="1019">
        <v>1</v>
      </c>
      <c r="V814" s="1018">
        <f>V754/$Z$754</f>
        <v>0.51897435897435895</v>
      </c>
      <c r="W814" s="1018">
        <f>W754/$Z$754</f>
        <v>0.22051282051282051</v>
      </c>
      <c r="X814" s="1018">
        <f>X754/$Z$754</f>
        <v>0.26974358974358975</v>
      </c>
      <c r="Y814" s="1018">
        <f>Y754/$Z$754</f>
        <v>0.27076923076923076</v>
      </c>
      <c r="Z814" s="1019">
        <v>1</v>
      </c>
      <c r="AA814" s="1018">
        <f>AA754/$AE$754</f>
        <v>0.28666666666666668</v>
      </c>
      <c r="AB814" s="1018">
        <f>AB754/$AE$754</f>
        <v>0.31666666666666665</v>
      </c>
      <c r="AC814" s="122">
        <v>0.2</v>
      </c>
      <c r="AD814" s="122">
        <f>AE814-AA814-AB814-AC814</f>
        <v>0.19666666666666671</v>
      </c>
      <c r="AE814" s="1019">
        <v>1</v>
      </c>
      <c r="AF814" s="306"/>
      <c r="AG814" s="306"/>
      <c r="AH814" s="306"/>
      <c r="AI814" s="306"/>
      <c r="AJ814" s="306"/>
      <c r="AK814" s="306"/>
      <c r="AL814" s="306"/>
      <c r="AM814" s="651"/>
      <c r="AN814" s="92"/>
      <c r="AO814" s="92"/>
    </row>
    <row r="815" spans="2:41" s="83" customFormat="1">
      <c r="B815" s="95"/>
      <c r="C815" s="96"/>
      <c r="D815" s="566" t="s">
        <v>868</v>
      </c>
      <c r="E815" s="566"/>
      <c r="F815" s="134"/>
      <c r="G815" s="228"/>
      <c r="H815" s="228"/>
      <c r="I815" s="228"/>
      <c r="J815" s="228"/>
      <c r="K815" s="228"/>
      <c r="L815" s="1018">
        <f>L757/$P$757</f>
        <v>0.21335379892555639</v>
      </c>
      <c r="M815" s="1018">
        <f>M757/$P$757</f>
        <v>0.1607828089025326</v>
      </c>
      <c r="N815" s="1018">
        <f>N757/$P$757</f>
        <v>0.28875671527244817</v>
      </c>
      <c r="O815" s="1018">
        <f>O757/$P$757</f>
        <v>0.33710667689946272</v>
      </c>
      <c r="P815" s="1019">
        <v>1</v>
      </c>
      <c r="Q815" s="1018">
        <f>Q757/$U$757</f>
        <v>0.23253741981468282</v>
      </c>
      <c r="R815" s="1018">
        <f>R757/$U$757</f>
        <v>0.15359942979330007</v>
      </c>
      <c r="S815" s="1018">
        <f>S757/$U$757</f>
        <v>0.30452601568068421</v>
      </c>
      <c r="T815" s="1018">
        <f>T757/$U$757</f>
        <v>0.30933713471133284</v>
      </c>
      <c r="U815" s="1019">
        <v>1</v>
      </c>
      <c r="V815" s="1018">
        <f>V757/$Z$757</f>
        <v>0.24292452830188679</v>
      </c>
      <c r="W815" s="1018">
        <f>W757/$Z$757</f>
        <v>0.16835994194484757</v>
      </c>
      <c r="X815" s="1018">
        <f>X757/$Z$757</f>
        <v>0.31803338171262702</v>
      </c>
      <c r="Y815" s="1018">
        <f>Y757/$Z$757</f>
        <v>0.27068214804063856</v>
      </c>
      <c r="Z815" s="1019">
        <v>1</v>
      </c>
      <c r="AA815" s="1018">
        <f>AA757/$AE$757</f>
        <v>0.20860000000000001</v>
      </c>
      <c r="AB815" s="1018">
        <f>AB757/$AE$757</f>
        <v>7.8599999999999989E-2</v>
      </c>
      <c r="AC815" s="122">
        <v>0.3</v>
      </c>
      <c r="AD815" s="122">
        <f>AE815-AA815-AB815-AC815</f>
        <v>0.4128</v>
      </c>
      <c r="AE815" s="1019">
        <v>1</v>
      </c>
      <c r="AF815" s="306"/>
      <c r="AG815" s="306"/>
      <c r="AH815" s="306"/>
      <c r="AI815" s="306"/>
      <c r="AJ815" s="306"/>
      <c r="AK815" s="306"/>
      <c r="AL815" s="306"/>
      <c r="AM815" s="651"/>
      <c r="AN815" s="92"/>
      <c r="AO815" s="92"/>
    </row>
    <row r="816" spans="2:41" s="83" customFormat="1">
      <c r="B816" s="95"/>
      <c r="C816" s="96"/>
      <c r="D816" s="566" t="s">
        <v>869</v>
      </c>
      <c r="E816" s="566"/>
      <c r="F816" s="134"/>
      <c r="G816" s="228"/>
      <c r="H816" s="228"/>
      <c r="I816" s="228"/>
      <c r="J816" s="228"/>
      <c r="K816" s="228"/>
      <c r="L816" s="1018">
        <f>L758/$P$758</f>
        <v>0</v>
      </c>
      <c r="M816" s="1018">
        <f>M758/$P$758</f>
        <v>0</v>
      </c>
      <c r="N816" s="1018">
        <f>N758/$P$758</f>
        <v>0.70031545741324919</v>
      </c>
      <c r="O816" s="1018">
        <f>O758/$P$758</f>
        <v>0.29968454258675081</v>
      </c>
      <c r="P816" s="1019">
        <v>1</v>
      </c>
      <c r="Q816" s="1018">
        <f>Q758/$U$758</f>
        <v>0</v>
      </c>
      <c r="R816" s="1018">
        <f>R758/$U$758</f>
        <v>0</v>
      </c>
      <c r="S816" s="1018">
        <f>S758/$U$758</f>
        <v>0.69039913700107869</v>
      </c>
      <c r="T816" s="1018">
        <f>T758/$U$758</f>
        <v>0.30960086299892126</v>
      </c>
      <c r="U816" s="1019">
        <v>1</v>
      </c>
      <c r="V816" s="1018">
        <f>V758/$Z$758</f>
        <v>0</v>
      </c>
      <c r="W816" s="1018">
        <f>W758/$Z$758</f>
        <v>2.8225806451612899E-2</v>
      </c>
      <c r="X816" s="1018">
        <f>X758/$Z$758</f>
        <v>0.73891129032258063</v>
      </c>
      <c r="Y816" s="1018">
        <f>Y758/$Z$758</f>
        <v>0.23286290322580647</v>
      </c>
      <c r="Z816" s="1019">
        <v>1</v>
      </c>
      <c r="AA816" s="1018">
        <f>AA758/$AE$758</f>
        <v>0</v>
      </c>
      <c r="AB816" s="1018">
        <f>AB758/$AE$758</f>
        <v>0</v>
      </c>
      <c r="AC816" s="122">
        <v>0.5</v>
      </c>
      <c r="AD816" s="122">
        <f>AE816-AA816-AB816-AC816</f>
        <v>0.5</v>
      </c>
      <c r="AE816" s="1019">
        <v>1</v>
      </c>
      <c r="AF816" s="306"/>
      <c r="AG816" s="306"/>
      <c r="AH816" s="306"/>
      <c r="AI816" s="306"/>
      <c r="AJ816" s="306"/>
      <c r="AK816" s="306"/>
      <c r="AL816" s="306"/>
      <c r="AM816" s="651"/>
      <c r="AN816" s="92"/>
      <c r="AO816" s="92"/>
    </row>
    <row r="817" spans="1:54" s="83" customFormat="1">
      <c r="B817" s="95"/>
      <c r="C817" s="96"/>
      <c r="D817" s="83" t="s">
        <v>359</v>
      </c>
      <c r="F817" s="136"/>
      <c r="G817" s="187"/>
      <c r="H817" s="190">
        <f>H753/G753-1</f>
        <v>8.166969147005454E-2</v>
      </c>
      <c r="I817" s="190">
        <f>I753/H753-1</f>
        <v>-4.8657718120805327E-2</v>
      </c>
      <c r="J817" s="190">
        <f>J753/I753-1</f>
        <v>2.821869488536155E-2</v>
      </c>
      <c r="K817" s="190">
        <f>K753/J753-1</f>
        <v>-7.0325900514579764E-2</v>
      </c>
      <c r="L817" s="191"/>
      <c r="M817" s="191"/>
      <c r="N817" s="191"/>
      <c r="O817" s="191"/>
      <c r="P817" s="190">
        <f>P753/K753-1</f>
        <v>7.564575645756455E-2</v>
      </c>
      <c r="Q817" s="191"/>
      <c r="R817" s="191"/>
      <c r="S817" s="191"/>
      <c r="T817" s="191"/>
      <c r="U817" s="190">
        <f>U753/P753-1</f>
        <v>-5.2487135506003479E-2</v>
      </c>
      <c r="V817" s="191"/>
      <c r="W817" s="191"/>
      <c r="X817" s="191"/>
      <c r="Y817" s="191"/>
      <c r="Z817" s="190">
        <f>Z753/U753-1</f>
        <v>-0.1116944243301955</v>
      </c>
      <c r="AA817" s="191"/>
      <c r="AB817" s="191"/>
      <c r="AC817" s="191"/>
      <c r="AD817" s="191"/>
      <c r="AE817" s="190">
        <f>AE753/Z753-1</f>
        <v>1.895251681271648E-2</v>
      </c>
      <c r="AF817" s="190">
        <f>AF753/AE753-1</f>
        <v>0</v>
      </c>
      <c r="AG817" s="92"/>
      <c r="AH817" s="92"/>
      <c r="AI817" s="92"/>
      <c r="AJ817" s="92"/>
      <c r="AK817" s="92"/>
      <c r="AL817" s="92"/>
      <c r="AM817" s="651"/>
      <c r="AN817" s="92"/>
      <c r="AO817" s="92"/>
    </row>
    <row r="818" spans="1:54" s="83" customFormat="1">
      <c r="B818" s="95"/>
      <c r="C818" s="96"/>
      <c r="D818" s="83" t="s">
        <v>355</v>
      </c>
      <c r="F818" s="136"/>
      <c r="G818" s="187"/>
      <c r="H818" s="190">
        <f>H786/G786-1</f>
        <v>0.41876430205949666</v>
      </c>
      <c r="I818" s="190">
        <f>I786/H786-1</f>
        <v>-1.6129032258064502E-2</v>
      </c>
      <c r="J818" s="190">
        <f>J786/I786-1</f>
        <v>0.18360655737704912</v>
      </c>
      <c r="K818" s="190">
        <f>K786/J786-1</f>
        <v>0.21329639889196672</v>
      </c>
      <c r="L818" s="191"/>
      <c r="M818" s="191"/>
      <c r="N818" s="191"/>
      <c r="O818" s="191"/>
      <c r="P818" s="190">
        <f>P786/K786-1</f>
        <v>-3.1963470319634757E-2</v>
      </c>
      <c r="Q818" s="191"/>
      <c r="R818" s="191"/>
      <c r="S818" s="191"/>
      <c r="T818" s="191"/>
      <c r="U818" s="190">
        <f>U786/P786-1</f>
        <v>-6.0141509433962237E-2</v>
      </c>
      <c r="V818" s="191"/>
      <c r="W818" s="191"/>
      <c r="X818" s="191"/>
      <c r="Y818" s="191"/>
      <c r="Z818" s="190">
        <f>Z786/U786-1</f>
        <v>-0.12547051442910928</v>
      </c>
      <c r="AA818" s="191"/>
      <c r="AB818" s="191"/>
      <c r="AC818" s="191"/>
      <c r="AD818" s="191"/>
      <c r="AE818" s="190">
        <f>AE786/Z786-1</f>
        <v>-7.3278585213496394E-2</v>
      </c>
      <c r="AF818" s="190">
        <f>AF786/AE786-1</f>
        <v>9.7646371052447334E-2</v>
      </c>
      <c r="AG818" s="92"/>
      <c r="AH818" s="92"/>
      <c r="AI818" s="92"/>
      <c r="AJ818" s="92"/>
      <c r="AK818" s="92"/>
      <c r="AL818" s="92"/>
      <c r="AM818" s="651"/>
      <c r="AN818" s="92"/>
      <c r="AO818" s="92"/>
    </row>
    <row r="819" spans="1:54" s="83" customFormat="1">
      <c r="B819" s="95"/>
      <c r="C819" s="96"/>
      <c r="D819" s="83" t="s">
        <v>265</v>
      </c>
      <c r="F819" s="136"/>
      <c r="G819" s="187"/>
      <c r="H819" s="142">
        <f t="shared" ref="H819:V819" si="726">H792/H786</f>
        <v>0.51451612903225807</v>
      </c>
      <c r="I819" s="142">
        <f t="shared" si="726"/>
        <v>0.49180327868852458</v>
      </c>
      <c r="J819" s="142">
        <f t="shared" si="726"/>
        <v>0.51869806094182824</v>
      </c>
      <c r="K819" s="142">
        <f t="shared" si="726"/>
        <v>0.55422374429223742</v>
      </c>
      <c r="L819" s="143">
        <f t="shared" si="726"/>
        <v>0.59523809523809523</v>
      </c>
      <c r="M819" s="143">
        <f t="shared" si="726"/>
        <v>0.73469387755102045</v>
      </c>
      <c r="N819" s="143">
        <f t="shared" si="726"/>
        <v>0.5368421052631579</v>
      </c>
      <c r="O819" s="143">
        <f t="shared" si="726"/>
        <v>0.55779816513761471</v>
      </c>
      <c r="P819" s="142">
        <f t="shared" si="726"/>
        <v>0.58372641509433965</v>
      </c>
      <c r="Q819" s="143">
        <f t="shared" si="726"/>
        <v>0.51445086705202314</v>
      </c>
      <c r="R819" s="143">
        <f t="shared" si="726"/>
        <v>0.72052401746724892</v>
      </c>
      <c r="S819" s="143">
        <f t="shared" si="726"/>
        <v>0.49737302977232922</v>
      </c>
      <c r="T819" s="143">
        <f t="shared" si="726"/>
        <v>0.46875</v>
      </c>
      <c r="U819" s="142">
        <f t="shared" si="726"/>
        <v>0.52509410288582181</v>
      </c>
      <c r="V819" s="143">
        <f t="shared" si="726"/>
        <v>0.63200000000000001</v>
      </c>
      <c r="W819" s="143">
        <f t="shared" ref="W819:AE819" si="727">W792/W786</f>
        <v>0.67836257309941517</v>
      </c>
      <c r="X819" s="143">
        <f t="shared" si="727"/>
        <v>0.44815465729349735</v>
      </c>
      <c r="Y819" s="143">
        <f t="shared" si="727"/>
        <v>0.46534653465346537</v>
      </c>
      <c r="Z819" s="142">
        <f t="shared" si="727"/>
        <v>0.51434720229555242</v>
      </c>
      <c r="AA819" s="143">
        <f t="shared" si="727"/>
        <v>0.52742616033755274</v>
      </c>
      <c r="AB819" s="143">
        <f t="shared" si="727"/>
        <v>0.53535353535353536</v>
      </c>
      <c r="AC819" s="143">
        <f t="shared" si="727"/>
        <v>0.50464605998112289</v>
      </c>
      <c r="AD819" s="143">
        <f t="shared" si="727"/>
        <v>0.54441349072544487</v>
      </c>
      <c r="AE819" s="142">
        <f t="shared" si="727"/>
        <v>0.53482553781670494</v>
      </c>
      <c r="AF819" s="142">
        <f t="shared" ref="AF819:AL819" si="728">AF792/AF786</f>
        <v>0.47708213100756597</v>
      </c>
      <c r="AG819" s="142">
        <f t="shared" si="728"/>
        <v>0.49000499915657308</v>
      </c>
      <c r="AH819" s="142">
        <f t="shared" si="728"/>
        <v>0.49819909449642114</v>
      </c>
      <c r="AI819" s="142">
        <f t="shared" si="728"/>
        <v>0.48685344515838824</v>
      </c>
      <c r="AJ819" s="142">
        <f t="shared" si="728"/>
        <v>0.45382425497185819</v>
      </c>
      <c r="AK819" s="142">
        <f t="shared" si="728"/>
        <v>0.45382425497185819</v>
      </c>
      <c r="AL819" s="142">
        <f t="shared" si="728"/>
        <v>0.45382425497185819</v>
      </c>
      <c r="AM819" s="651"/>
      <c r="AN819" s="92"/>
      <c r="AO819" s="92"/>
    </row>
    <row r="820" spans="1:54" s="83" customFormat="1">
      <c r="B820" s="95"/>
      <c r="C820" s="96"/>
      <c r="D820" s="83" t="s">
        <v>256</v>
      </c>
      <c r="F820" s="136"/>
      <c r="G820" s="187"/>
      <c r="H820" s="190">
        <f t="shared" ref="H820:V820" si="729">H790/H791</f>
        <v>9.6096096096096095E-2</v>
      </c>
      <c r="I820" s="190">
        <f t="shared" si="729"/>
        <v>9.224011713030747E-2</v>
      </c>
      <c r="J820" s="190">
        <f t="shared" si="729"/>
        <v>0.10438144329896908</v>
      </c>
      <c r="K820" s="190">
        <f t="shared" si="729"/>
        <v>0.11047835990888383</v>
      </c>
      <c r="L820" s="191">
        <f t="shared" si="729"/>
        <v>0.12258064516129032</v>
      </c>
      <c r="M820" s="191">
        <f t="shared" si="729"/>
        <v>0.22619047619047619</v>
      </c>
      <c r="N820" s="191">
        <f t="shared" si="729"/>
        <v>0.13157894736842105</v>
      </c>
      <c r="O820" s="191">
        <f t="shared" si="729"/>
        <v>0.16608996539792387</v>
      </c>
      <c r="P820" s="190">
        <f t="shared" si="729"/>
        <v>0.15144230769230768</v>
      </c>
      <c r="Q820" s="191">
        <f t="shared" si="729"/>
        <v>0.14720812182741116</v>
      </c>
      <c r="R820" s="191">
        <f t="shared" si="729"/>
        <v>0.26436781609195403</v>
      </c>
      <c r="S820" s="191">
        <f t="shared" si="729"/>
        <v>0.1407185628742515</v>
      </c>
      <c r="T820" s="191">
        <f t="shared" si="729"/>
        <v>0.15</v>
      </c>
      <c r="U820" s="190">
        <f t="shared" si="729"/>
        <v>0.15701559020044542</v>
      </c>
      <c r="V820" s="191">
        <f t="shared" si="729"/>
        <v>0.31343283582089554</v>
      </c>
      <c r="W820" s="191">
        <f t="shared" ref="W820:AE820" si="730">W790/W791</f>
        <v>0.39560439560439559</v>
      </c>
      <c r="X820" s="191">
        <f t="shared" si="730"/>
        <v>0.19897959183673469</v>
      </c>
      <c r="Y820" s="191">
        <f t="shared" si="730"/>
        <v>0.18181818181818182</v>
      </c>
      <c r="Z820" s="190">
        <f t="shared" si="730"/>
        <v>0.23155505107832008</v>
      </c>
      <c r="AA820" s="191">
        <f t="shared" si="730"/>
        <v>0.18248175182481752</v>
      </c>
      <c r="AB820" s="191">
        <f t="shared" si="730"/>
        <v>0.23333333333333334</v>
      </c>
      <c r="AC820" s="191">
        <f t="shared" si="730"/>
        <v>0.20882990131942503</v>
      </c>
      <c r="AD820" s="191">
        <f t="shared" si="730"/>
        <v>0.23410196594941607</v>
      </c>
      <c r="AE820" s="190">
        <f t="shared" si="730"/>
        <v>0.21656857897725096</v>
      </c>
      <c r="AF820" s="190">
        <f t="shared" ref="AF820:AL820" si="731">AF790/AF791</f>
        <v>0.19972127622587704</v>
      </c>
      <c r="AG820" s="190">
        <f t="shared" si="731"/>
        <v>0.19143883476558748</v>
      </c>
      <c r="AH820" s="190">
        <f t="shared" si="731"/>
        <v>0.19693373003673514</v>
      </c>
      <c r="AI820" s="190">
        <f t="shared" si="731"/>
        <v>0.20491578764804899</v>
      </c>
      <c r="AJ820" s="190">
        <f t="shared" si="731"/>
        <v>0.22550545988862103</v>
      </c>
      <c r="AK820" s="190">
        <f t="shared" si="731"/>
        <v>0.22550545988862103</v>
      </c>
      <c r="AL820" s="190">
        <f t="shared" si="731"/>
        <v>0.22550545988862103</v>
      </c>
      <c r="AM820" s="651"/>
      <c r="AN820" s="92"/>
      <c r="AO820" s="92"/>
    </row>
    <row r="821" spans="1:54" s="83" customFormat="1">
      <c r="B821" s="95"/>
      <c r="C821" s="96"/>
      <c r="L821" s="140"/>
      <c r="M821" s="140"/>
      <c r="N821" s="140"/>
      <c r="O821" s="140"/>
      <c r="Q821" s="140"/>
      <c r="R821" s="140"/>
      <c r="S821" s="140"/>
      <c r="T821" s="140"/>
      <c r="V821" s="140"/>
      <c r="W821" s="140"/>
      <c r="X821" s="140"/>
      <c r="Y821" s="140"/>
      <c r="AA821" s="140"/>
      <c r="AB821" s="140"/>
      <c r="AC821" s="140"/>
      <c r="AD821" s="140"/>
      <c r="AG821" s="92"/>
      <c r="AH821" s="92"/>
      <c r="AI821" s="92"/>
      <c r="AJ821" s="92"/>
      <c r="AK821" s="92"/>
      <c r="AL821" s="92"/>
      <c r="AM821" s="651"/>
      <c r="AN821" s="92"/>
      <c r="AO821" s="92"/>
    </row>
    <row r="822" spans="1:54" s="83" customFormat="1">
      <c r="B822" s="95"/>
      <c r="C822" s="96"/>
      <c r="L822" s="140"/>
      <c r="M822" s="140"/>
      <c r="N822" s="140"/>
      <c r="O822" s="140"/>
      <c r="Q822" s="140"/>
      <c r="R822" s="140"/>
      <c r="S822" s="140"/>
      <c r="T822" s="140"/>
      <c r="V822" s="140"/>
      <c r="W822" s="140"/>
      <c r="X822" s="140"/>
      <c r="Y822" s="140"/>
      <c r="AA822" s="140"/>
      <c r="AB822" s="140"/>
      <c r="AC822" s="140"/>
      <c r="AD822" s="140"/>
      <c r="AG822" s="92"/>
      <c r="AH822" s="92"/>
      <c r="AI822" s="92"/>
      <c r="AJ822" s="92"/>
      <c r="AK822" s="92"/>
      <c r="AL822" s="92"/>
      <c r="AM822" s="651"/>
      <c r="AN822" s="92"/>
      <c r="AO822" s="92"/>
    </row>
    <row r="823" spans="1:54" s="83" customFormat="1">
      <c r="B823" s="95"/>
      <c r="C823" s="96"/>
      <c r="L823" s="140"/>
      <c r="M823" s="140"/>
      <c r="N823" s="140"/>
      <c r="O823" s="140"/>
      <c r="Q823" s="140"/>
      <c r="R823" s="140"/>
      <c r="S823" s="140"/>
      <c r="T823" s="140"/>
      <c r="V823" s="140"/>
      <c r="W823" s="140"/>
      <c r="X823" s="140"/>
      <c r="Y823" s="140"/>
      <c r="AA823" s="140"/>
      <c r="AB823" s="140"/>
      <c r="AC823" s="140"/>
      <c r="AD823" s="140"/>
      <c r="AG823" s="92"/>
      <c r="AH823" s="92"/>
      <c r="AI823" s="92"/>
      <c r="AJ823" s="92"/>
      <c r="AK823" s="92"/>
      <c r="AL823" s="92"/>
      <c r="AM823" s="651"/>
      <c r="AN823" s="92"/>
      <c r="AO823" s="92"/>
    </row>
    <row r="824" spans="1:54" s="83" customFormat="1">
      <c r="B824" s="95"/>
      <c r="C824" s="96"/>
      <c r="D824" s="162"/>
      <c r="E824" s="162"/>
      <c r="G824" s="95"/>
      <c r="H824" s="95"/>
      <c r="I824" s="95"/>
      <c r="J824" s="95"/>
      <c r="K824" s="95"/>
      <c r="L824" s="126"/>
      <c r="M824" s="126"/>
      <c r="N824" s="126"/>
      <c r="O824" s="126"/>
      <c r="P824" s="95"/>
      <c r="Q824" s="126"/>
      <c r="R824" s="126"/>
      <c r="S824" s="126"/>
      <c r="T824" s="126"/>
      <c r="U824" s="92"/>
      <c r="V824" s="126"/>
      <c r="W824" s="126"/>
      <c r="X824" s="126"/>
      <c r="Y824" s="126"/>
      <c r="Z824" s="92"/>
      <c r="AA824" s="99"/>
      <c r="AB824" s="99"/>
      <c r="AC824" s="99"/>
      <c r="AD824" s="99"/>
      <c r="AE824" s="92"/>
      <c r="AF824" s="92"/>
      <c r="AG824" s="92"/>
      <c r="AH824" s="92"/>
      <c r="AI824" s="92"/>
      <c r="AJ824" s="92"/>
      <c r="AK824" s="92"/>
      <c r="AL824" s="92"/>
      <c r="AM824" s="651"/>
      <c r="AN824" s="92"/>
      <c r="AO824" s="92"/>
    </row>
    <row r="825" spans="1:54" s="83" customFormat="1">
      <c r="B825" s="95"/>
      <c r="C825" s="96"/>
      <c r="D825" s="162"/>
      <c r="E825" s="162"/>
      <c r="G825" s="95"/>
      <c r="H825" s="95"/>
      <c r="I825" s="95"/>
      <c r="J825" s="95"/>
      <c r="K825" s="95"/>
      <c r="L825" s="126"/>
      <c r="M825" s="126"/>
      <c r="N825" s="126"/>
      <c r="O825" s="126"/>
      <c r="P825" s="95"/>
      <c r="Q825" s="126"/>
      <c r="R825" s="126"/>
      <c r="S825" s="126"/>
      <c r="T825" s="126"/>
      <c r="U825" s="92"/>
      <c r="V825" s="126"/>
      <c r="W825" s="126"/>
      <c r="X825" s="126"/>
      <c r="Y825" s="126"/>
      <c r="Z825" s="92"/>
      <c r="AA825" s="99"/>
      <c r="AB825" s="99"/>
      <c r="AC825" s="99"/>
      <c r="AD825" s="99"/>
      <c r="AE825" s="92"/>
      <c r="AF825" s="92"/>
      <c r="AG825" s="92"/>
      <c r="AH825" s="92"/>
      <c r="AI825" s="92"/>
      <c r="AJ825" s="92"/>
      <c r="AK825" s="92"/>
      <c r="AL825" s="92"/>
      <c r="AM825" s="651"/>
      <c r="AN825" s="92"/>
      <c r="AO825" s="92"/>
    </row>
    <row r="826" spans="1:54" s="83" customFormat="1">
      <c r="B826" s="95"/>
      <c r="C826" s="96"/>
      <c r="D826" s="162"/>
      <c r="E826" s="162"/>
      <c r="G826" s="95"/>
      <c r="H826" s="95"/>
      <c r="I826" s="95"/>
      <c r="J826" s="95"/>
      <c r="K826" s="95"/>
      <c r="L826" s="126"/>
      <c r="M826" s="126"/>
      <c r="N826" s="126"/>
      <c r="O826" s="126"/>
      <c r="P826" s="95"/>
      <c r="Q826" s="126"/>
      <c r="R826" s="126"/>
      <c r="S826" s="126"/>
      <c r="T826" s="126"/>
      <c r="U826" s="92"/>
      <c r="V826" s="126"/>
      <c r="W826" s="99"/>
      <c r="X826" s="99"/>
      <c r="Y826" s="99"/>
      <c r="Z826" s="92"/>
      <c r="AA826" s="99"/>
      <c r="AB826" s="99"/>
      <c r="AC826" s="99"/>
      <c r="AD826" s="99"/>
      <c r="AE826" s="92"/>
      <c r="AF826" s="92"/>
      <c r="AG826" s="92"/>
      <c r="AH826" s="92"/>
      <c r="AI826" s="92"/>
      <c r="AJ826" s="92"/>
      <c r="AK826" s="92"/>
      <c r="AL826" s="92"/>
      <c r="AM826" s="651"/>
      <c r="AN826" s="92"/>
      <c r="AO826" s="92"/>
    </row>
    <row r="827" spans="1:54" s="83" customFormat="1">
      <c r="B827" s="95"/>
      <c r="C827" s="96"/>
      <c r="D827" s="162"/>
      <c r="E827" s="162"/>
      <c r="G827" s="95"/>
      <c r="H827" s="95"/>
      <c r="I827" s="95"/>
      <c r="J827" s="95"/>
      <c r="K827" s="95"/>
      <c r="L827" s="126"/>
      <c r="M827" s="126"/>
      <c r="N827" s="126"/>
      <c r="O827" s="126"/>
      <c r="P827" s="95"/>
      <c r="Q827" s="126"/>
      <c r="R827" s="126"/>
      <c r="S827" s="126"/>
      <c r="T827" s="126"/>
      <c r="U827" s="92"/>
      <c r="V827" s="126"/>
      <c r="W827" s="99"/>
      <c r="X827" s="99"/>
      <c r="Y827" s="99"/>
      <c r="Z827" s="92"/>
      <c r="AA827" s="99"/>
      <c r="AB827" s="99"/>
      <c r="AC827" s="99"/>
      <c r="AD827" s="99"/>
      <c r="AE827" s="92"/>
      <c r="AF827" s="92"/>
      <c r="AG827" s="92"/>
      <c r="AH827" s="92"/>
      <c r="AI827" s="92"/>
      <c r="AJ827" s="92"/>
      <c r="AK827" s="92"/>
      <c r="AL827" s="92"/>
      <c r="AM827" s="651"/>
      <c r="AN827" s="92"/>
      <c r="AO827" s="92"/>
    </row>
    <row r="828" spans="1:54" s="83" customFormat="1">
      <c r="B828" s="95"/>
      <c r="C828" s="96"/>
      <c r="D828" s="162"/>
      <c r="E828" s="162"/>
      <c r="G828" s="95"/>
      <c r="H828" s="95"/>
      <c r="I828" s="95"/>
      <c r="J828" s="95"/>
      <c r="K828" s="95"/>
      <c r="L828" s="126"/>
      <c r="M828" s="126"/>
      <c r="N828" s="126"/>
      <c r="O828" s="126"/>
      <c r="P828" s="95"/>
      <c r="Q828" s="126"/>
      <c r="R828" s="126"/>
      <c r="S828" s="126"/>
      <c r="T828" s="126"/>
      <c r="U828" s="92"/>
      <c r="V828" s="126"/>
      <c r="W828" s="99"/>
      <c r="X828" s="99"/>
      <c r="Y828" s="99"/>
      <c r="Z828" s="92"/>
      <c r="AA828" s="99"/>
      <c r="AB828" s="99"/>
      <c r="AC828" s="99"/>
      <c r="AD828" s="99"/>
      <c r="AE828" s="92"/>
      <c r="AF828" s="92"/>
      <c r="AG828" s="92"/>
      <c r="AH828" s="92"/>
      <c r="AI828" s="92"/>
      <c r="AJ828" s="92"/>
      <c r="AK828" s="92"/>
      <c r="AL828" s="92"/>
      <c r="AM828" s="651"/>
      <c r="AN828" s="92"/>
      <c r="AO828" s="92"/>
    </row>
    <row r="829" spans="1:54" s="83" customFormat="1">
      <c r="B829" s="95"/>
      <c r="C829" s="96"/>
      <c r="D829" s="162"/>
      <c r="E829" s="162"/>
      <c r="G829" s="95"/>
      <c r="H829" s="95"/>
      <c r="I829" s="95"/>
      <c r="J829" s="95"/>
      <c r="K829" s="95"/>
      <c r="L829" s="126"/>
      <c r="M829" s="126"/>
      <c r="N829" s="126"/>
      <c r="O829" s="126"/>
      <c r="P829" s="95"/>
      <c r="Q829" s="126"/>
      <c r="R829" s="126"/>
      <c r="S829" s="126"/>
      <c r="T829" s="126"/>
      <c r="U829" s="92"/>
      <c r="V829" s="126"/>
      <c r="W829" s="99"/>
      <c r="X829" s="99"/>
      <c r="Y829" s="99"/>
      <c r="Z829" s="92"/>
      <c r="AA829" s="99"/>
      <c r="AB829" s="99"/>
      <c r="AC829" s="99"/>
      <c r="AD829" s="99"/>
      <c r="AE829" s="92"/>
      <c r="AF829" s="92"/>
      <c r="AG829" s="92"/>
      <c r="AH829" s="92"/>
      <c r="AI829" s="92"/>
      <c r="AJ829" s="92"/>
      <c r="AK829" s="92"/>
      <c r="AL829" s="92"/>
      <c r="AM829" s="651"/>
      <c r="AN829" s="92"/>
      <c r="AO829" s="92"/>
    </row>
    <row r="830" spans="1:54" s="83" customFormat="1">
      <c r="B830" s="95"/>
      <c r="C830" s="96"/>
      <c r="D830" s="162"/>
      <c r="E830" s="162"/>
      <c r="G830" s="95"/>
      <c r="H830" s="95"/>
      <c r="I830" s="95"/>
      <c r="J830" s="95"/>
      <c r="K830" s="95"/>
      <c r="L830" s="126"/>
      <c r="M830" s="126"/>
      <c r="N830" s="126"/>
      <c r="O830" s="126"/>
      <c r="P830" s="95"/>
      <c r="Q830" s="126"/>
      <c r="R830" s="126"/>
      <c r="S830" s="126"/>
      <c r="T830" s="126"/>
      <c r="U830" s="92"/>
      <c r="V830" s="126"/>
      <c r="W830" s="99"/>
      <c r="X830" s="99"/>
      <c r="Y830" s="99"/>
      <c r="Z830" s="92"/>
      <c r="AA830" s="99"/>
      <c r="AB830" s="99"/>
      <c r="AC830" s="99"/>
      <c r="AD830" s="99"/>
      <c r="AE830" s="92"/>
      <c r="AF830" s="92"/>
      <c r="AG830" s="92"/>
      <c r="AH830" s="92"/>
      <c r="AI830" s="92"/>
      <c r="AJ830" s="92"/>
      <c r="AK830" s="92"/>
      <c r="AL830" s="92"/>
      <c r="AM830" s="651"/>
      <c r="AN830" s="92"/>
      <c r="AO830" s="92"/>
    </row>
    <row r="831" spans="1:54">
      <c r="A831" s="158"/>
      <c r="B831" s="156" t="s">
        <v>0</v>
      </c>
      <c r="C831" s="157" t="s">
        <v>0</v>
      </c>
      <c r="D831" s="155" t="s">
        <v>201</v>
      </c>
      <c r="E831" s="155"/>
      <c r="F831" s="158"/>
      <c r="G831" s="156" t="s">
        <v>0</v>
      </c>
      <c r="H831" s="156" t="s">
        <v>0</v>
      </c>
      <c r="I831" s="156" t="s">
        <v>0</v>
      </c>
      <c r="J831" s="156" t="s">
        <v>0</v>
      </c>
      <c r="K831" s="156" t="s">
        <v>0</v>
      </c>
      <c r="L831" s="156"/>
      <c r="M831" s="156"/>
      <c r="N831" s="156"/>
      <c r="O831" s="156"/>
      <c r="P831" s="253" t="s">
        <v>0</v>
      </c>
      <c r="Q831" s="156"/>
      <c r="R831" s="156"/>
      <c r="S831" s="156"/>
      <c r="T831" s="156"/>
      <c r="U831" s="254"/>
      <c r="V831" s="254"/>
      <c r="W831" s="254"/>
      <c r="X831" s="254"/>
      <c r="Y831" s="254"/>
      <c r="Z831" s="254"/>
      <c r="AA831" s="254"/>
      <c r="AB831" s="254"/>
      <c r="AC831" s="254"/>
      <c r="AD831" s="254"/>
      <c r="AE831" s="254"/>
      <c r="AF831" s="254"/>
      <c r="AG831" s="254"/>
      <c r="AH831" s="254"/>
      <c r="AI831" s="254"/>
      <c r="AJ831" s="254"/>
      <c r="AK831" s="254"/>
      <c r="AL831" s="254"/>
      <c r="AM831" s="651"/>
      <c r="AN831" s="254"/>
      <c r="AO831" s="254"/>
      <c r="AP831" s="158"/>
      <c r="AQ831" s="158"/>
      <c r="AR831" s="158"/>
      <c r="AS831" s="158"/>
      <c r="AT831" s="158"/>
      <c r="AU831" s="158"/>
      <c r="AV831" s="158"/>
      <c r="AW831" s="158"/>
      <c r="AX831" s="158"/>
      <c r="AY831" s="158"/>
      <c r="AZ831" s="158"/>
      <c r="BA831" s="158"/>
      <c r="BB831" s="158"/>
    </row>
    <row r="832" spans="1:54" s="83" customFormat="1">
      <c r="B832" s="95"/>
      <c r="C832" s="96"/>
      <c r="D832" s="162"/>
      <c r="E832" s="162"/>
      <c r="G832" s="95"/>
      <c r="H832" s="95"/>
      <c r="I832" s="95"/>
      <c r="J832" s="95"/>
      <c r="K832" s="95"/>
      <c r="L832" s="126"/>
      <c r="M832" s="126"/>
      <c r="N832" s="126"/>
      <c r="O832" s="126"/>
      <c r="P832" s="95"/>
      <c r="Q832" s="126"/>
      <c r="R832" s="126"/>
      <c r="S832" s="126"/>
      <c r="T832" s="126"/>
      <c r="U832" s="92"/>
      <c r="V832" s="126"/>
      <c r="W832" s="99"/>
      <c r="X832" s="99"/>
      <c r="Y832" s="99"/>
      <c r="Z832" s="92"/>
      <c r="AA832" s="99"/>
      <c r="AB832" s="99"/>
      <c r="AC832" s="99"/>
      <c r="AD832" s="99"/>
      <c r="AE832" s="92"/>
      <c r="AF832" s="92"/>
      <c r="AG832" s="92"/>
      <c r="AH832" s="92"/>
      <c r="AI832" s="92"/>
      <c r="AJ832" s="92"/>
      <c r="AK832" s="92"/>
      <c r="AL832" s="92"/>
      <c r="AM832" s="651"/>
      <c r="AN832" s="92"/>
      <c r="AO832" s="92"/>
    </row>
    <row r="833" spans="2:41" s="83" customFormat="1">
      <c r="B833" s="95"/>
      <c r="C833" s="96"/>
      <c r="D833" s="162" t="s">
        <v>659</v>
      </c>
      <c r="E833" s="162"/>
      <c r="G833" s="95"/>
      <c r="H833" s="95"/>
      <c r="I833" s="95"/>
      <c r="J833" s="95"/>
      <c r="K833" s="95"/>
      <c r="L833" s="126"/>
      <c r="M833" s="126"/>
      <c r="N833" s="126"/>
      <c r="O833" s="126"/>
      <c r="P833" s="95"/>
      <c r="Q833" s="126"/>
      <c r="R833" s="126"/>
      <c r="S833" s="126"/>
      <c r="T833" s="126"/>
      <c r="U833" s="92"/>
      <c r="V833" s="126"/>
      <c r="W833" s="99"/>
      <c r="X833" s="99"/>
      <c r="Y833" s="99"/>
      <c r="Z833" s="92"/>
      <c r="AA833" s="99"/>
      <c r="AB833" s="99"/>
      <c r="AC833" s="99"/>
      <c r="AD833" s="99"/>
      <c r="AE833" s="92"/>
      <c r="AF833" s="92"/>
      <c r="AG833" s="92"/>
      <c r="AH833" s="92"/>
      <c r="AI833" s="92"/>
      <c r="AJ833" s="92"/>
      <c r="AK833" s="92"/>
      <c r="AL833" s="92"/>
      <c r="AM833" s="651"/>
      <c r="AN833" s="92"/>
      <c r="AO833" s="92"/>
    </row>
    <row r="834" spans="2:41" s="83" customFormat="1">
      <c r="B834" s="95" t="s">
        <v>656</v>
      </c>
      <c r="C834" s="96"/>
      <c r="D834" s="162" t="s">
        <v>614</v>
      </c>
      <c r="E834" s="162"/>
      <c r="G834" s="90"/>
      <c r="H834" s="90"/>
      <c r="I834" s="90">
        <v>593</v>
      </c>
      <c r="J834" s="90">
        <v>652</v>
      </c>
      <c r="K834" s="90">
        <v>527</v>
      </c>
      <c r="L834" s="91">
        <v>127</v>
      </c>
      <c r="M834" s="91">
        <v>105</v>
      </c>
      <c r="N834" s="91">
        <v>166</v>
      </c>
      <c r="O834" s="91">
        <v>169</v>
      </c>
      <c r="P834" s="90">
        <v>567</v>
      </c>
      <c r="Q834" s="91">
        <v>152</v>
      </c>
      <c r="R834" s="91">
        <v>150</v>
      </c>
      <c r="S834" s="91">
        <v>47</v>
      </c>
      <c r="T834" s="91">
        <v>0</v>
      </c>
      <c r="U834" s="113">
        <v>349</v>
      </c>
      <c r="V834" s="91"/>
      <c r="W834" s="99"/>
      <c r="X834" s="99"/>
      <c r="Y834" s="99"/>
      <c r="Z834" s="92"/>
      <c r="AA834" s="99"/>
      <c r="AB834" s="99"/>
      <c r="AC834" s="99"/>
      <c r="AD834" s="99"/>
      <c r="AE834" s="92"/>
      <c r="AF834" s="92"/>
      <c r="AG834" s="92"/>
      <c r="AH834" s="92"/>
      <c r="AI834" s="92"/>
      <c r="AJ834" s="92"/>
      <c r="AK834" s="92"/>
      <c r="AL834" s="92"/>
      <c r="AM834" s="651"/>
      <c r="AN834" s="92"/>
      <c r="AO834" s="92"/>
    </row>
    <row r="835" spans="2:41" s="83" customFormat="1">
      <c r="B835" s="95" t="s">
        <v>221</v>
      </c>
      <c r="C835" s="96"/>
      <c r="D835" s="162" t="s">
        <v>615</v>
      </c>
      <c r="E835" s="162"/>
      <c r="G835" s="90"/>
      <c r="H835" s="90"/>
      <c r="I835" s="701">
        <v>0.06</v>
      </c>
      <c r="J835" s="701">
        <v>0.06</v>
      </c>
      <c r="K835" s="701">
        <v>7.0999999999999994E-2</v>
      </c>
      <c r="L835" s="719">
        <v>0.06</v>
      </c>
      <c r="M835" s="719">
        <v>6.3E-2</v>
      </c>
      <c r="N835" s="719">
        <v>5.5E-2</v>
      </c>
      <c r="O835" s="719">
        <v>6.0999999999999999E-2</v>
      </c>
      <c r="P835" s="701">
        <v>5.8999999999999997E-2</v>
      </c>
      <c r="Q835" s="719">
        <v>6.0999999999999999E-2</v>
      </c>
      <c r="R835" s="719">
        <v>6.3E-2</v>
      </c>
      <c r="S835" s="719">
        <v>6.2E-2</v>
      </c>
      <c r="T835" s="719">
        <v>0</v>
      </c>
      <c r="U835" s="701">
        <v>6.2E-2</v>
      </c>
      <c r="V835" s="719"/>
      <c r="W835" s="99"/>
      <c r="X835" s="99"/>
      <c r="Y835" s="99"/>
      <c r="Z835" s="92"/>
      <c r="AA835" s="99"/>
      <c r="AB835" s="99"/>
      <c r="AC835" s="99"/>
      <c r="AD835" s="99"/>
      <c r="AE835" s="92"/>
      <c r="AF835" s="92"/>
      <c r="AG835" s="92"/>
      <c r="AH835" s="92"/>
      <c r="AI835" s="92"/>
      <c r="AJ835" s="92"/>
      <c r="AK835" s="92"/>
      <c r="AL835" s="92"/>
      <c r="AM835" s="651"/>
      <c r="AN835" s="92"/>
      <c r="AO835" s="92"/>
    </row>
    <row r="836" spans="2:41" s="83" customFormat="1">
      <c r="B836" s="95" t="s">
        <v>221</v>
      </c>
      <c r="C836" s="96"/>
      <c r="D836" s="162" t="s">
        <v>616</v>
      </c>
      <c r="E836" s="162"/>
      <c r="G836" s="90"/>
      <c r="H836" s="90"/>
      <c r="I836" s="701">
        <v>0.85699999999999998</v>
      </c>
      <c r="J836" s="701">
        <v>0.872</v>
      </c>
      <c r="K836" s="701">
        <v>0.88</v>
      </c>
      <c r="L836" s="719">
        <v>0.88800000000000001</v>
      </c>
      <c r="M836" s="719">
        <v>0.872</v>
      </c>
      <c r="N836" s="719">
        <v>0.875</v>
      </c>
      <c r="O836" s="719">
        <v>0.88700000000000001</v>
      </c>
      <c r="P836" s="701">
        <v>0.88200000000000001</v>
      </c>
      <c r="Q836" s="719">
        <v>0.90800000000000003</v>
      </c>
      <c r="R836" s="719">
        <v>0.88100000000000001</v>
      </c>
      <c r="S836" s="719">
        <v>0.89700000000000002</v>
      </c>
      <c r="T836" s="719">
        <v>0</v>
      </c>
      <c r="U836" s="701">
        <v>0.89500000000000002</v>
      </c>
      <c r="V836" s="719"/>
      <c r="W836" s="99"/>
      <c r="X836" s="99"/>
      <c r="Y836" s="99"/>
      <c r="Z836" s="92"/>
      <c r="AA836" s="99"/>
      <c r="AB836" s="99"/>
      <c r="AC836" s="99"/>
      <c r="AD836" s="99"/>
      <c r="AE836" s="92"/>
      <c r="AF836" s="92"/>
      <c r="AG836" s="92"/>
      <c r="AH836" s="92"/>
      <c r="AI836" s="92"/>
      <c r="AJ836" s="92"/>
      <c r="AK836" s="92"/>
      <c r="AL836" s="92"/>
      <c r="AM836" s="651"/>
      <c r="AN836" s="92"/>
      <c r="AO836" s="92"/>
    </row>
    <row r="837" spans="2:41" s="83" customFormat="1">
      <c r="B837" s="95"/>
      <c r="C837" s="96"/>
      <c r="D837" s="162"/>
      <c r="E837" s="162"/>
      <c r="G837" s="90"/>
      <c r="H837" s="90"/>
      <c r="I837" s="90"/>
      <c r="J837" s="90"/>
      <c r="K837" s="90"/>
      <c r="L837" s="91"/>
      <c r="M837" s="91"/>
      <c r="N837" s="91"/>
      <c r="O837" s="91"/>
      <c r="P837" s="90"/>
      <c r="Q837" s="91"/>
      <c r="R837" s="91"/>
      <c r="S837" s="91"/>
      <c r="T837" s="91"/>
      <c r="U837" s="113"/>
      <c r="V837" s="91"/>
      <c r="W837" s="99"/>
      <c r="X837" s="99"/>
      <c r="Y837" s="99"/>
      <c r="Z837" s="92"/>
      <c r="AA837" s="99"/>
      <c r="AB837" s="99"/>
      <c r="AC837" s="99"/>
      <c r="AD837" s="99"/>
      <c r="AE837" s="92"/>
      <c r="AF837" s="92"/>
      <c r="AG837" s="92"/>
      <c r="AH837" s="92"/>
      <c r="AI837" s="92"/>
      <c r="AJ837" s="92"/>
      <c r="AK837" s="92"/>
      <c r="AL837" s="92"/>
      <c r="AM837" s="651"/>
      <c r="AN837" s="92"/>
      <c r="AO837" s="92"/>
    </row>
    <row r="838" spans="2:41" s="83" customFormat="1">
      <c r="B838" s="95"/>
      <c r="C838" s="96"/>
      <c r="D838" s="162"/>
      <c r="E838" s="162"/>
      <c r="G838" s="90"/>
      <c r="H838" s="90"/>
      <c r="I838" s="90"/>
      <c r="J838" s="90"/>
      <c r="K838" s="90"/>
      <c r="L838" s="91"/>
      <c r="M838" s="91"/>
      <c r="N838" s="91"/>
      <c r="O838" s="91"/>
      <c r="P838" s="90"/>
      <c r="Q838" s="91"/>
      <c r="R838" s="91"/>
      <c r="S838" s="91"/>
      <c r="T838" s="91"/>
      <c r="U838" s="113"/>
      <c r="V838" s="91"/>
      <c r="W838" s="99"/>
      <c r="X838" s="99"/>
      <c r="Y838" s="99"/>
      <c r="Z838" s="92"/>
      <c r="AA838" s="99"/>
      <c r="AB838" s="99"/>
      <c r="AC838" s="99"/>
      <c r="AD838" s="99"/>
      <c r="AE838" s="92"/>
      <c r="AF838" s="92"/>
      <c r="AG838" s="92"/>
      <c r="AH838" s="92"/>
      <c r="AI838" s="92"/>
      <c r="AJ838" s="92"/>
      <c r="AK838" s="92"/>
      <c r="AL838" s="92"/>
      <c r="AM838" s="651"/>
      <c r="AN838" s="92"/>
      <c r="AO838" s="92"/>
    </row>
    <row r="839" spans="2:41" s="83" customFormat="1">
      <c r="B839" s="95"/>
      <c r="C839" s="96"/>
      <c r="D839" s="162" t="s">
        <v>702</v>
      </c>
      <c r="E839" s="162"/>
      <c r="G839" s="90"/>
      <c r="H839" s="90"/>
      <c r="I839" s="90"/>
      <c r="J839" s="90"/>
      <c r="K839" s="90"/>
      <c r="L839" s="91"/>
      <c r="M839" s="91"/>
      <c r="N839" s="91"/>
      <c r="O839" s="91"/>
      <c r="P839" s="90"/>
      <c r="Q839" s="91"/>
      <c r="R839" s="91"/>
      <c r="S839" s="91"/>
      <c r="T839" s="91"/>
      <c r="U839" s="113"/>
      <c r="V839" s="91"/>
      <c r="W839" s="99"/>
      <c r="X839" s="99"/>
      <c r="Y839" s="99"/>
      <c r="Z839" s="92"/>
      <c r="AA839" s="99"/>
      <c r="AB839" s="99"/>
      <c r="AC839" s="99"/>
      <c r="AD839" s="99"/>
      <c r="AE839" s="92"/>
      <c r="AF839" s="92"/>
      <c r="AG839" s="92"/>
      <c r="AH839" s="92"/>
      <c r="AI839" s="92"/>
      <c r="AJ839" s="92"/>
      <c r="AK839" s="92"/>
      <c r="AL839" s="92"/>
      <c r="AM839" s="651"/>
      <c r="AN839" s="92"/>
      <c r="AO839" s="92"/>
    </row>
    <row r="840" spans="2:41" s="83" customFormat="1">
      <c r="B840" s="95" t="s">
        <v>656</v>
      </c>
      <c r="C840" s="96"/>
      <c r="D840" s="162" t="s">
        <v>614</v>
      </c>
      <c r="E840" s="162"/>
      <c r="G840" s="90"/>
      <c r="H840" s="90"/>
      <c r="I840" s="90">
        <v>593</v>
      </c>
      <c r="J840" s="90">
        <v>652</v>
      </c>
      <c r="K840" s="90">
        <v>527</v>
      </c>
      <c r="L840" s="91">
        <v>127</v>
      </c>
      <c r="M840" s="91">
        <v>105</v>
      </c>
      <c r="N840" s="91">
        <v>166</v>
      </c>
      <c r="O840" s="91">
        <v>169</v>
      </c>
      <c r="P840" s="90">
        <v>567</v>
      </c>
      <c r="Q840" s="91">
        <v>152</v>
      </c>
      <c r="R840" s="91">
        <v>150</v>
      </c>
      <c r="S840" s="91">
        <v>47</v>
      </c>
      <c r="T840" s="91">
        <v>0</v>
      </c>
      <c r="U840" s="113">
        <v>349</v>
      </c>
      <c r="V840" s="91"/>
      <c r="W840" s="99"/>
      <c r="X840" s="99"/>
      <c r="Y840" s="99"/>
      <c r="Z840" s="92"/>
      <c r="AA840" s="99"/>
      <c r="AB840" s="99"/>
      <c r="AC840" s="99"/>
      <c r="AD840" s="99"/>
      <c r="AE840" s="92"/>
      <c r="AF840" s="92"/>
      <c r="AG840" s="92"/>
      <c r="AH840" s="92"/>
      <c r="AI840" s="92"/>
      <c r="AJ840" s="92"/>
      <c r="AK840" s="92"/>
      <c r="AL840" s="92"/>
      <c r="AM840" s="651"/>
      <c r="AN840" s="92"/>
      <c r="AO840" s="92"/>
    </row>
    <row r="841" spans="2:41" s="83" customFormat="1">
      <c r="B841" s="95" t="s">
        <v>221</v>
      </c>
      <c r="C841" s="96"/>
      <c r="D841" s="162" t="s">
        <v>615</v>
      </c>
      <c r="E841" s="162"/>
      <c r="G841" s="90"/>
      <c r="H841" s="90"/>
      <c r="I841" s="583">
        <v>1.4999999999999999E-2</v>
      </c>
      <c r="J841" s="583">
        <v>1.2999999999999999E-2</v>
      </c>
      <c r="K841" s="583">
        <v>1.2999999999999999E-2</v>
      </c>
      <c r="L841" s="584">
        <v>8.9999999999999993E-3</v>
      </c>
      <c r="M841" s="584">
        <v>7.0000000000000001E-3</v>
      </c>
      <c r="N841" s="584">
        <v>0.01</v>
      </c>
      <c r="O841" s="584">
        <v>1.4E-2</v>
      </c>
      <c r="P841" s="583">
        <v>0.01</v>
      </c>
      <c r="Q841" s="584">
        <v>1.2E-2</v>
      </c>
      <c r="R841" s="584">
        <v>8.0000000000000002E-3</v>
      </c>
      <c r="S841" s="584">
        <v>0.01</v>
      </c>
      <c r="T841" s="584">
        <v>0</v>
      </c>
      <c r="U841" s="720">
        <v>0.01</v>
      </c>
      <c r="V841" s="584"/>
      <c r="W841" s="724"/>
      <c r="X841" s="99"/>
      <c r="Y841" s="99"/>
      <c r="Z841" s="92"/>
      <c r="AA841" s="99"/>
      <c r="AB841" s="99"/>
      <c r="AC841" s="99"/>
      <c r="AD841" s="99"/>
      <c r="AE841" s="92"/>
      <c r="AF841" s="92"/>
      <c r="AG841" s="92"/>
      <c r="AH841" s="92"/>
      <c r="AI841" s="92"/>
      <c r="AJ841" s="92"/>
      <c r="AK841" s="92"/>
      <c r="AL841" s="92"/>
      <c r="AM841" s="651"/>
      <c r="AN841" s="92"/>
      <c r="AO841" s="92"/>
    </row>
    <row r="842" spans="2:41" s="83" customFormat="1">
      <c r="B842" s="95" t="s">
        <v>221</v>
      </c>
      <c r="C842" s="96"/>
      <c r="D842" s="162" t="s">
        <v>616</v>
      </c>
      <c r="E842" s="162"/>
      <c r="G842" s="90"/>
      <c r="H842" s="90"/>
      <c r="I842" s="583">
        <v>0.72299999999999998</v>
      </c>
      <c r="J842" s="583">
        <v>0.68500000000000005</v>
      </c>
      <c r="K842" s="583">
        <v>0.69099999999999995</v>
      </c>
      <c r="L842" s="584">
        <v>0.625</v>
      </c>
      <c r="M842" s="584">
        <v>0.54300000000000004</v>
      </c>
      <c r="N842" s="584">
        <v>0.60099999999999998</v>
      </c>
      <c r="O842" s="584">
        <v>0.69199999999999995</v>
      </c>
      <c r="P842" s="583">
        <v>0.64500000000000002</v>
      </c>
      <c r="Q842" s="584">
        <v>0.67400000000000004</v>
      </c>
      <c r="R842" s="584">
        <v>0.496</v>
      </c>
      <c r="S842" s="584">
        <v>0.63500000000000001</v>
      </c>
      <c r="T842" s="584">
        <v>0</v>
      </c>
      <c r="U842" s="720">
        <v>0.60799999999999998</v>
      </c>
      <c r="V842" s="584"/>
      <c r="W842" s="724"/>
      <c r="X842" s="99"/>
      <c r="Y842" s="99"/>
      <c r="Z842" s="92"/>
      <c r="AA842" s="99"/>
      <c r="AB842" s="99"/>
      <c r="AC842" s="99"/>
      <c r="AD842" s="99"/>
      <c r="AE842" s="92"/>
      <c r="AF842" s="92"/>
      <c r="AG842" s="92"/>
      <c r="AH842" s="92"/>
      <c r="AI842" s="92"/>
      <c r="AJ842" s="92"/>
      <c r="AK842" s="92"/>
      <c r="AL842" s="92"/>
      <c r="AM842" s="651"/>
      <c r="AN842" s="92"/>
      <c r="AO842" s="92"/>
    </row>
    <row r="843" spans="2:41" s="83" customFormat="1">
      <c r="B843" s="95"/>
      <c r="C843" s="96"/>
      <c r="D843" s="162"/>
      <c r="E843" s="162"/>
      <c r="G843" s="90"/>
      <c r="H843" s="90"/>
      <c r="I843" s="90"/>
      <c r="J843" s="90"/>
      <c r="K843" s="90"/>
      <c r="L843" s="91"/>
      <c r="M843" s="91"/>
      <c r="N843" s="91"/>
      <c r="O843" s="91"/>
      <c r="P843" s="90"/>
      <c r="Q843" s="91"/>
      <c r="R843" s="91"/>
      <c r="S843" s="91"/>
      <c r="T843" s="91"/>
      <c r="U843" s="113"/>
      <c r="V843" s="91"/>
      <c r="W843" s="99"/>
      <c r="X843" s="99"/>
      <c r="Y843" s="99"/>
      <c r="Z843" s="92"/>
      <c r="AA843" s="99"/>
      <c r="AB843" s="99"/>
      <c r="AC843" s="99"/>
      <c r="AD843" s="99"/>
      <c r="AE843" s="92"/>
      <c r="AF843" s="92"/>
      <c r="AG843" s="92"/>
      <c r="AH843" s="92"/>
      <c r="AI843" s="92"/>
      <c r="AJ843" s="92"/>
      <c r="AK843" s="92"/>
      <c r="AL843" s="92"/>
      <c r="AM843" s="651"/>
      <c r="AN843" s="92"/>
      <c r="AO843" s="92"/>
    </row>
    <row r="844" spans="2:41" s="83" customFormat="1">
      <c r="B844" s="95"/>
      <c r="C844" s="96"/>
      <c r="D844" s="554" t="s">
        <v>641</v>
      </c>
      <c r="E844" s="653"/>
      <c r="F844" s="586"/>
      <c r="G844" s="722"/>
      <c r="H844" s="722"/>
      <c r="I844" s="722"/>
      <c r="J844" s="722"/>
      <c r="K844" s="722"/>
      <c r="L844" s="723"/>
      <c r="M844" s="723"/>
      <c r="N844" s="723"/>
      <c r="O844" s="723"/>
      <c r="P844" s="722"/>
      <c r="Q844" s="723"/>
      <c r="R844" s="723"/>
      <c r="S844" s="723"/>
      <c r="T844" s="723"/>
      <c r="U844" s="722"/>
      <c r="V844" s="983"/>
      <c r="W844" s="985"/>
      <c r="X844" s="985"/>
      <c r="Y844" s="985"/>
      <c r="Z844" s="586"/>
      <c r="AA844" s="725"/>
      <c r="AB844" s="725"/>
      <c r="AC844" s="725"/>
      <c r="AD844" s="725"/>
      <c r="AE844" s="586"/>
      <c r="AF844" s="586"/>
      <c r="AG844" s="588"/>
      <c r="AH844" s="588"/>
      <c r="AI844" s="588"/>
      <c r="AJ844" s="588"/>
      <c r="AK844" s="588"/>
      <c r="AL844" s="588"/>
      <c r="AM844" s="651"/>
      <c r="AN844" s="92"/>
      <c r="AO844" s="92"/>
    </row>
    <row r="845" spans="2:41" s="83" customFormat="1">
      <c r="B845" s="95" t="s">
        <v>640</v>
      </c>
      <c r="C845" s="96"/>
      <c r="D845" s="163" t="s">
        <v>171</v>
      </c>
      <c r="E845" s="162"/>
      <c r="G845" s="90">
        <v>0</v>
      </c>
      <c r="H845" s="85">
        <v>0</v>
      </c>
      <c r="I845" s="85">
        <v>31</v>
      </c>
      <c r="J845" s="85">
        <v>34</v>
      </c>
      <c r="K845" s="85">
        <v>33</v>
      </c>
      <c r="L845" s="86">
        <v>6.7</v>
      </c>
      <c r="M845" s="86">
        <v>5.8</v>
      </c>
      <c r="N845" s="86">
        <v>7.9</v>
      </c>
      <c r="O845" s="86">
        <v>9.3000000000000007</v>
      </c>
      <c r="P845" s="85">
        <v>30</v>
      </c>
      <c r="Q845" s="86">
        <v>8.4</v>
      </c>
      <c r="R845" s="86">
        <v>8.4</v>
      </c>
      <c r="S845" s="86">
        <v>2.6</v>
      </c>
      <c r="T845" s="86">
        <v>0</v>
      </c>
      <c r="U845" s="85">
        <v>19.399999999999999</v>
      </c>
      <c r="V845" s="1022">
        <v>0</v>
      </c>
      <c r="W845" s="1022">
        <v>0</v>
      </c>
      <c r="X845" s="1022">
        <v>0</v>
      </c>
      <c r="Y845" s="1022">
        <v>0</v>
      </c>
      <c r="Z845" s="709">
        <v>0</v>
      </c>
      <c r="AA845" s="258"/>
      <c r="AB845" s="258"/>
      <c r="AC845" s="258"/>
      <c r="AD845" s="258"/>
      <c r="AE845" s="258">
        <v>0</v>
      </c>
      <c r="AF845" s="258">
        <v>0</v>
      </c>
      <c r="AG845" s="92"/>
      <c r="AH845" s="92"/>
      <c r="AI845" s="92"/>
      <c r="AJ845" s="92"/>
      <c r="AK845" s="92"/>
      <c r="AL845" s="92"/>
      <c r="AM845" s="651"/>
      <c r="AN845" s="92"/>
      <c r="AO845" s="92"/>
    </row>
    <row r="846" spans="2:41" s="83" customFormat="1">
      <c r="B846" s="95" t="s">
        <v>640</v>
      </c>
      <c r="C846" s="96"/>
      <c r="D846" s="163" t="s">
        <v>701</v>
      </c>
      <c r="E846" s="162"/>
      <c r="G846" s="90"/>
      <c r="H846" s="85">
        <v>0</v>
      </c>
      <c r="I846" s="85">
        <v>6.6</v>
      </c>
      <c r="J846" s="85">
        <v>5.7</v>
      </c>
      <c r="K846" s="85">
        <v>4.8</v>
      </c>
      <c r="L846" s="86">
        <v>0.7</v>
      </c>
      <c r="M846" s="86">
        <v>0.4</v>
      </c>
      <c r="N846" s="86">
        <v>1</v>
      </c>
      <c r="O846" s="86">
        <v>1.6</v>
      </c>
      <c r="P846" s="85">
        <v>3.7</v>
      </c>
      <c r="Q846" s="86">
        <v>1.2</v>
      </c>
      <c r="R846" s="86">
        <v>0.6</v>
      </c>
      <c r="S846" s="86">
        <v>0.3</v>
      </c>
      <c r="T846" s="86">
        <v>0</v>
      </c>
      <c r="U846" s="721">
        <v>2.1</v>
      </c>
      <c r="V846" s="86"/>
      <c r="W846" s="99"/>
      <c r="X846" s="99"/>
      <c r="Y846" s="99"/>
      <c r="Z846" s="92"/>
      <c r="AA846" s="99"/>
      <c r="AB846" s="99"/>
      <c r="AC846" s="99"/>
      <c r="AD846" s="99"/>
      <c r="AE846" s="92"/>
      <c r="AF846" s="92"/>
      <c r="AG846" s="92"/>
      <c r="AH846" s="92"/>
      <c r="AI846" s="92"/>
      <c r="AJ846" s="92"/>
      <c r="AK846" s="92"/>
      <c r="AL846" s="92"/>
      <c r="AM846" s="651"/>
      <c r="AN846" s="92"/>
      <c r="AO846" s="92"/>
    </row>
    <row r="847" spans="2:41" s="83" customFormat="1">
      <c r="B847" s="95"/>
      <c r="C847" s="96"/>
      <c r="D847" s="163"/>
      <c r="E847" s="162"/>
      <c r="G847" s="90"/>
      <c r="H847" s="85"/>
      <c r="I847" s="85"/>
      <c r="J847" s="85"/>
      <c r="K847" s="85"/>
      <c r="L847" s="86"/>
      <c r="M847" s="86"/>
      <c r="N847" s="86"/>
      <c r="O847" s="86"/>
      <c r="P847" s="85"/>
      <c r="Q847" s="86"/>
      <c r="R847" s="86"/>
      <c r="S847" s="86"/>
      <c r="T847" s="86"/>
      <c r="U847" s="721"/>
      <c r="V847" s="86"/>
      <c r="W847" s="99"/>
      <c r="X847" s="99"/>
      <c r="Y847" s="99"/>
      <c r="Z847" s="92"/>
      <c r="AA847" s="99"/>
      <c r="AB847" s="99"/>
      <c r="AC847" s="99"/>
      <c r="AD847" s="99"/>
      <c r="AE847" s="92"/>
      <c r="AF847" s="92"/>
      <c r="AG847" s="92"/>
      <c r="AH847" s="92"/>
      <c r="AI847" s="92"/>
      <c r="AJ847" s="92"/>
      <c r="AK847" s="92"/>
      <c r="AL847" s="92"/>
      <c r="AM847" s="651"/>
      <c r="AN847" s="92"/>
      <c r="AO847" s="92"/>
    </row>
    <row r="848" spans="2:41" s="83" customFormat="1">
      <c r="B848" s="95"/>
      <c r="C848" s="96"/>
      <c r="D848" s="554" t="s">
        <v>617</v>
      </c>
      <c r="E848" s="653"/>
      <c r="F848" s="586"/>
      <c r="G848" s="722"/>
      <c r="H848" s="722"/>
      <c r="I848" s="722"/>
      <c r="J848" s="722"/>
      <c r="K848" s="722"/>
      <c r="L848" s="723"/>
      <c r="M848" s="723"/>
      <c r="N848" s="723"/>
      <c r="O848" s="723"/>
      <c r="P848" s="722"/>
      <c r="Q848" s="723"/>
      <c r="R848" s="723"/>
      <c r="S848" s="723"/>
      <c r="T848" s="723"/>
      <c r="U848" s="722"/>
      <c r="V848" s="723"/>
      <c r="W848" s="725"/>
      <c r="X848" s="725"/>
      <c r="Y848" s="725"/>
      <c r="Z848" s="586"/>
      <c r="AA848" s="725"/>
      <c r="AB848" s="725"/>
      <c r="AC848" s="725"/>
      <c r="AD848" s="725"/>
      <c r="AE848" s="586"/>
      <c r="AF848" s="586"/>
      <c r="AG848" s="588"/>
      <c r="AH848" s="588"/>
      <c r="AI848" s="588"/>
      <c r="AJ848" s="588"/>
      <c r="AK848" s="588"/>
      <c r="AL848" s="588"/>
      <c r="AM848" s="651"/>
      <c r="AN848" s="92"/>
      <c r="AO848" s="92"/>
    </row>
    <row r="849" spans="2:41" s="83" customFormat="1">
      <c r="B849" s="95" t="s">
        <v>656</v>
      </c>
      <c r="C849" s="96"/>
      <c r="D849" s="163" t="s">
        <v>171</v>
      </c>
      <c r="E849" s="162"/>
      <c r="G849" s="90">
        <v>0</v>
      </c>
      <c r="H849" s="85">
        <v>0</v>
      </c>
      <c r="I849" s="85">
        <v>31</v>
      </c>
      <c r="J849" s="85">
        <v>34</v>
      </c>
      <c r="K849" s="85">
        <v>32</v>
      </c>
      <c r="L849" s="86">
        <v>7.4</v>
      </c>
      <c r="M849" s="86">
        <v>5.6</v>
      </c>
      <c r="N849" s="86">
        <v>8.1999999999999993</v>
      </c>
      <c r="O849" s="86">
        <v>9</v>
      </c>
      <c r="P849" s="85">
        <v>30</v>
      </c>
      <c r="Q849" s="86">
        <v>8.3000000000000007</v>
      </c>
      <c r="R849" s="86">
        <v>8.5</v>
      </c>
      <c r="S849" s="86">
        <v>3.1</v>
      </c>
      <c r="T849" s="86">
        <f>U849-Q849-R849-S849</f>
        <v>0</v>
      </c>
      <c r="U849" s="85">
        <v>19.899999999999999</v>
      </c>
      <c r="V849" s="86">
        <v>0</v>
      </c>
      <c r="W849" s="706"/>
      <c r="X849" s="706"/>
      <c r="Y849" s="706"/>
      <c r="Z849" s="130">
        <f>Z845</f>
        <v>0</v>
      </c>
      <c r="AA849" s="97"/>
      <c r="AB849" s="97"/>
      <c r="AC849" s="97"/>
      <c r="AD849" s="97"/>
      <c r="AE849" s="130">
        <f>AE845</f>
        <v>0</v>
      </c>
      <c r="AF849" s="130">
        <f>AF845</f>
        <v>0</v>
      </c>
      <c r="AG849" s="92"/>
      <c r="AH849" s="92"/>
      <c r="AI849" s="92"/>
      <c r="AJ849" s="92"/>
      <c r="AK849" s="92"/>
      <c r="AL849" s="92"/>
      <c r="AM849" s="651"/>
      <c r="AN849" s="92"/>
      <c r="AO849" s="92"/>
    </row>
    <row r="850" spans="2:41" s="83" customFormat="1">
      <c r="B850" s="95" t="s">
        <v>656</v>
      </c>
      <c r="C850" s="96"/>
      <c r="D850" s="163" t="s">
        <v>701</v>
      </c>
      <c r="E850" s="162"/>
      <c r="G850" s="90"/>
      <c r="H850" s="85">
        <v>0</v>
      </c>
      <c r="I850" s="85">
        <v>6.6</v>
      </c>
      <c r="J850" s="85">
        <v>5.7</v>
      </c>
      <c r="K850" s="85">
        <v>4.7</v>
      </c>
      <c r="L850" s="86">
        <v>0.8</v>
      </c>
      <c r="M850" s="86">
        <v>0.4</v>
      </c>
      <c r="N850" s="86">
        <v>1</v>
      </c>
      <c r="O850" s="86">
        <v>1.7</v>
      </c>
      <c r="P850" s="85">
        <v>3.9</v>
      </c>
      <c r="Q850" s="86">
        <v>1.2</v>
      </c>
      <c r="R850" s="86">
        <v>0.6</v>
      </c>
      <c r="S850" s="86">
        <v>0.4</v>
      </c>
      <c r="T850" s="86">
        <v>0</v>
      </c>
      <c r="U850" s="721">
        <v>2.2000000000000002</v>
      </c>
      <c r="V850" s="86"/>
      <c r="W850" s="99"/>
      <c r="X850" s="99"/>
      <c r="Y850" s="99"/>
      <c r="Z850" s="92"/>
      <c r="AA850" s="99"/>
      <c r="AB850" s="99"/>
      <c r="AC850" s="99"/>
      <c r="AD850" s="99"/>
      <c r="AE850" s="92"/>
      <c r="AF850" s="92"/>
      <c r="AG850" s="92"/>
      <c r="AH850" s="92"/>
      <c r="AI850" s="92"/>
      <c r="AJ850" s="92"/>
      <c r="AK850" s="92"/>
      <c r="AL850" s="92"/>
      <c r="AM850" s="651"/>
      <c r="AN850" s="92"/>
      <c r="AO850" s="92"/>
    </row>
    <row r="851" spans="2:41" s="83" customFormat="1">
      <c r="B851" s="95"/>
      <c r="C851" s="96"/>
      <c r="D851" s="163"/>
      <c r="E851" s="162"/>
      <c r="G851" s="90"/>
      <c r="H851" s="90"/>
      <c r="I851" s="90"/>
      <c r="J851" s="90"/>
      <c r="K851" s="90"/>
      <c r="L851" s="91"/>
      <c r="M851" s="91"/>
      <c r="N851" s="91"/>
      <c r="O851" s="91"/>
      <c r="P851" s="90"/>
      <c r="Q851" s="91"/>
      <c r="R851" s="91"/>
      <c r="S851" s="91"/>
      <c r="T851" s="91"/>
      <c r="U851" s="113"/>
      <c r="V851" s="91"/>
      <c r="W851" s="99"/>
      <c r="X851" s="99"/>
      <c r="Y851" s="99"/>
      <c r="Z851" s="92"/>
      <c r="AA851" s="99"/>
      <c r="AB851" s="99"/>
      <c r="AC851" s="99"/>
      <c r="AD851" s="99"/>
      <c r="AE851" s="92"/>
      <c r="AF851" s="92"/>
      <c r="AG851" s="92"/>
      <c r="AH851" s="92"/>
      <c r="AI851" s="92"/>
      <c r="AJ851" s="92"/>
      <c r="AK851" s="92"/>
      <c r="AL851" s="92"/>
      <c r="AM851" s="651"/>
      <c r="AN851" s="92"/>
      <c r="AO851" s="92"/>
    </row>
    <row r="852" spans="2:41" s="83" customFormat="1">
      <c r="B852" s="95"/>
      <c r="C852" s="96"/>
      <c r="D852" s="554" t="s">
        <v>725</v>
      </c>
      <c r="E852" s="653"/>
      <c r="F852" s="586"/>
      <c r="G852" s="722"/>
      <c r="H852" s="722"/>
      <c r="I852" s="722"/>
      <c r="J852" s="722"/>
      <c r="K852" s="722"/>
      <c r="L852" s="723"/>
      <c r="M852" s="723"/>
      <c r="N852" s="723"/>
      <c r="O852" s="723"/>
      <c r="P852" s="722"/>
      <c r="Q852" s="723"/>
      <c r="R852" s="723"/>
      <c r="S852" s="723"/>
      <c r="T852" s="723"/>
      <c r="U852" s="722"/>
      <c r="V852" s="723"/>
      <c r="W852" s="725"/>
      <c r="X852" s="725"/>
      <c r="Y852" s="725"/>
      <c r="Z852" s="586"/>
      <c r="AA852" s="725"/>
      <c r="AB852" s="725"/>
      <c r="AC852" s="725"/>
      <c r="AD852" s="725"/>
      <c r="AE852" s="586"/>
      <c r="AF852" s="586"/>
      <c r="AG852" s="588"/>
      <c r="AH852" s="588"/>
      <c r="AI852" s="588"/>
      <c r="AJ852" s="588"/>
      <c r="AK852" s="588"/>
      <c r="AL852" s="588"/>
      <c r="AM852" s="651"/>
      <c r="AN852" s="92"/>
      <c r="AO852" s="92"/>
    </row>
    <row r="853" spans="2:41" s="83" customFormat="1">
      <c r="B853" s="95" t="s">
        <v>618</v>
      </c>
      <c r="C853" s="96"/>
      <c r="D853" s="163" t="s">
        <v>171</v>
      </c>
      <c r="E853" s="162"/>
      <c r="G853" s="170">
        <f t="shared" ref="G853:V853" si="732">G18</f>
        <v>0.87</v>
      </c>
      <c r="H853" s="170">
        <f t="shared" si="732"/>
        <v>0.98</v>
      </c>
      <c r="I853" s="170">
        <f t="shared" si="732"/>
        <v>0.87</v>
      </c>
      <c r="J853" s="170">
        <f t="shared" si="732"/>
        <v>0.95</v>
      </c>
      <c r="K853" s="170">
        <f t="shared" si="732"/>
        <v>1.31</v>
      </c>
      <c r="L853" s="171">
        <f t="shared" si="732"/>
        <v>1.55</v>
      </c>
      <c r="M853" s="171">
        <f t="shared" si="732"/>
        <v>1.41</v>
      </c>
      <c r="N853" s="171">
        <f t="shared" si="732"/>
        <v>1.1499999999999999</v>
      </c>
      <c r="O853" s="171">
        <f t="shared" si="732"/>
        <v>1.19</v>
      </c>
      <c r="P853" s="170">
        <f t="shared" si="732"/>
        <v>1.33</v>
      </c>
      <c r="Q853" s="171">
        <f t="shared" si="732"/>
        <v>1.23</v>
      </c>
      <c r="R853" s="171">
        <f t="shared" si="732"/>
        <v>1.25</v>
      </c>
      <c r="S853" s="171">
        <f t="shared" si="732"/>
        <v>1.07</v>
      </c>
      <c r="T853" s="171">
        <f>T18</f>
        <v>1.08</v>
      </c>
      <c r="U853" s="170">
        <f t="shared" si="732"/>
        <v>1.1599999999999999</v>
      </c>
      <c r="V853" s="171">
        <f t="shared" si="732"/>
        <v>0.96526155538419667</v>
      </c>
      <c r="W853" s="99"/>
      <c r="X853" s="99"/>
      <c r="Y853" s="99"/>
      <c r="Z853" s="92"/>
      <c r="AA853" s="99"/>
      <c r="AB853" s="99"/>
      <c r="AC853" s="99"/>
      <c r="AD853" s="99"/>
      <c r="AE853" s="92"/>
      <c r="AF853" s="92"/>
      <c r="AG853" s="92"/>
      <c r="AH853" s="92"/>
      <c r="AI853" s="92"/>
      <c r="AJ853" s="92"/>
      <c r="AK853" s="92"/>
      <c r="AL853" s="92"/>
      <c r="AM853" s="651"/>
      <c r="AN853" s="92"/>
      <c r="AO853" s="92"/>
    </row>
    <row r="854" spans="2:41" s="83" customFormat="1">
      <c r="B854" s="95" t="s">
        <v>618</v>
      </c>
      <c r="C854" s="96"/>
      <c r="D854" s="163" t="s">
        <v>701</v>
      </c>
      <c r="E854" s="162"/>
      <c r="G854" s="170">
        <f t="shared" ref="G854:V854" si="733">G21</f>
        <v>0.97012785698892701</v>
      </c>
      <c r="H854" s="170">
        <f t="shared" si="733"/>
        <v>0.95060202903092705</v>
      </c>
      <c r="I854" s="170">
        <f t="shared" si="733"/>
        <v>0.80965249089309843</v>
      </c>
      <c r="J854" s="170">
        <f t="shared" si="733"/>
        <v>0.84714963574186797</v>
      </c>
      <c r="K854" s="170">
        <f t="shared" si="733"/>
        <v>1.04994256237679</v>
      </c>
      <c r="L854" s="171">
        <f t="shared" si="733"/>
        <v>1.142353506161</v>
      </c>
      <c r="M854" s="171">
        <f t="shared" si="733"/>
        <v>1.0812417876990341</v>
      </c>
      <c r="N854" s="171">
        <f t="shared" si="733"/>
        <v>0.95106892973782031</v>
      </c>
      <c r="O854" s="171">
        <f t="shared" si="733"/>
        <v>0.89163177277057071</v>
      </c>
      <c r="P854" s="170">
        <f t="shared" si="733"/>
        <v>1.0155656390751782</v>
      </c>
      <c r="Q854" s="171">
        <f t="shared" si="733"/>
        <v>0.92280714638511974</v>
      </c>
      <c r="R854" s="171">
        <f t="shared" si="733"/>
        <v>0.85434441845143461</v>
      </c>
      <c r="S854" s="171">
        <f t="shared" si="733"/>
        <v>0.92034138409898192</v>
      </c>
      <c r="T854" s="171">
        <f t="shared" si="733"/>
        <v>0.92625221128549395</v>
      </c>
      <c r="U854" s="170">
        <f t="shared" si="733"/>
        <v>0.90653830528263057</v>
      </c>
      <c r="V854" s="171">
        <f t="shared" si="733"/>
        <v>0.83585854576793994</v>
      </c>
      <c r="W854" s="99"/>
      <c r="X854" s="99"/>
      <c r="Y854" s="99"/>
      <c r="Z854" s="92"/>
      <c r="AA854" s="99"/>
      <c r="AB854" s="99"/>
      <c r="AC854" s="99"/>
      <c r="AD854" s="99"/>
      <c r="AE854" s="92"/>
      <c r="AF854" s="92"/>
      <c r="AG854" s="92"/>
      <c r="AH854" s="92"/>
      <c r="AI854" s="92"/>
      <c r="AJ854" s="92"/>
      <c r="AK854" s="92"/>
      <c r="AL854" s="92"/>
      <c r="AM854" s="651"/>
      <c r="AN854" s="92"/>
      <c r="AO854" s="92"/>
    </row>
    <row r="855" spans="2:41" s="83" customFormat="1">
      <c r="B855" s="95" t="s">
        <v>619</v>
      </c>
      <c r="C855" s="96"/>
      <c r="D855" s="163" t="s">
        <v>620</v>
      </c>
      <c r="E855" s="162"/>
      <c r="G855" s="170">
        <f t="shared" ref="G855:V855" si="734">G23</f>
        <v>1.03</v>
      </c>
      <c r="H855" s="170">
        <f t="shared" si="734"/>
        <v>1.1046</v>
      </c>
      <c r="I855" s="170">
        <f t="shared" si="734"/>
        <v>1.2789999999999999</v>
      </c>
      <c r="J855" s="170">
        <f t="shared" si="734"/>
        <v>1.3248</v>
      </c>
      <c r="K855" s="170">
        <f t="shared" si="734"/>
        <v>1.2982</v>
      </c>
      <c r="L855" s="171">
        <f t="shared" si="734"/>
        <v>1.2647999999999999</v>
      </c>
      <c r="M855" s="171">
        <f t="shared" si="734"/>
        <v>1.2907999999999999</v>
      </c>
      <c r="N855" s="171">
        <f t="shared" si="734"/>
        <v>1.3068</v>
      </c>
      <c r="O855" s="171">
        <f t="shared" si="734"/>
        <v>1.3218000000000001</v>
      </c>
      <c r="P855" s="170">
        <f t="shared" si="734"/>
        <v>1.2961</v>
      </c>
      <c r="Q855" s="171">
        <f t="shared" si="734"/>
        <v>1.3295999999999999</v>
      </c>
      <c r="R855" s="171">
        <f t="shared" si="734"/>
        <v>1.3376999999999999</v>
      </c>
      <c r="S855" s="171">
        <f t="shared" si="734"/>
        <v>1.3204</v>
      </c>
      <c r="T855" s="171">
        <f t="shared" si="734"/>
        <v>1.3198000000000001</v>
      </c>
      <c r="U855" s="170">
        <f t="shared" si="734"/>
        <v>1.3268</v>
      </c>
      <c r="V855" s="171">
        <f t="shared" si="734"/>
        <v>1.3436999999999999</v>
      </c>
      <c r="W855" s="99"/>
      <c r="X855" s="99"/>
      <c r="Y855" s="99"/>
      <c r="Z855" s="92"/>
      <c r="AA855" s="99"/>
      <c r="AB855" s="99"/>
      <c r="AC855" s="99"/>
      <c r="AD855" s="99"/>
      <c r="AE855" s="92"/>
      <c r="AF855" s="92"/>
      <c r="AG855" s="92"/>
      <c r="AH855" s="92"/>
      <c r="AI855" s="92"/>
      <c r="AJ855" s="92"/>
      <c r="AK855" s="92"/>
      <c r="AL855" s="92"/>
      <c r="AM855" s="651"/>
      <c r="AN855" s="92"/>
      <c r="AO855" s="92"/>
    </row>
    <row r="856" spans="2:41" s="83" customFormat="1">
      <c r="B856" s="95"/>
      <c r="C856" s="96"/>
      <c r="D856" s="163"/>
      <c r="E856" s="162"/>
      <c r="G856" s="95"/>
      <c r="H856" s="95"/>
      <c r="I856" s="95"/>
      <c r="J856" s="95"/>
      <c r="K856" s="95"/>
      <c r="L856" s="126"/>
      <c r="M856" s="126"/>
      <c r="N856" s="126"/>
      <c r="O856" s="126"/>
      <c r="P856" s="95"/>
      <c r="Q856" s="126"/>
      <c r="R856" s="126"/>
      <c r="S856" s="126"/>
      <c r="T856" s="126"/>
      <c r="U856" s="92"/>
      <c r="V856" s="126"/>
      <c r="W856" s="99"/>
      <c r="X856" s="99"/>
      <c r="Y856" s="99"/>
      <c r="Z856" s="92"/>
      <c r="AA856" s="99"/>
      <c r="AB856" s="99"/>
      <c r="AC856" s="99"/>
      <c r="AD856" s="99"/>
      <c r="AE856" s="92"/>
      <c r="AF856" s="92"/>
      <c r="AG856" s="92"/>
      <c r="AH856" s="92"/>
      <c r="AI856" s="92"/>
      <c r="AJ856" s="92"/>
      <c r="AK856" s="92"/>
      <c r="AL856" s="92"/>
      <c r="AM856" s="651"/>
      <c r="AN856" s="92"/>
      <c r="AO856" s="92"/>
    </row>
    <row r="857" spans="2:41" s="83" customFormat="1">
      <c r="B857" s="95"/>
      <c r="C857" s="96"/>
      <c r="D857" s="554" t="s">
        <v>284</v>
      </c>
      <c r="E857" s="653"/>
      <c r="F857" s="586"/>
      <c r="G857" s="722"/>
      <c r="H857" s="722"/>
      <c r="I857" s="722"/>
      <c r="J857" s="722"/>
      <c r="K857" s="722"/>
      <c r="L857" s="723"/>
      <c r="M857" s="723"/>
      <c r="N857" s="723"/>
      <c r="O857" s="723"/>
      <c r="P857" s="722"/>
      <c r="Q857" s="723"/>
      <c r="R857" s="723"/>
      <c r="S857" s="723"/>
      <c r="T857" s="723"/>
      <c r="U857" s="722"/>
      <c r="V857" s="723"/>
      <c r="W857" s="725"/>
      <c r="X857" s="725"/>
      <c r="Y857" s="725"/>
      <c r="Z857" s="586"/>
      <c r="AA857" s="725"/>
      <c r="AB857" s="725"/>
      <c r="AC857" s="725"/>
      <c r="AD857" s="725"/>
      <c r="AE857" s="586"/>
      <c r="AF857" s="586"/>
      <c r="AG857" s="588"/>
      <c r="AH857" s="588"/>
      <c r="AI857" s="588"/>
      <c r="AJ857" s="588"/>
      <c r="AK857" s="588"/>
      <c r="AL857" s="588"/>
      <c r="AM857" s="651"/>
      <c r="AN857" s="92"/>
      <c r="AO857" s="92"/>
    </row>
    <row r="858" spans="2:41" s="83" customFormat="1">
      <c r="B858" s="95" t="s">
        <v>221</v>
      </c>
      <c r="C858" s="96"/>
      <c r="D858" s="163" t="s">
        <v>626</v>
      </c>
      <c r="E858" s="162"/>
      <c r="G858" s="250">
        <f t="shared" ref="G858:V858" si="735">G34</f>
        <v>0.85</v>
      </c>
      <c r="H858" s="250">
        <f t="shared" si="735"/>
        <v>0.85</v>
      </c>
      <c r="I858" s="250">
        <f t="shared" si="735"/>
        <v>0.85</v>
      </c>
      <c r="J858" s="250">
        <f t="shared" si="735"/>
        <v>0.85</v>
      </c>
      <c r="K858" s="250">
        <f t="shared" si="735"/>
        <v>0.85</v>
      </c>
      <c r="L858" s="251">
        <f t="shared" si="735"/>
        <v>0.85</v>
      </c>
      <c r="M858" s="251">
        <f t="shared" si="735"/>
        <v>0.85</v>
      </c>
      <c r="N858" s="251">
        <f t="shared" si="735"/>
        <v>0.85</v>
      </c>
      <c r="O858" s="251">
        <f t="shared" si="735"/>
        <v>0.85</v>
      </c>
      <c r="P858" s="250">
        <f t="shared" si="735"/>
        <v>0.85</v>
      </c>
      <c r="Q858" s="251">
        <f t="shared" si="735"/>
        <v>0.85</v>
      </c>
      <c r="R858" s="251">
        <f t="shared" si="735"/>
        <v>0.85</v>
      </c>
      <c r="S858" s="251">
        <f t="shared" si="735"/>
        <v>0.85</v>
      </c>
      <c r="T858" s="251">
        <f t="shared" si="735"/>
        <v>0.85</v>
      </c>
      <c r="U858" s="250">
        <f t="shared" si="735"/>
        <v>0.85</v>
      </c>
      <c r="V858" s="251">
        <f t="shared" si="735"/>
        <v>0.85</v>
      </c>
      <c r="W858" s="99"/>
      <c r="X858" s="99"/>
      <c r="Y858" s="99"/>
      <c r="Z858" s="92"/>
      <c r="AA858" s="99"/>
      <c r="AB858" s="99"/>
      <c r="AC858" s="99"/>
      <c r="AD858" s="99"/>
      <c r="AE858" s="92"/>
      <c r="AF858" s="92"/>
      <c r="AG858" s="92"/>
      <c r="AH858" s="92"/>
      <c r="AI858" s="92"/>
      <c r="AJ858" s="92"/>
      <c r="AK858" s="92"/>
      <c r="AL858" s="92"/>
      <c r="AM858" s="651"/>
      <c r="AN858" s="92"/>
      <c r="AO858" s="92"/>
    </row>
    <row r="859" spans="2:41" s="83" customFormat="1">
      <c r="B859" s="95" t="s">
        <v>628</v>
      </c>
      <c r="C859" s="96"/>
      <c r="D859" s="163" t="s">
        <v>664</v>
      </c>
      <c r="E859" s="162"/>
      <c r="G859" s="95">
        <f>(G849*2204.6)*G858</f>
        <v>0</v>
      </c>
      <c r="H859" s="95">
        <f t="shared" ref="H859:V859" si="736">(H849*2204.6)*H858</f>
        <v>0</v>
      </c>
      <c r="I859" s="95">
        <f t="shared" si="736"/>
        <v>58091.209999999992</v>
      </c>
      <c r="J859" s="95">
        <f t="shared" si="736"/>
        <v>63712.939999999995</v>
      </c>
      <c r="K859" s="95">
        <f t="shared" si="736"/>
        <v>59965.119999999995</v>
      </c>
      <c r="L859" s="126">
        <f t="shared" si="736"/>
        <v>13866.934000000001</v>
      </c>
      <c r="M859" s="126">
        <f t="shared" si="736"/>
        <v>10493.895999999999</v>
      </c>
      <c r="N859" s="126">
        <f t="shared" si="736"/>
        <v>15366.061999999998</v>
      </c>
      <c r="O859" s="126">
        <f t="shared" si="736"/>
        <v>16865.189999999999</v>
      </c>
      <c r="P859" s="95">
        <f t="shared" si="736"/>
        <v>56217.299999999996</v>
      </c>
      <c r="Q859" s="126">
        <f t="shared" si="736"/>
        <v>15553.453</v>
      </c>
      <c r="R859" s="126">
        <f t="shared" si="736"/>
        <v>15928.234999999999</v>
      </c>
      <c r="S859" s="126">
        <f t="shared" si="736"/>
        <v>5809.1210000000001</v>
      </c>
      <c r="T859" s="126">
        <f t="shared" si="736"/>
        <v>0</v>
      </c>
      <c r="U859" s="95">
        <f t="shared" si="736"/>
        <v>37290.808999999994</v>
      </c>
      <c r="V859" s="126">
        <f t="shared" si="736"/>
        <v>0</v>
      </c>
      <c r="W859" s="99"/>
      <c r="X859" s="99"/>
      <c r="Y859" s="99"/>
      <c r="Z859" s="92"/>
      <c r="AA859" s="99"/>
      <c r="AB859" s="99"/>
      <c r="AC859" s="99"/>
      <c r="AD859" s="99"/>
      <c r="AE859" s="92"/>
      <c r="AF859" s="92"/>
      <c r="AG859" s="92"/>
      <c r="AH859" s="92"/>
      <c r="AI859" s="92"/>
      <c r="AJ859" s="92"/>
      <c r="AK859" s="92"/>
      <c r="AL859" s="92"/>
      <c r="AM859" s="651"/>
      <c r="AN859" s="92"/>
      <c r="AO859" s="92"/>
    </row>
    <row r="860" spans="2:41" s="83" customFormat="1">
      <c r="B860" s="95" t="s">
        <v>681</v>
      </c>
      <c r="C860" s="96"/>
      <c r="D860" s="163" t="s">
        <v>680</v>
      </c>
      <c r="E860" s="162"/>
      <c r="G860" s="95">
        <f>(G849/0.54)*1000</f>
        <v>0</v>
      </c>
      <c r="H860" s="95">
        <f t="shared" ref="H860:V860" si="737">(H849/0.54)*1000</f>
        <v>0</v>
      </c>
      <c r="I860" s="95">
        <f t="shared" si="737"/>
        <v>57407.407407407401</v>
      </c>
      <c r="J860" s="95">
        <f t="shared" si="737"/>
        <v>62962.962962962964</v>
      </c>
      <c r="K860" s="95">
        <f t="shared" si="737"/>
        <v>59259.259259259255</v>
      </c>
      <c r="L860" s="126">
        <f t="shared" si="737"/>
        <v>13703.703703703704</v>
      </c>
      <c r="M860" s="126">
        <f t="shared" si="737"/>
        <v>10370.370370370369</v>
      </c>
      <c r="N860" s="126">
        <f t="shared" si="737"/>
        <v>15185.185185185182</v>
      </c>
      <c r="O860" s="126">
        <f t="shared" si="737"/>
        <v>16666.666666666664</v>
      </c>
      <c r="P860" s="95">
        <f t="shared" si="737"/>
        <v>55555.555555555547</v>
      </c>
      <c r="Q860" s="126">
        <f t="shared" si="737"/>
        <v>15370.37037037037</v>
      </c>
      <c r="R860" s="126">
        <f t="shared" si="737"/>
        <v>15740.740740740741</v>
      </c>
      <c r="S860" s="126">
        <f t="shared" si="737"/>
        <v>5740.7407407407409</v>
      </c>
      <c r="T860" s="126">
        <f t="shared" si="737"/>
        <v>0</v>
      </c>
      <c r="U860" s="95">
        <f t="shared" si="737"/>
        <v>36851.851851851847</v>
      </c>
      <c r="V860" s="126">
        <f t="shared" si="737"/>
        <v>0</v>
      </c>
      <c r="W860" s="99"/>
      <c r="X860" s="99"/>
      <c r="Y860" s="99"/>
      <c r="Z860" s="92"/>
      <c r="AA860" s="99"/>
      <c r="AB860" s="99"/>
      <c r="AC860" s="99"/>
      <c r="AD860" s="99"/>
      <c r="AE860" s="92"/>
      <c r="AF860" s="92"/>
      <c r="AG860" s="92"/>
      <c r="AH860" s="92"/>
      <c r="AI860" s="92"/>
      <c r="AJ860" s="92"/>
      <c r="AK860" s="92"/>
      <c r="AL860" s="92"/>
      <c r="AM860" s="651"/>
      <c r="AN860" s="92"/>
      <c r="AO860" s="92"/>
    </row>
    <row r="861" spans="2:41" s="83" customFormat="1">
      <c r="B861" s="95" t="s">
        <v>705</v>
      </c>
      <c r="C861" s="96"/>
      <c r="D861" s="163" t="s">
        <v>629</v>
      </c>
      <c r="E861" s="162"/>
      <c r="G861" s="165">
        <f t="shared" ref="G861:V861" si="738">G37</f>
        <v>209.85666666666665</v>
      </c>
      <c r="H861" s="165">
        <f t="shared" si="738"/>
        <v>0</v>
      </c>
      <c r="I861" s="165">
        <f t="shared" si="738"/>
        <v>245.30999999999995</v>
      </c>
      <c r="J861" s="165">
        <f t="shared" si="738"/>
        <v>212.83208333333334</v>
      </c>
      <c r="K861" s="165">
        <f t="shared" si="738"/>
        <v>180.54624999999999</v>
      </c>
      <c r="L861" s="166">
        <f t="shared" si="738"/>
        <v>154.76833333333335</v>
      </c>
      <c r="M861" s="166">
        <f t="shared" si="738"/>
        <v>141.86333333333332</v>
      </c>
      <c r="N861" s="166">
        <f t="shared" si="738"/>
        <v>132.97499999999999</v>
      </c>
      <c r="O861" s="166">
        <f t="shared" si="738"/>
        <v>132.50166666666667</v>
      </c>
      <c r="P861" s="165">
        <f t="shared" si="738"/>
        <v>140.52708333333331</v>
      </c>
      <c r="Q861" s="166">
        <f t="shared" si="738"/>
        <v>252.38750000000002</v>
      </c>
      <c r="R861" s="166">
        <f t="shared" si="738"/>
        <v>248.22000000000003</v>
      </c>
      <c r="S861" s="166">
        <f t="shared" si="738"/>
        <v>238.21333333333337</v>
      </c>
      <c r="T861" s="166">
        <f t="shared" si="738"/>
        <v>238.36</v>
      </c>
      <c r="U861" s="165">
        <f t="shared" si="738"/>
        <v>244.29520833333336</v>
      </c>
      <c r="V861" s="166">
        <f t="shared" si="738"/>
        <v>299.69849999999997</v>
      </c>
      <c r="W861" s="99"/>
      <c r="X861" s="99"/>
      <c r="Y861" s="99"/>
      <c r="Z861" s="92"/>
      <c r="AA861" s="99"/>
      <c r="AB861" s="99"/>
      <c r="AC861" s="99"/>
      <c r="AD861" s="99"/>
      <c r="AE861" s="92"/>
      <c r="AF861" s="92"/>
      <c r="AG861" s="92"/>
      <c r="AH861" s="92"/>
      <c r="AI861" s="92"/>
      <c r="AJ861" s="92"/>
      <c r="AK861" s="92"/>
      <c r="AL861" s="92"/>
      <c r="AM861" s="651"/>
      <c r="AN861" s="92"/>
      <c r="AO861" s="92"/>
    </row>
    <row r="862" spans="2:41" s="83" customFormat="1">
      <c r="B862" s="95" t="s">
        <v>631</v>
      </c>
      <c r="C862" s="96"/>
      <c r="D862" s="163" t="s">
        <v>630</v>
      </c>
      <c r="E862" s="162"/>
      <c r="G862" s="95">
        <f>(G861*G860)/1000000</f>
        <v>0</v>
      </c>
      <c r="H862" s="95">
        <f t="shared" ref="H862:V862" si="739">(H861*H860)/1000000</f>
        <v>0</v>
      </c>
      <c r="I862" s="95">
        <f>(I861*I860)/1000000</f>
        <v>14.082611111111106</v>
      </c>
      <c r="J862" s="95">
        <f t="shared" si="739"/>
        <v>13.400538580246915</v>
      </c>
      <c r="K862" s="95">
        <f t="shared" si="739"/>
        <v>10.699037037037035</v>
      </c>
      <c r="L862" s="126">
        <f t="shared" si="739"/>
        <v>2.1208993827160496</v>
      </c>
      <c r="M862" s="126">
        <f t="shared" si="739"/>
        <v>1.4711753086419748</v>
      </c>
      <c r="N862" s="126">
        <f t="shared" si="739"/>
        <v>2.0192499999999995</v>
      </c>
      <c r="O862" s="126">
        <f t="shared" si="739"/>
        <v>2.2083611111111106</v>
      </c>
      <c r="P862" s="95">
        <f t="shared" si="739"/>
        <v>7.8070601851851826</v>
      </c>
      <c r="Q862" s="126">
        <f t="shared" si="739"/>
        <v>3.8792893518518521</v>
      </c>
      <c r="R862" s="126">
        <f t="shared" si="739"/>
        <v>3.9071666666666669</v>
      </c>
      <c r="S862" s="126">
        <f t="shared" si="739"/>
        <v>1.3675209876543211</v>
      </c>
      <c r="T862" s="126">
        <f t="shared" si="739"/>
        <v>0</v>
      </c>
      <c r="U862" s="95">
        <f t="shared" si="739"/>
        <v>9.0027308256172844</v>
      </c>
      <c r="V862" s="126">
        <f t="shared" si="739"/>
        <v>0</v>
      </c>
      <c r="W862" s="99"/>
      <c r="X862" s="99"/>
      <c r="Y862" s="99"/>
      <c r="Z862" s="92"/>
      <c r="AA862" s="99"/>
      <c r="AB862" s="99"/>
      <c r="AC862" s="99"/>
      <c r="AD862" s="99"/>
      <c r="AE862" s="92"/>
      <c r="AF862" s="92"/>
      <c r="AG862" s="92"/>
      <c r="AH862" s="92"/>
      <c r="AI862" s="92"/>
      <c r="AJ862" s="92"/>
      <c r="AK862" s="92"/>
      <c r="AL862" s="92"/>
      <c r="AM862" s="651"/>
      <c r="AN862" s="92"/>
      <c r="AO862" s="92"/>
    </row>
    <row r="863" spans="2:41" s="83" customFormat="1">
      <c r="B863" s="95" t="s">
        <v>631</v>
      </c>
      <c r="C863" s="96"/>
      <c r="D863" s="585" t="s">
        <v>284</v>
      </c>
      <c r="E863" s="585"/>
      <c r="F863" s="585"/>
      <c r="G863" s="605">
        <f>(G859*G853)/1000-G862</f>
        <v>0</v>
      </c>
      <c r="H863" s="95">
        <f t="shared" ref="H863:V863" si="740">(H859*H853)/1000-H862</f>
        <v>0</v>
      </c>
      <c r="I863" s="95">
        <f t="shared" si="740"/>
        <v>36.456741588888889</v>
      </c>
      <c r="J863" s="95">
        <f t="shared" si="740"/>
        <v>47.126754419753077</v>
      </c>
      <c r="K863" s="95">
        <f t="shared" si="740"/>
        <v>67.855270162962967</v>
      </c>
      <c r="L863" s="126">
        <f t="shared" si="740"/>
        <v>19.372848317283953</v>
      </c>
      <c r="M863" s="126">
        <f t="shared" si="740"/>
        <v>13.325218051358023</v>
      </c>
      <c r="N863" s="126">
        <f t="shared" si="740"/>
        <v>15.651721299999998</v>
      </c>
      <c r="O863" s="126">
        <f t="shared" si="740"/>
        <v>17.861214988888889</v>
      </c>
      <c r="P863" s="95">
        <f t="shared" si="740"/>
        <v>66.961948814814818</v>
      </c>
      <c r="Q863" s="126">
        <f t="shared" si="740"/>
        <v>15.251457838148145</v>
      </c>
      <c r="R863" s="126">
        <f t="shared" si="740"/>
        <v>16.003127083333332</v>
      </c>
      <c r="S863" s="126">
        <f t="shared" si="740"/>
        <v>4.8482384823456801</v>
      </c>
      <c r="T863" s="126">
        <f t="shared" si="740"/>
        <v>0</v>
      </c>
      <c r="U863" s="95">
        <f t="shared" si="740"/>
        <v>34.254607614382707</v>
      </c>
      <c r="V863" s="126">
        <f t="shared" si="740"/>
        <v>0</v>
      </c>
      <c r="W863" s="99"/>
      <c r="X863" s="99"/>
      <c r="Y863" s="99"/>
      <c r="Z863" s="92"/>
      <c r="AA863" s="99"/>
      <c r="AB863" s="99"/>
      <c r="AC863" s="99"/>
      <c r="AD863" s="99"/>
      <c r="AE863" s="92"/>
      <c r="AF863" s="92"/>
      <c r="AG863" s="92"/>
      <c r="AH863" s="92"/>
      <c r="AI863" s="92"/>
      <c r="AJ863" s="92"/>
      <c r="AK863" s="92"/>
      <c r="AL863" s="92"/>
      <c r="AM863" s="651"/>
      <c r="AN863" s="92"/>
      <c r="AO863" s="92"/>
    </row>
    <row r="864" spans="2:41" s="83" customFormat="1">
      <c r="B864" s="95" t="s">
        <v>633</v>
      </c>
      <c r="C864" s="96"/>
      <c r="D864" s="186" t="s">
        <v>284</v>
      </c>
      <c r="E864" s="162"/>
      <c r="G864" s="236">
        <f t="shared" ref="G864:Y864" si="741">G863*G855</f>
        <v>0</v>
      </c>
      <c r="H864" s="673">
        <f t="shared" si="741"/>
        <v>0</v>
      </c>
      <c r="I864" s="673">
        <f t="shared" si="741"/>
        <v>46.628172492188888</v>
      </c>
      <c r="J864" s="673">
        <f t="shared" si="741"/>
        <v>62.433524255288873</v>
      </c>
      <c r="K864" s="673">
        <f t="shared" si="741"/>
        <v>88.08971172555853</v>
      </c>
      <c r="L864" s="674">
        <f t="shared" si="741"/>
        <v>24.502778551700743</v>
      </c>
      <c r="M864" s="674">
        <f t="shared" si="741"/>
        <v>17.200191460692935</v>
      </c>
      <c r="N864" s="674">
        <f t="shared" si="741"/>
        <v>20.453669394839999</v>
      </c>
      <c r="O864" s="674">
        <f t="shared" si="741"/>
        <v>23.608953972313337</v>
      </c>
      <c r="P864" s="673">
        <f t="shared" si="741"/>
        <v>86.789381858881484</v>
      </c>
      <c r="Q864" s="674">
        <f t="shared" si="741"/>
        <v>20.278338341601771</v>
      </c>
      <c r="R864" s="674">
        <f t="shared" si="741"/>
        <v>21.407383099374997</v>
      </c>
      <c r="S864" s="674">
        <f t="shared" si="741"/>
        <v>6.4016140920892362</v>
      </c>
      <c r="T864" s="674">
        <f t="shared" si="741"/>
        <v>0</v>
      </c>
      <c r="U864" s="673">
        <f t="shared" si="741"/>
        <v>45.449013382762978</v>
      </c>
      <c r="V864" s="674">
        <f t="shared" si="741"/>
        <v>0</v>
      </c>
      <c r="W864" s="674">
        <f t="shared" si="741"/>
        <v>0</v>
      </c>
      <c r="X864" s="674">
        <f t="shared" si="741"/>
        <v>0</v>
      </c>
      <c r="Y864" s="674">
        <f t="shared" si="741"/>
        <v>0</v>
      </c>
      <c r="Z864" s="92"/>
      <c r="AA864" s="99"/>
      <c r="AB864" s="99"/>
      <c r="AC864" s="99"/>
      <c r="AD864" s="99"/>
      <c r="AE864" s="92"/>
      <c r="AF864" s="92"/>
      <c r="AG864" s="92"/>
      <c r="AH864" s="92"/>
      <c r="AI864" s="92"/>
      <c r="AJ864" s="92"/>
      <c r="AK864" s="92"/>
      <c r="AL864" s="92"/>
      <c r="AM864" s="651"/>
      <c r="AN864" s="92"/>
      <c r="AO864" s="92"/>
    </row>
    <row r="865" spans="2:41" s="83" customFormat="1">
      <c r="B865" s="95"/>
      <c r="C865" s="96"/>
      <c r="D865" s="162"/>
      <c r="E865" s="162"/>
      <c r="G865" s="95"/>
      <c r="H865" s="95"/>
      <c r="I865" s="95"/>
      <c r="J865" s="95"/>
      <c r="K865" s="95"/>
      <c r="L865" s="126"/>
      <c r="M865" s="126"/>
      <c r="N865" s="126"/>
      <c r="O865" s="126"/>
      <c r="P865" s="95"/>
      <c r="Q865" s="126"/>
      <c r="R865" s="126"/>
      <c r="S865" s="126"/>
      <c r="T865" s="126"/>
      <c r="U865" s="92"/>
      <c r="V865" s="126"/>
      <c r="W865" s="99"/>
      <c r="X865" s="99"/>
      <c r="Y865" s="99"/>
      <c r="Z865" s="92"/>
      <c r="AA865" s="99"/>
      <c r="AB865" s="99"/>
      <c r="AC865" s="99"/>
      <c r="AD865" s="99"/>
      <c r="AE865" s="92"/>
      <c r="AF865" s="92"/>
      <c r="AG865" s="92"/>
      <c r="AH865" s="92"/>
      <c r="AI865" s="92"/>
      <c r="AJ865" s="92"/>
      <c r="AK865" s="92"/>
      <c r="AL865" s="92"/>
      <c r="AM865" s="651"/>
      <c r="AN865" s="92"/>
      <c r="AO865" s="92"/>
    </row>
    <row r="866" spans="2:41" s="83" customFormat="1">
      <c r="B866" s="95"/>
      <c r="C866" s="96"/>
      <c r="D866" s="162"/>
      <c r="E866" s="162"/>
      <c r="G866" s="95"/>
      <c r="H866" s="95"/>
      <c r="I866" s="95"/>
      <c r="J866" s="95"/>
      <c r="K866" s="95"/>
      <c r="L866" s="126"/>
      <c r="M866" s="126"/>
      <c r="N866" s="126"/>
      <c r="O866" s="126"/>
      <c r="P866" s="95"/>
      <c r="Q866" s="126"/>
      <c r="R866" s="126"/>
      <c r="S866" s="126"/>
      <c r="T866" s="126"/>
      <c r="U866" s="92"/>
      <c r="V866" s="126"/>
      <c r="W866" s="99"/>
      <c r="X866" s="99"/>
      <c r="Y866" s="99"/>
      <c r="Z866" s="92"/>
      <c r="AA866" s="99"/>
      <c r="AB866" s="99"/>
      <c r="AC866" s="99"/>
      <c r="AD866" s="99"/>
      <c r="AE866" s="92"/>
      <c r="AF866" s="92"/>
      <c r="AG866" s="92"/>
      <c r="AH866" s="92"/>
      <c r="AI866" s="92"/>
      <c r="AJ866" s="92"/>
      <c r="AK866" s="92"/>
      <c r="AL866" s="92"/>
      <c r="AM866" s="651"/>
      <c r="AN866" s="92"/>
      <c r="AO866" s="92"/>
    </row>
    <row r="867" spans="2:41" s="83" customFormat="1">
      <c r="B867" s="95"/>
      <c r="C867" s="96"/>
      <c r="D867" s="554" t="s">
        <v>706</v>
      </c>
      <c r="E867" s="653"/>
      <c r="F867" s="586"/>
      <c r="G867" s="722"/>
      <c r="H867" s="722"/>
      <c r="I867" s="722"/>
      <c r="J867" s="722"/>
      <c r="K867" s="722"/>
      <c r="L867" s="723"/>
      <c r="M867" s="723"/>
      <c r="N867" s="723"/>
      <c r="O867" s="723"/>
      <c r="P867" s="722"/>
      <c r="Q867" s="723"/>
      <c r="R867" s="723"/>
      <c r="S867" s="723"/>
      <c r="T867" s="723"/>
      <c r="U867" s="722"/>
      <c r="V867" s="723"/>
      <c r="W867" s="725"/>
      <c r="X867" s="725"/>
      <c r="Y867" s="725"/>
      <c r="Z867" s="586"/>
      <c r="AA867" s="725"/>
      <c r="AB867" s="725"/>
      <c r="AC867" s="725"/>
      <c r="AD867" s="725"/>
      <c r="AE867" s="586"/>
      <c r="AF867" s="586"/>
      <c r="AG867" s="588"/>
      <c r="AH867" s="588"/>
      <c r="AI867" s="588"/>
      <c r="AJ867" s="588"/>
      <c r="AK867" s="588"/>
      <c r="AL867" s="588"/>
      <c r="AM867" s="651"/>
      <c r="AN867" s="92"/>
      <c r="AO867" s="92"/>
    </row>
    <row r="868" spans="2:41" s="83" customFormat="1">
      <c r="B868" s="95" t="s">
        <v>221</v>
      </c>
      <c r="C868" s="96"/>
      <c r="D868" s="163" t="s">
        <v>626</v>
      </c>
      <c r="E868" s="162"/>
      <c r="G868" s="250">
        <f t="shared" ref="G868:V868" si="742">G40</f>
        <v>0.95</v>
      </c>
      <c r="H868" s="250">
        <f t="shared" si="742"/>
        <v>0.95</v>
      </c>
      <c r="I868" s="250">
        <f t="shared" si="742"/>
        <v>0.95</v>
      </c>
      <c r="J868" s="250">
        <f t="shared" si="742"/>
        <v>0.95</v>
      </c>
      <c r="K868" s="250">
        <f t="shared" si="742"/>
        <v>0.95</v>
      </c>
      <c r="L868" s="251">
        <f t="shared" si="742"/>
        <v>0.95</v>
      </c>
      <c r="M868" s="251">
        <f t="shared" si="742"/>
        <v>0.95</v>
      </c>
      <c r="N868" s="251">
        <f t="shared" si="742"/>
        <v>0.95</v>
      </c>
      <c r="O868" s="251">
        <f t="shared" si="742"/>
        <v>0.95</v>
      </c>
      <c r="P868" s="250">
        <f t="shared" si="742"/>
        <v>0.95</v>
      </c>
      <c r="Q868" s="251">
        <f t="shared" si="742"/>
        <v>0.95</v>
      </c>
      <c r="R868" s="251">
        <f t="shared" si="742"/>
        <v>0.95</v>
      </c>
      <c r="S868" s="251">
        <f t="shared" si="742"/>
        <v>0.95</v>
      </c>
      <c r="T868" s="251">
        <f t="shared" si="742"/>
        <v>0.95</v>
      </c>
      <c r="U868" s="250">
        <f t="shared" si="742"/>
        <v>0.95</v>
      </c>
      <c r="V868" s="251">
        <f t="shared" si="742"/>
        <v>0.95</v>
      </c>
      <c r="W868" s="99"/>
      <c r="X868" s="99"/>
      <c r="Y868" s="99"/>
      <c r="Z868" s="92"/>
      <c r="AA868" s="99"/>
      <c r="AB868" s="99"/>
      <c r="AC868" s="99"/>
      <c r="AD868" s="99"/>
      <c r="AE868" s="92"/>
      <c r="AF868" s="92"/>
      <c r="AG868" s="92"/>
      <c r="AH868" s="92"/>
      <c r="AI868" s="92"/>
      <c r="AJ868" s="92"/>
      <c r="AK868" s="92"/>
      <c r="AL868" s="92"/>
      <c r="AM868" s="651"/>
      <c r="AN868" s="92"/>
      <c r="AO868" s="92"/>
    </row>
    <row r="869" spans="2:41" s="83" customFormat="1">
      <c r="B869" s="95" t="s">
        <v>628</v>
      </c>
      <c r="C869" s="96"/>
      <c r="D869" s="163" t="s">
        <v>707</v>
      </c>
      <c r="E869" s="162"/>
      <c r="G869" s="95">
        <f>(G850*2204.6)*G868</f>
        <v>0</v>
      </c>
      <c r="H869" s="95">
        <f t="shared" ref="H869:V869" si="743">(H850*2204.6)*H868</f>
        <v>0</v>
      </c>
      <c r="I869" s="95">
        <f t="shared" si="743"/>
        <v>13822.841999999999</v>
      </c>
      <c r="J869" s="95">
        <f t="shared" si="743"/>
        <v>11937.909</v>
      </c>
      <c r="K869" s="95">
        <f t="shared" si="743"/>
        <v>9843.5390000000007</v>
      </c>
      <c r="L869" s="126">
        <f t="shared" si="743"/>
        <v>1675.4960000000001</v>
      </c>
      <c r="M869" s="126">
        <f t="shared" si="743"/>
        <v>837.74800000000005</v>
      </c>
      <c r="N869" s="126">
        <f t="shared" si="743"/>
        <v>2094.37</v>
      </c>
      <c r="O869" s="126">
        <f t="shared" si="743"/>
        <v>3560.4289999999996</v>
      </c>
      <c r="P869" s="95">
        <f t="shared" si="743"/>
        <v>8168.0429999999988</v>
      </c>
      <c r="Q869" s="126">
        <f t="shared" si="743"/>
        <v>2513.2439999999997</v>
      </c>
      <c r="R869" s="126">
        <f t="shared" si="743"/>
        <v>1256.6219999999998</v>
      </c>
      <c r="S869" s="126">
        <f t="shared" si="743"/>
        <v>837.74800000000005</v>
      </c>
      <c r="T869" s="126">
        <f t="shared" si="743"/>
        <v>0</v>
      </c>
      <c r="U869" s="95">
        <f t="shared" si="743"/>
        <v>4607.6139999999996</v>
      </c>
      <c r="V869" s="126">
        <f t="shared" si="743"/>
        <v>0</v>
      </c>
      <c r="W869" s="99"/>
      <c r="X869" s="99"/>
      <c r="Y869" s="99"/>
      <c r="Z869" s="92"/>
      <c r="AA869" s="99"/>
      <c r="AB869" s="99"/>
      <c r="AC869" s="99"/>
      <c r="AD869" s="99"/>
      <c r="AE869" s="92"/>
      <c r="AF869" s="92"/>
      <c r="AG869" s="92"/>
      <c r="AH869" s="92"/>
      <c r="AI869" s="92"/>
      <c r="AJ869" s="92"/>
      <c r="AK869" s="92"/>
      <c r="AL869" s="92"/>
      <c r="AM869" s="651"/>
      <c r="AN869" s="92"/>
      <c r="AO869" s="92"/>
    </row>
    <row r="870" spans="2:41" s="83" customFormat="1">
      <c r="B870" s="95" t="s">
        <v>681</v>
      </c>
      <c r="C870" s="96"/>
      <c r="D870" s="163" t="s">
        <v>708</v>
      </c>
      <c r="E870" s="162"/>
      <c r="G870" s="95">
        <f>(G850/0.55)*1000</f>
        <v>0</v>
      </c>
      <c r="H870" s="95">
        <f t="shared" ref="H870:V870" si="744">(H850/0.55)*1000</f>
        <v>0</v>
      </c>
      <c r="I870" s="95">
        <f t="shared" si="744"/>
        <v>11999.999999999998</v>
      </c>
      <c r="J870" s="95">
        <f t="shared" si="744"/>
        <v>10363.636363636364</v>
      </c>
      <c r="K870" s="95">
        <f t="shared" si="744"/>
        <v>8545.4545454545441</v>
      </c>
      <c r="L870" s="126">
        <f t="shared" si="744"/>
        <v>1454.5454545454545</v>
      </c>
      <c r="M870" s="126">
        <f t="shared" si="744"/>
        <v>727.27272727272725</v>
      </c>
      <c r="N870" s="126">
        <f t="shared" si="744"/>
        <v>1818.181818181818</v>
      </c>
      <c r="O870" s="126">
        <f t="shared" si="744"/>
        <v>3090.9090909090905</v>
      </c>
      <c r="P870" s="95">
        <f t="shared" si="744"/>
        <v>7090.9090909090901</v>
      </c>
      <c r="Q870" s="126">
        <f t="shared" si="744"/>
        <v>2181.8181818181815</v>
      </c>
      <c r="R870" s="126">
        <f t="shared" si="744"/>
        <v>1090.9090909090908</v>
      </c>
      <c r="S870" s="126">
        <f t="shared" si="744"/>
        <v>727.27272727272725</v>
      </c>
      <c r="T870" s="126">
        <f t="shared" si="744"/>
        <v>0</v>
      </c>
      <c r="U870" s="95">
        <f t="shared" si="744"/>
        <v>4000</v>
      </c>
      <c r="V870" s="126">
        <f t="shared" si="744"/>
        <v>0</v>
      </c>
      <c r="W870" s="99"/>
      <c r="X870" s="99"/>
      <c r="Y870" s="99"/>
      <c r="Z870" s="92"/>
      <c r="AA870" s="99"/>
      <c r="AB870" s="99"/>
      <c r="AC870" s="99"/>
      <c r="AD870" s="99"/>
      <c r="AE870" s="92"/>
      <c r="AF870" s="92"/>
      <c r="AG870" s="92"/>
      <c r="AH870" s="92"/>
      <c r="AI870" s="92"/>
      <c r="AJ870" s="92"/>
      <c r="AK870" s="92"/>
      <c r="AL870" s="92"/>
      <c r="AM870" s="651"/>
      <c r="AN870" s="92"/>
      <c r="AO870" s="92"/>
    </row>
    <row r="871" spans="2:41" s="83" customFormat="1">
      <c r="B871" s="95" t="s">
        <v>705</v>
      </c>
      <c r="C871" s="96"/>
      <c r="D871" s="163" t="s">
        <v>629</v>
      </c>
      <c r="E871" s="162"/>
      <c r="G871" s="165">
        <f t="shared" ref="G871:V871" si="745">G41</f>
        <v>215</v>
      </c>
      <c r="H871" s="165">
        <f t="shared" si="745"/>
        <v>215</v>
      </c>
      <c r="I871" s="165">
        <f t="shared" si="745"/>
        <v>215</v>
      </c>
      <c r="J871" s="165">
        <f t="shared" si="745"/>
        <v>175</v>
      </c>
      <c r="K871" s="165">
        <f t="shared" si="745"/>
        <v>130</v>
      </c>
      <c r="L871" s="166">
        <f t="shared" si="745"/>
        <v>99</v>
      </c>
      <c r="M871" s="166">
        <f t="shared" si="745"/>
        <v>99</v>
      </c>
      <c r="N871" s="166">
        <f t="shared" si="745"/>
        <v>99</v>
      </c>
      <c r="O871" s="166">
        <f t="shared" si="745"/>
        <v>99</v>
      </c>
      <c r="P871" s="165">
        <f t="shared" si="745"/>
        <v>99</v>
      </c>
      <c r="Q871" s="166">
        <f t="shared" si="745"/>
        <v>99</v>
      </c>
      <c r="R871" s="166">
        <f t="shared" si="745"/>
        <v>99</v>
      </c>
      <c r="S871" s="166">
        <f t="shared" si="745"/>
        <v>99</v>
      </c>
      <c r="T871" s="166">
        <f t="shared" si="745"/>
        <v>99</v>
      </c>
      <c r="U871" s="165">
        <f t="shared" si="745"/>
        <v>99</v>
      </c>
      <c r="V871" s="166">
        <f t="shared" si="745"/>
        <v>175</v>
      </c>
      <c r="W871" s="99"/>
      <c r="X871" s="99"/>
      <c r="Y871" s="99"/>
      <c r="Z871" s="92"/>
      <c r="AA871" s="99"/>
      <c r="AB871" s="99"/>
      <c r="AC871" s="99"/>
      <c r="AD871" s="99"/>
      <c r="AE871" s="92"/>
      <c r="AF871" s="92"/>
      <c r="AG871" s="92"/>
      <c r="AH871" s="92"/>
      <c r="AI871" s="92"/>
      <c r="AJ871" s="92"/>
      <c r="AK871" s="92"/>
      <c r="AL871" s="92"/>
      <c r="AM871" s="651"/>
      <c r="AN871" s="92"/>
      <c r="AO871" s="92"/>
    </row>
    <row r="872" spans="2:41" s="83" customFormat="1">
      <c r="B872" s="95" t="s">
        <v>631</v>
      </c>
      <c r="C872" s="96"/>
      <c r="D872" s="163" t="s">
        <v>630</v>
      </c>
      <c r="E872" s="162"/>
      <c r="G872" s="95">
        <f>(G871*G870)/1000000</f>
        <v>0</v>
      </c>
      <c r="H872" s="95">
        <f t="shared" ref="H872:V872" si="746">(H871*H870)/1000000</f>
        <v>0</v>
      </c>
      <c r="I872" s="95">
        <f t="shared" si="746"/>
        <v>2.5799999999999996</v>
      </c>
      <c r="J872" s="95">
        <f t="shared" si="746"/>
        <v>1.8136363636363637</v>
      </c>
      <c r="K872" s="95">
        <f t="shared" si="746"/>
        <v>1.1109090909090908</v>
      </c>
      <c r="L872" s="126">
        <f t="shared" si="746"/>
        <v>0.14399999999999999</v>
      </c>
      <c r="M872" s="126">
        <f t="shared" si="746"/>
        <v>7.1999999999999995E-2</v>
      </c>
      <c r="N872" s="126">
        <f t="shared" si="746"/>
        <v>0.17999999999999997</v>
      </c>
      <c r="O872" s="126">
        <f t="shared" si="746"/>
        <v>0.30599999999999994</v>
      </c>
      <c r="P872" s="95">
        <f t="shared" si="746"/>
        <v>0.70199999999999985</v>
      </c>
      <c r="Q872" s="126">
        <f t="shared" si="746"/>
        <v>0.21599999999999997</v>
      </c>
      <c r="R872" s="126">
        <f t="shared" si="746"/>
        <v>0.10799999999999998</v>
      </c>
      <c r="S872" s="126">
        <f t="shared" si="746"/>
        <v>7.1999999999999995E-2</v>
      </c>
      <c r="T872" s="126">
        <f t="shared" si="746"/>
        <v>0</v>
      </c>
      <c r="U872" s="95">
        <f t="shared" si="746"/>
        <v>0.39600000000000002</v>
      </c>
      <c r="V872" s="126">
        <f t="shared" si="746"/>
        <v>0</v>
      </c>
      <c r="W872" s="99"/>
      <c r="X872" s="99"/>
      <c r="Y872" s="99"/>
      <c r="Z872" s="92"/>
      <c r="AA872" s="99"/>
      <c r="AB872" s="99"/>
      <c r="AC872" s="99"/>
      <c r="AD872" s="99"/>
      <c r="AE872" s="92"/>
      <c r="AF872" s="92"/>
      <c r="AG872" s="92"/>
      <c r="AH872" s="92"/>
      <c r="AI872" s="92"/>
      <c r="AJ872" s="92"/>
      <c r="AK872" s="92"/>
      <c r="AL872" s="92"/>
      <c r="AM872" s="651"/>
      <c r="AN872" s="92"/>
      <c r="AO872" s="92"/>
    </row>
    <row r="873" spans="2:41" s="83" customFormat="1">
      <c r="B873" s="95" t="s">
        <v>631</v>
      </c>
      <c r="C873" s="96"/>
      <c r="D873" s="585" t="s">
        <v>706</v>
      </c>
      <c r="E873" s="653"/>
      <c r="F873" s="586"/>
      <c r="G873" s="95">
        <f>(G869*G854)/1000-G872</f>
        <v>0</v>
      </c>
      <c r="H873" s="95">
        <f t="shared" ref="H873:V873" si="747">(H869*H854)/1000-H872</f>
        <v>0</v>
      </c>
      <c r="I873" s="95">
        <f t="shared" si="747"/>
        <v>8.6116984565217365</v>
      </c>
      <c r="J873" s="95">
        <f t="shared" si="747"/>
        <v>8.2995588972332026</v>
      </c>
      <c r="K873" s="95">
        <f t="shared" si="747"/>
        <v>9.224241469606774</v>
      </c>
      <c r="L873" s="126">
        <f t="shared" si="747"/>
        <v>1.7700087301587311</v>
      </c>
      <c r="M873" s="126">
        <f t="shared" si="747"/>
        <v>0.83380814516129054</v>
      </c>
      <c r="N873" s="126">
        <f t="shared" si="747"/>
        <v>1.8118902343749987</v>
      </c>
      <c r="O873" s="126">
        <f t="shared" si="747"/>
        <v>2.8685916210937497</v>
      </c>
      <c r="P873" s="95">
        <f t="shared" si="747"/>
        <v>7.5931838092885329</v>
      </c>
      <c r="Q873" s="126">
        <f t="shared" si="747"/>
        <v>2.1032395238095241</v>
      </c>
      <c r="R873" s="126">
        <f t="shared" si="747"/>
        <v>0.96558799180327848</v>
      </c>
      <c r="S873" s="126">
        <f t="shared" si="747"/>
        <v>0.69901415384615395</v>
      </c>
      <c r="T873" s="126">
        <f t="shared" si="747"/>
        <v>0</v>
      </c>
      <c r="U873" s="95">
        <f t="shared" si="747"/>
        <v>3.7809785869565218</v>
      </c>
      <c r="V873" s="126">
        <f t="shared" si="747"/>
        <v>0</v>
      </c>
      <c r="W873" s="99"/>
      <c r="X873" s="99"/>
      <c r="Y873" s="99"/>
      <c r="Z873" s="92"/>
      <c r="AA873" s="99"/>
      <c r="AB873" s="99"/>
      <c r="AC873" s="99"/>
      <c r="AD873" s="99"/>
      <c r="AE873" s="92"/>
      <c r="AF873" s="92"/>
      <c r="AG873" s="92"/>
      <c r="AH873" s="92"/>
      <c r="AI873" s="92"/>
      <c r="AJ873" s="92"/>
      <c r="AK873" s="92"/>
      <c r="AL873" s="92"/>
      <c r="AM873" s="651"/>
      <c r="AN873" s="92"/>
      <c r="AO873" s="92"/>
    </row>
    <row r="874" spans="2:41" s="83" customFormat="1">
      <c r="B874" s="95" t="s">
        <v>633</v>
      </c>
      <c r="C874" s="96"/>
      <c r="D874" s="186" t="s">
        <v>706</v>
      </c>
      <c r="E874" s="162"/>
      <c r="G874" s="673">
        <f>G873*G855</f>
        <v>0</v>
      </c>
      <c r="H874" s="673">
        <f t="shared" ref="H874:Y874" si="748">H873*H855</f>
        <v>0</v>
      </c>
      <c r="I874" s="673">
        <f t="shared" si="748"/>
        <v>11.0143623258913</v>
      </c>
      <c r="J874" s="673">
        <f t="shared" si="748"/>
        <v>10.995255627054547</v>
      </c>
      <c r="K874" s="673">
        <f t="shared" si="748"/>
        <v>11.974910275843515</v>
      </c>
      <c r="L874" s="674">
        <f t="shared" si="748"/>
        <v>2.238707041904763</v>
      </c>
      <c r="M874" s="674">
        <f t="shared" si="748"/>
        <v>1.0762795537741938</v>
      </c>
      <c r="N874" s="674">
        <f t="shared" si="748"/>
        <v>2.3677781582812485</v>
      </c>
      <c r="O874" s="674">
        <f t="shared" si="748"/>
        <v>3.7917044047617185</v>
      </c>
      <c r="P874" s="673">
        <f t="shared" si="748"/>
        <v>9.8415255352188673</v>
      </c>
      <c r="Q874" s="674">
        <f t="shared" si="748"/>
        <v>2.7964672708571428</v>
      </c>
      <c r="R874" s="674">
        <f t="shared" si="748"/>
        <v>1.2916670566352455</v>
      </c>
      <c r="S874" s="674">
        <f t="shared" si="748"/>
        <v>0.92297828873846166</v>
      </c>
      <c r="T874" s="674">
        <f t="shared" si="748"/>
        <v>0</v>
      </c>
      <c r="U874" s="673">
        <f t="shared" si="748"/>
        <v>5.0166023891739133</v>
      </c>
      <c r="V874" s="674">
        <f t="shared" si="748"/>
        <v>0</v>
      </c>
      <c r="W874" s="674">
        <f t="shared" si="748"/>
        <v>0</v>
      </c>
      <c r="X874" s="674">
        <f t="shared" si="748"/>
        <v>0</v>
      </c>
      <c r="Y874" s="674">
        <f t="shared" si="748"/>
        <v>0</v>
      </c>
      <c r="Z874" s="92"/>
      <c r="AA874" s="99"/>
      <c r="AB874" s="99"/>
      <c r="AC874" s="99"/>
      <c r="AD874" s="99"/>
      <c r="AE874" s="92"/>
      <c r="AF874" s="92"/>
      <c r="AG874" s="92"/>
      <c r="AH874" s="92"/>
      <c r="AI874" s="92"/>
      <c r="AJ874" s="92"/>
      <c r="AK874" s="92"/>
      <c r="AL874" s="92"/>
      <c r="AM874" s="651"/>
      <c r="AN874" s="92"/>
      <c r="AO874" s="92"/>
    </row>
    <row r="875" spans="2:41" s="83" customFormat="1">
      <c r="B875" s="95"/>
      <c r="C875" s="96"/>
      <c r="D875" s="162"/>
      <c r="E875" s="162"/>
      <c r="G875" s="95"/>
      <c r="H875" s="95"/>
      <c r="I875" s="95"/>
      <c r="J875" s="95"/>
      <c r="K875" s="95"/>
      <c r="L875" s="126"/>
      <c r="M875" s="126"/>
      <c r="N875" s="126"/>
      <c r="O875" s="126"/>
      <c r="P875" s="95"/>
      <c r="Q875" s="126"/>
      <c r="R875" s="126"/>
      <c r="S875" s="126"/>
      <c r="T875" s="126"/>
      <c r="U875" s="92"/>
      <c r="V875" s="126"/>
      <c r="W875" s="99"/>
      <c r="X875" s="99"/>
      <c r="Y875" s="99"/>
      <c r="Z875" s="92"/>
      <c r="AA875" s="99"/>
      <c r="AB875" s="99"/>
      <c r="AC875" s="99"/>
      <c r="AD875" s="99"/>
      <c r="AE875" s="92"/>
      <c r="AF875" s="92"/>
      <c r="AG875" s="92"/>
      <c r="AH875" s="92"/>
      <c r="AI875" s="92"/>
      <c r="AJ875" s="92"/>
      <c r="AK875" s="92"/>
      <c r="AL875" s="92"/>
      <c r="AM875" s="651"/>
      <c r="AN875" s="92"/>
      <c r="AO875" s="92"/>
    </row>
    <row r="876" spans="2:41" s="83" customFormat="1">
      <c r="B876" s="95"/>
      <c r="C876" s="96"/>
      <c r="D876" s="162"/>
      <c r="E876" s="162"/>
      <c r="G876" s="95"/>
      <c r="H876" s="95"/>
      <c r="I876" s="95"/>
      <c r="J876" s="95"/>
      <c r="K876" s="95"/>
      <c r="L876" s="126"/>
      <c r="M876" s="126"/>
      <c r="N876" s="126"/>
      <c r="O876" s="126"/>
      <c r="P876" s="95"/>
      <c r="Q876" s="126"/>
      <c r="R876" s="126"/>
      <c r="S876" s="126"/>
      <c r="T876" s="126"/>
      <c r="U876" s="92"/>
      <c r="V876" s="126"/>
      <c r="W876" s="99"/>
      <c r="X876" s="99"/>
      <c r="Y876" s="99"/>
      <c r="Z876" s="92"/>
      <c r="AA876" s="99"/>
      <c r="AB876" s="99"/>
      <c r="AC876" s="99"/>
      <c r="AD876" s="99"/>
      <c r="AE876" s="92"/>
      <c r="AF876" s="92"/>
      <c r="AG876" s="92"/>
      <c r="AH876" s="92"/>
      <c r="AI876" s="92"/>
      <c r="AJ876" s="92"/>
      <c r="AK876" s="92"/>
      <c r="AL876" s="92"/>
      <c r="AM876" s="651"/>
      <c r="AN876" s="92"/>
      <c r="AO876" s="92"/>
    </row>
    <row r="877" spans="2:41" s="83" customFormat="1">
      <c r="B877" s="95"/>
      <c r="C877" s="96"/>
      <c r="D877" s="162"/>
      <c r="E877" s="162"/>
      <c r="G877" s="95"/>
      <c r="H877" s="95"/>
      <c r="I877" s="95"/>
      <c r="J877" s="95"/>
      <c r="K877" s="95"/>
      <c r="L877" s="126"/>
      <c r="M877" s="126"/>
      <c r="N877" s="126"/>
      <c r="O877" s="126"/>
      <c r="P877" s="95"/>
      <c r="Q877" s="126"/>
      <c r="R877" s="126"/>
      <c r="S877" s="126"/>
      <c r="T877" s="126"/>
      <c r="U877" s="92"/>
      <c r="V877" s="126"/>
      <c r="W877" s="99"/>
      <c r="X877" s="99"/>
      <c r="Y877" s="99"/>
      <c r="Z877" s="92"/>
      <c r="AA877" s="99"/>
      <c r="AB877" s="99"/>
      <c r="AC877" s="99"/>
      <c r="AD877" s="99"/>
      <c r="AE877" s="92"/>
      <c r="AF877" s="92"/>
      <c r="AG877" s="92"/>
      <c r="AH877" s="92"/>
      <c r="AI877" s="92"/>
      <c r="AJ877" s="92"/>
      <c r="AK877" s="92"/>
      <c r="AL877" s="92"/>
      <c r="AM877" s="651"/>
      <c r="AN877" s="92"/>
      <c r="AO877" s="92"/>
    </row>
    <row r="878" spans="2:41" s="83" customFormat="1">
      <c r="B878" s="95" t="s">
        <v>633</v>
      </c>
      <c r="C878" s="96" t="s">
        <v>225</v>
      </c>
      <c r="D878" s="164" t="s">
        <v>636</v>
      </c>
      <c r="E878" s="162"/>
      <c r="G878" s="95">
        <f>G864+G874</f>
        <v>0</v>
      </c>
      <c r="H878" s="95">
        <f t="shared" ref="H878:V878" si="749">H864+H874</f>
        <v>0</v>
      </c>
      <c r="I878" s="95">
        <f t="shared" si="749"/>
        <v>57.642534818080186</v>
      </c>
      <c r="J878" s="95">
        <f t="shared" si="749"/>
        <v>73.42877988234342</v>
      </c>
      <c r="K878" s="95">
        <f t="shared" si="749"/>
        <v>100.06462200140204</v>
      </c>
      <c r="L878" s="126">
        <f t="shared" si="749"/>
        <v>26.741485593605507</v>
      </c>
      <c r="M878" s="126">
        <f t="shared" si="749"/>
        <v>18.276471014467127</v>
      </c>
      <c r="N878" s="126">
        <f t="shared" si="749"/>
        <v>22.821447553121246</v>
      </c>
      <c r="O878" s="126">
        <f t="shared" si="749"/>
        <v>27.400658377075054</v>
      </c>
      <c r="P878" s="95">
        <f t="shared" si="749"/>
        <v>96.630907394100348</v>
      </c>
      <c r="Q878" s="126">
        <f t="shared" si="749"/>
        <v>23.074805612458913</v>
      </c>
      <c r="R878" s="126">
        <f t="shared" si="749"/>
        <v>22.699050156010241</v>
      </c>
      <c r="S878" s="126">
        <f t="shared" si="749"/>
        <v>7.3245923808276974</v>
      </c>
      <c r="T878" s="126">
        <f t="shared" si="749"/>
        <v>0</v>
      </c>
      <c r="U878" s="95">
        <f t="shared" si="749"/>
        <v>50.465615771936889</v>
      </c>
      <c r="V878" s="126">
        <f t="shared" si="749"/>
        <v>0</v>
      </c>
      <c r="W878" s="126">
        <f>W864+W874</f>
        <v>0</v>
      </c>
      <c r="X878" s="99"/>
      <c r="Y878" s="99"/>
      <c r="Z878" s="92"/>
      <c r="AA878" s="99"/>
      <c r="AB878" s="99"/>
      <c r="AC878" s="99"/>
      <c r="AD878" s="99"/>
      <c r="AE878" s="92"/>
      <c r="AF878" s="92"/>
      <c r="AG878" s="92"/>
      <c r="AH878" s="92"/>
      <c r="AI878" s="92"/>
      <c r="AJ878" s="92"/>
      <c r="AK878" s="92"/>
      <c r="AL878" s="92"/>
      <c r="AM878" s="651"/>
      <c r="AN878" s="92"/>
      <c r="AO878" s="92"/>
    </row>
    <row r="879" spans="2:41" s="83" customFormat="1">
      <c r="B879" s="95" t="s">
        <v>633</v>
      </c>
      <c r="C879" s="96" t="s">
        <v>225</v>
      </c>
      <c r="D879" s="164" t="s">
        <v>682</v>
      </c>
      <c r="E879" s="162"/>
      <c r="G879" s="95">
        <f>G880-G878</f>
        <v>0</v>
      </c>
      <c r="H879" s="95">
        <f t="shared" ref="H879:V879" si="750">H880-H878</f>
        <v>0</v>
      </c>
      <c r="I879" s="95">
        <f t="shared" si="750"/>
        <v>-10.642534818080186</v>
      </c>
      <c r="J879" s="95">
        <f t="shared" si="750"/>
        <v>3.5712201176565799</v>
      </c>
      <c r="K879" s="95">
        <f t="shared" si="750"/>
        <v>4.9353779985979571</v>
      </c>
      <c r="L879" s="126">
        <f t="shared" si="750"/>
        <v>0.25851440639449308</v>
      </c>
      <c r="M879" s="126">
        <f t="shared" si="750"/>
        <v>0.72352898553287304</v>
      </c>
      <c r="N879" s="126">
        <f t="shared" si="750"/>
        <v>0.17855244687875427</v>
      </c>
      <c r="O879" s="126">
        <f t="shared" si="750"/>
        <v>1.5993416229249462</v>
      </c>
      <c r="P879" s="95">
        <f t="shared" si="750"/>
        <v>1.3690926058996524</v>
      </c>
      <c r="Q879" s="126">
        <f t="shared" si="750"/>
        <v>1.9251943875410866</v>
      </c>
      <c r="R879" s="126">
        <f t="shared" si="750"/>
        <v>-0.6990501560102409</v>
      </c>
      <c r="S879" s="126">
        <f t="shared" si="750"/>
        <v>1.6754076191723026</v>
      </c>
      <c r="T879" s="126">
        <f t="shared" si="750"/>
        <v>0</v>
      </c>
      <c r="U879" s="95">
        <f t="shared" si="750"/>
        <v>5.5343842280631108</v>
      </c>
      <c r="V879" s="126">
        <f t="shared" si="750"/>
        <v>0</v>
      </c>
      <c r="W879" s="126">
        <f>W880-W878</f>
        <v>0</v>
      </c>
      <c r="X879" s="99"/>
      <c r="Y879" s="99"/>
      <c r="Z879" s="92"/>
      <c r="AA879" s="99"/>
      <c r="AB879" s="99"/>
      <c r="AC879" s="99"/>
      <c r="AD879" s="99"/>
      <c r="AE879" s="92"/>
      <c r="AF879" s="92"/>
      <c r="AG879" s="92"/>
      <c r="AH879" s="92"/>
      <c r="AI879" s="92"/>
      <c r="AJ879" s="92"/>
      <c r="AK879" s="92"/>
      <c r="AL879" s="92"/>
      <c r="AM879" s="651"/>
      <c r="AN879" s="92"/>
      <c r="AO879" s="92"/>
    </row>
    <row r="880" spans="2:41" s="83" customFormat="1">
      <c r="B880" s="95" t="s">
        <v>633</v>
      </c>
      <c r="C880" s="96" t="s">
        <v>225</v>
      </c>
      <c r="D880" s="173" t="s">
        <v>638</v>
      </c>
      <c r="E880" s="653"/>
      <c r="F880" s="586"/>
      <c r="G880" s="175">
        <v>0</v>
      </c>
      <c r="H880" s="175">
        <v>0</v>
      </c>
      <c r="I880" s="175">
        <v>47</v>
      </c>
      <c r="J880" s="175">
        <v>77</v>
      </c>
      <c r="K880" s="175">
        <v>105</v>
      </c>
      <c r="L880" s="176">
        <v>27</v>
      </c>
      <c r="M880" s="176">
        <v>19</v>
      </c>
      <c r="N880" s="176">
        <v>23</v>
      </c>
      <c r="O880" s="176">
        <v>29</v>
      </c>
      <c r="P880" s="175">
        <v>98</v>
      </c>
      <c r="Q880" s="176">
        <v>25</v>
      </c>
      <c r="R880" s="176">
        <v>22</v>
      </c>
      <c r="S880" s="176">
        <v>9</v>
      </c>
      <c r="T880" s="176">
        <v>0</v>
      </c>
      <c r="U880" s="175">
        <v>56</v>
      </c>
      <c r="V880" s="176">
        <v>0</v>
      </c>
      <c r="W880" s="176">
        <v>0</v>
      </c>
      <c r="X880" s="707"/>
      <c r="Y880" s="707"/>
      <c r="Z880" s="178"/>
      <c r="AA880" s="1014"/>
      <c r="AB880" s="1014"/>
      <c r="AC880" s="1014"/>
      <c r="AD880" s="1014"/>
      <c r="AE880" s="178"/>
      <c r="AF880" s="178"/>
      <c r="AG880" s="178"/>
      <c r="AH880" s="178"/>
      <c r="AI880" s="178"/>
      <c r="AJ880" s="178"/>
      <c r="AK880" s="178"/>
      <c r="AL880" s="178"/>
      <c r="AM880" s="651"/>
      <c r="AN880" s="92"/>
      <c r="AO880" s="92"/>
    </row>
    <row r="881" spans="2:41" s="83" customFormat="1">
      <c r="B881" s="95" t="s">
        <v>633</v>
      </c>
      <c r="C881" s="96" t="s">
        <v>225</v>
      </c>
      <c r="D881" s="599" t="s">
        <v>642</v>
      </c>
      <c r="E881" s="162"/>
      <c r="G881" s="90"/>
      <c r="H881" s="90"/>
      <c r="I881" s="90">
        <v>-54</v>
      </c>
      <c r="J881" s="90">
        <v>-75</v>
      </c>
      <c r="K881" s="90">
        <v>-84</v>
      </c>
      <c r="L881" s="91">
        <v>-23</v>
      </c>
      <c r="M881" s="91">
        <v>-24</v>
      </c>
      <c r="N881" s="91">
        <v>-31</v>
      </c>
      <c r="O881" s="91">
        <v>-23</v>
      </c>
      <c r="P881" s="90">
        <v>-101</v>
      </c>
      <c r="Q881" s="91">
        <v>0</v>
      </c>
      <c r="R881" s="91">
        <v>0</v>
      </c>
      <c r="S881" s="91">
        <v>0</v>
      </c>
      <c r="T881" s="91">
        <v>0</v>
      </c>
      <c r="U881" s="90">
        <v>-58</v>
      </c>
      <c r="V881" s="91">
        <v>0</v>
      </c>
      <c r="W881" s="91">
        <v>0</v>
      </c>
      <c r="X881" s="148"/>
      <c r="Y881" s="148"/>
      <c r="Z881" s="113"/>
      <c r="AA881" s="148"/>
      <c r="AB881" s="148"/>
      <c r="AC881" s="148"/>
      <c r="AD881" s="148"/>
      <c r="AE881" s="113"/>
      <c r="AF881" s="113"/>
      <c r="AG881" s="92"/>
      <c r="AH881" s="92"/>
      <c r="AI881" s="92"/>
      <c r="AJ881" s="92"/>
      <c r="AK881" s="92"/>
      <c r="AL881" s="92"/>
      <c r="AM881" s="651"/>
      <c r="AN881" s="92"/>
      <c r="AO881" s="92"/>
    </row>
    <row r="882" spans="2:41" s="83" customFormat="1">
      <c r="B882" s="95" t="s">
        <v>633</v>
      </c>
      <c r="C882" s="96" t="s">
        <v>225</v>
      </c>
      <c r="D882" s="599" t="s">
        <v>643</v>
      </c>
      <c r="E882" s="162"/>
      <c r="G882" s="90"/>
      <c r="H882" s="90"/>
      <c r="I882" s="90">
        <v>-2</v>
      </c>
      <c r="J882" s="90">
        <v>-2</v>
      </c>
      <c r="K882" s="90">
        <v>-2</v>
      </c>
      <c r="L882" s="91">
        <v>0</v>
      </c>
      <c r="M882" s="91">
        <v>-1</v>
      </c>
      <c r="N882" s="91">
        <v>0</v>
      </c>
      <c r="O882" s="91">
        <v>0</v>
      </c>
      <c r="P882" s="90">
        <v>-1</v>
      </c>
      <c r="Q882" s="91">
        <v>-1</v>
      </c>
      <c r="R882" s="91">
        <v>0</v>
      </c>
      <c r="S882" s="91">
        <v>0</v>
      </c>
      <c r="T882" s="91">
        <v>0</v>
      </c>
      <c r="U882" s="90">
        <v>-1</v>
      </c>
      <c r="V882" s="91">
        <v>0</v>
      </c>
      <c r="W882" s="91">
        <v>0</v>
      </c>
      <c r="X882" s="148"/>
      <c r="Y882" s="148"/>
      <c r="Z882" s="113"/>
      <c r="AA882" s="148"/>
      <c r="AB882" s="148"/>
      <c r="AC882" s="148"/>
      <c r="AD882" s="148"/>
      <c r="AE882" s="113"/>
      <c r="AF882" s="113"/>
      <c r="AG882" s="92"/>
      <c r="AH882" s="92"/>
      <c r="AI882" s="92"/>
      <c r="AJ882" s="92"/>
      <c r="AK882" s="92"/>
      <c r="AL882" s="92"/>
      <c r="AM882" s="651"/>
      <c r="AN882" s="92"/>
      <c r="AO882" s="92"/>
    </row>
    <row r="883" spans="2:41" s="83" customFormat="1">
      <c r="B883" s="95" t="s">
        <v>633</v>
      </c>
      <c r="C883" s="96" t="s">
        <v>225</v>
      </c>
      <c r="D883" s="599" t="s">
        <v>713</v>
      </c>
      <c r="E883" s="162"/>
      <c r="G883" s="90">
        <v>0</v>
      </c>
      <c r="H883" s="90">
        <v>0</v>
      </c>
      <c r="I883" s="90">
        <v>0</v>
      </c>
      <c r="J883" s="90">
        <v>0</v>
      </c>
      <c r="K883" s="90">
        <v>0</v>
      </c>
      <c r="L883" s="91">
        <v>0</v>
      </c>
      <c r="M883" s="91">
        <v>0</v>
      </c>
      <c r="N883" s="91">
        <v>-1</v>
      </c>
      <c r="O883" s="91">
        <v>0</v>
      </c>
      <c r="P883" s="90">
        <v>-1</v>
      </c>
      <c r="Q883" s="91">
        <v>0</v>
      </c>
      <c r="R883" s="91">
        <v>0</v>
      </c>
      <c r="S883" s="91">
        <v>-1</v>
      </c>
      <c r="T883" s="91">
        <v>0</v>
      </c>
      <c r="U883" s="90">
        <v>-1</v>
      </c>
      <c r="V883" s="91">
        <v>0</v>
      </c>
      <c r="W883" s="91">
        <v>0</v>
      </c>
      <c r="X883" s="148"/>
      <c r="Y883" s="148"/>
      <c r="Z883" s="113"/>
      <c r="AA883" s="148"/>
      <c r="AB883" s="148"/>
      <c r="AC883" s="148"/>
      <c r="AD883" s="148"/>
      <c r="AE883" s="113"/>
      <c r="AF883" s="113"/>
      <c r="AG883" s="92"/>
      <c r="AH883" s="92"/>
      <c r="AI883" s="92"/>
      <c r="AJ883" s="92"/>
      <c r="AK883" s="92"/>
      <c r="AL883" s="92"/>
      <c r="AM883" s="651"/>
      <c r="AN883" s="92"/>
      <c r="AO883" s="92"/>
    </row>
    <row r="884" spans="2:41" s="83" customFormat="1">
      <c r="B884" s="95" t="s">
        <v>633</v>
      </c>
      <c r="C884" s="96" t="s">
        <v>225</v>
      </c>
      <c r="D884" s="599" t="s">
        <v>644</v>
      </c>
      <c r="E884" s="162"/>
      <c r="G884" s="90">
        <v>0</v>
      </c>
      <c r="H884" s="90">
        <v>0</v>
      </c>
      <c r="I884" s="90">
        <v>-6</v>
      </c>
      <c r="J884" s="90">
        <v>-10</v>
      </c>
      <c r="K884" s="90">
        <v>-31</v>
      </c>
      <c r="L884" s="91">
        <v>-3</v>
      </c>
      <c r="M884" s="91">
        <v>-3</v>
      </c>
      <c r="N884" s="91">
        <v>-4</v>
      </c>
      <c r="O884" s="91">
        <v>-5</v>
      </c>
      <c r="P884" s="90">
        <v>-15</v>
      </c>
      <c r="Q884" s="180">
        <v>-1</v>
      </c>
      <c r="R884" s="180">
        <v>-1</v>
      </c>
      <c r="S884" s="91">
        <v>-1</v>
      </c>
      <c r="T884" s="91">
        <v>-6</v>
      </c>
      <c r="U884" s="90">
        <v>-3</v>
      </c>
      <c r="V884" s="180">
        <v>0</v>
      </c>
      <c r="W884" s="180">
        <v>0</v>
      </c>
      <c r="X884" s="148"/>
      <c r="Y884" s="148"/>
      <c r="Z884" s="113"/>
      <c r="AA884" s="148"/>
      <c r="AB884" s="148"/>
      <c r="AC884" s="148"/>
      <c r="AD884" s="148"/>
      <c r="AE884" s="113"/>
      <c r="AF884" s="113"/>
      <c r="AG884" s="92"/>
      <c r="AH884" s="92"/>
      <c r="AI884" s="92"/>
      <c r="AJ884" s="92"/>
      <c r="AK884" s="92"/>
      <c r="AL884" s="92"/>
      <c r="AM884" s="651"/>
      <c r="AN884" s="92"/>
      <c r="AO884" s="92"/>
    </row>
    <row r="885" spans="2:41" s="83" customFormat="1">
      <c r="B885" s="95" t="s">
        <v>633</v>
      </c>
      <c r="C885" s="96" t="s">
        <v>225</v>
      </c>
      <c r="D885" s="595" t="s">
        <v>645</v>
      </c>
      <c r="E885" s="661"/>
      <c r="F885" s="595"/>
      <c r="G885" s="678">
        <f>SUM(G881:G884)</f>
        <v>0</v>
      </c>
      <c r="H885" s="678">
        <f t="shared" ref="H885:V885" si="751">SUM(H881:H884)</f>
        <v>0</v>
      </c>
      <c r="I885" s="678">
        <f t="shared" si="751"/>
        <v>-62</v>
      </c>
      <c r="J885" s="678">
        <f t="shared" si="751"/>
        <v>-87</v>
      </c>
      <c r="K885" s="678">
        <f t="shared" si="751"/>
        <v>-117</v>
      </c>
      <c r="L885" s="679">
        <f t="shared" si="751"/>
        <v>-26</v>
      </c>
      <c r="M885" s="679">
        <f t="shared" si="751"/>
        <v>-28</v>
      </c>
      <c r="N885" s="679">
        <f t="shared" si="751"/>
        <v>-36</v>
      </c>
      <c r="O885" s="679">
        <f t="shared" si="751"/>
        <v>-28</v>
      </c>
      <c r="P885" s="678">
        <f t="shared" si="751"/>
        <v>-118</v>
      </c>
      <c r="Q885" s="679">
        <f t="shared" si="751"/>
        <v>-2</v>
      </c>
      <c r="R885" s="679">
        <f t="shared" si="751"/>
        <v>-1</v>
      </c>
      <c r="S885" s="679">
        <f t="shared" si="751"/>
        <v>-2</v>
      </c>
      <c r="T885" s="679">
        <f t="shared" si="751"/>
        <v>-6</v>
      </c>
      <c r="U885" s="678">
        <f t="shared" si="751"/>
        <v>-63</v>
      </c>
      <c r="V885" s="679">
        <f t="shared" si="751"/>
        <v>0</v>
      </c>
      <c r="W885" s="679">
        <f>SUM(W881:W884)</f>
        <v>0</v>
      </c>
      <c r="X885" s="708"/>
      <c r="Y885" s="708"/>
      <c r="Z885" s="598"/>
      <c r="AA885" s="708"/>
      <c r="AB885" s="708"/>
      <c r="AC885" s="708"/>
      <c r="AD885" s="708"/>
      <c r="AE885" s="598"/>
      <c r="AF885" s="598"/>
      <c r="AG885" s="598"/>
      <c r="AH885" s="598"/>
      <c r="AI885" s="598"/>
      <c r="AJ885" s="598"/>
      <c r="AK885" s="598"/>
      <c r="AL885" s="598"/>
      <c r="AM885" s="651"/>
      <c r="AN885" s="92"/>
      <c r="AO885" s="92"/>
    </row>
    <row r="886" spans="2:41" s="83" customFormat="1">
      <c r="B886" s="95" t="s">
        <v>633</v>
      </c>
      <c r="C886" s="96" t="s">
        <v>225</v>
      </c>
      <c r="D886" s="203" t="s">
        <v>226</v>
      </c>
      <c r="E886" s="162"/>
      <c r="G886" s="95">
        <f>G880+G881+G882+G883</f>
        <v>0</v>
      </c>
      <c r="H886" s="95">
        <f t="shared" ref="H886:V886" si="752">H880+H881+H882+H883</f>
        <v>0</v>
      </c>
      <c r="I886" s="95">
        <f t="shared" si="752"/>
        <v>-9</v>
      </c>
      <c r="J886" s="95">
        <f t="shared" si="752"/>
        <v>0</v>
      </c>
      <c r="K886" s="95">
        <f t="shared" si="752"/>
        <v>19</v>
      </c>
      <c r="L886" s="126">
        <f t="shared" si="752"/>
        <v>4</v>
      </c>
      <c r="M886" s="126">
        <f t="shared" si="752"/>
        <v>-6</v>
      </c>
      <c r="N886" s="126">
        <f t="shared" si="752"/>
        <v>-9</v>
      </c>
      <c r="O886" s="126">
        <f t="shared" si="752"/>
        <v>6</v>
      </c>
      <c r="P886" s="95">
        <f t="shared" si="752"/>
        <v>-5</v>
      </c>
      <c r="Q886" s="126">
        <f t="shared" si="752"/>
        <v>24</v>
      </c>
      <c r="R886" s="126">
        <f>R880+R881+R882+R883</f>
        <v>22</v>
      </c>
      <c r="S886" s="126">
        <f t="shared" si="752"/>
        <v>8</v>
      </c>
      <c r="T886" s="126">
        <f t="shared" si="752"/>
        <v>0</v>
      </c>
      <c r="U886" s="95">
        <f t="shared" si="752"/>
        <v>-4</v>
      </c>
      <c r="V886" s="126">
        <f t="shared" si="752"/>
        <v>0</v>
      </c>
      <c r="W886" s="126">
        <f>W880+W881+W882+W883</f>
        <v>0</v>
      </c>
      <c r="X886" s="99"/>
      <c r="Y886" s="99"/>
      <c r="Z886" s="92"/>
      <c r="AA886" s="99"/>
      <c r="AB886" s="99"/>
      <c r="AC886" s="99"/>
      <c r="AD886" s="99"/>
      <c r="AE886" s="92"/>
      <c r="AF886" s="92"/>
      <c r="AG886" s="92"/>
      <c r="AH886" s="92"/>
      <c r="AI886" s="92"/>
      <c r="AJ886" s="92"/>
      <c r="AK886" s="92"/>
      <c r="AL886" s="92"/>
      <c r="AM886" s="651"/>
      <c r="AN886" s="92"/>
      <c r="AO886" s="92"/>
    </row>
    <row r="887" spans="2:41" s="83" customFormat="1">
      <c r="B887" s="95" t="s">
        <v>633</v>
      </c>
      <c r="C887" s="96" t="s">
        <v>225</v>
      </c>
      <c r="D887" s="594" t="s">
        <v>178</v>
      </c>
      <c r="E887" s="661"/>
      <c r="F887" s="595"/>
      <c r="G887" s="678">
        <f>G886+G884</f>
        <v>0</v>
      </c>
      <c r="H887" s="678">
        <f t="shared" ref="H887:V887" si="753">H886+H884</f>
        <v>0</v>
      </c>
      <c r="I887" s="678">
        <f t="shared" si="753"/>
        <v>-15</v>
      </c>
      <c r="J887" s="678">
        <f t="shared" si="753"/>
        <v>-10</v>
      </c>
      <c r="K887" s="678">
        <f t="shared" si="753"/>
        <v>-12</v>
      </c>
      <c r="L887" s="679">
        <f t="shared" si="753"/>
        <v>1</v>
      </c>
      <c r="M887" s="679">
        <f t="shared" si="753"/>
        <v>-9</v>
      </c>
      <c r="N887" s="679">
        <f t="shared" si="753"/>
        <v>-13</v>
      </c>
      <c r="O887" s="679">
        <f t="shared" si="753"/>
        <v>1</v>
      </c>
      <c r="P887" s="678">
        <f t="shared" si="753"/>
        <v>-20</v>
      </c>
      <c r="Q887" s="679">
        <f t="shared" si="753"/>
        <v>23</v>
      </c>
      <c r="R887" s="679">
        <f t="shared" si="753"/>
        <v>21</v>
      </c>
      <c r="S887" s="679">
        <f t="shared" si="753"/>
        <v>7</v>
      </c>
      <c r="T887" s="679">
        <f t="shared" si="753"/>
        <v>-6</v>
      </c>
      <c r="U887" s="678">
        <f t="shared" si="753"/>
        <v>-7</v>
      </c>
      <c r="V887" s="679">
        <f t="shared" si="753"/>
        <v>0</v>
      </c>
      <c r="W887" s="679">
        <f>W886+W884</f>
        <v>0</v>
      </c>
      <c r="X887" s="708"/>
      <c r="Y887" s="708"/>
      <c r="Z887" s="598"/>
      <c r="AA887" s="708"/>
      <c r="AB887" s="708"/>
      <c r="AC887" s="708"/>
      <c r="AD887" s="708"/>
      <c r="AE887" s="598"/>
      <c r="AF887" s="598"/>
      <c r="AG887" s="598"/>
      <c r="AH887" s="598"/>
      <c r="AI887" s="598"/>
      <c r="AJ887" s="598"/>
      <c r="AK887" s="598"/>
      <c r="AL887" s="598"/>
      <c r="AM887" s="651"/>
      <c r="AN887" s="92"/>
      <c r="AO887" s="92"/>
    </row>
    <row r="888" spans="2:41" s="83" customFormat="1">
      <c r="B888" s="95"/>
      <c r="C888" s="96"/>
      <c r="D888" s="607"/>
      <c r="E888" s="162"/>
      <c r="G888" s="95"/>
      <c r="H888" s="95"/>
      <c r="I888" s="95"/>
      <c r="J888" s="95"/>
      <c r="K888" s="95"/>
      <c r="L888" s="126"/>
      <c r="M888" s="126"/>
      <c r="N888" s="126"/>
      <c r="O888" s="126"/>
      <c r="P888" s="95"/>
      <c r="Q888" s="126"/>
      <c r="R888" s="126"/>
      <c r="S888" s="126"/>
      <c r="T888" s="126"/>
      <c r="U888" s="92"/>
      <c r="V888" s="126"/>
      <c r="W888" s="99"/>
      <c r="X888" s="99"/>
      <c r="Y888" s="99"/>
      <c r="Z888" s="92"/>
      <c r="AA888" s="99"/>
      <c r="AB888" s="99"/>
      <c r="AC888" s="99"/>
      <c r="AD888" s="99"/>
      <c r="AE888" s="92"/>
      <c r="AF888" s="92"/>
      <c r="AG888" s="92"/>
      <c r="AH888" s="92"/>
      <c r="AI888" s="92"/>
      <c r="AJ888" s="92"/>
      <c r="AK888" s="92"/>
      <c r="AL888" s="92"/>
      <c r="AM888" s="651"/>
      <c r="AN888" s="92"/>
      <c r="AO888" s="92"/>
    </row>
    <row r="889" spans="2:41" s="83" customFormat="1">
      <c r="B889" s="95"/>
      <c r="C889" s="96"/>
      <c r="D889" s="162"/>
      <c r="E889" s="162"/>
      <c r="G889" s="95"/>
      <c r="H889" s="95"/>
      <c r="I889" s="95"/>
      <c r="J889" s="95"/>
      <c r="K889" s="95"/>
      <c r="L889" s="126"/>
      <c r="M889" s="126"/>
      <c r="N889" s="126"/>
      <c r="O889" s="126"/>
      <c r="P889" s="95"/>
      <c r="Q889" s="126"/>
      <c r="R889" s="126"/>
      <c r="S889" s="126"/>
      <c r="T889" s="126"/>
      <c r="U889" s="92"/>
      <c r="V889" s="126"/>
      <c r="W889" s="99"/>
      <c r="X889" s="99"/>
      <c r="Y889" s="99"/>
      <c r="Z889" s="92"/>
      <c r="AA889" s="99"/>
      <c r="AB889" s="99"/>
      <c r="AC889" s="99"/>
      <c r="AD889" s="99"/>
      <c r="AE889" s="92"/>
      <c r="AF889" s="92"/>
      <c r="AG889" s="92"/>
      <c r="AH889" s="92"/>
      <c r="AI889" s="92"/>
      <c r="AJ889" s="92"/>
      <c r="AK889" s="92"/>
      <c r="AL889" s="92"/>
      <c r="AM889" s="651"/>
      <c r="AN889" s="92"/>
      <c r="AO889" s="92"/>
    </row>
    <row r="890" spans="2:41" s="83" customFormat="1">
      <c r="B890" s="95"/>
      <c r="C890" s="96"/>
      <c r="D890" s="554" t="s">
        <v>646</v>
      </c>
      <c r="E890" s="653"/>
      <c r="F890" s="586"/>
      <c r="G890" s="722"/>
      <c r="H890" s="722"/>
      <c r="I890" s="722"/>
      <c r="J890" s="722"/>
      <c r="K890" s="722"/>
      <c r="L890" s="723"/>
      <c r="M890" s="723"/>
      <c r="N890" s="723"/>
      <c r="O890" s="723"/>
      <c r="P890" s="722"/>
      <c r="Q890" s="723"/>
      <c r="R890" s="723"/>
      <c r="S890" s="723"/>
      <c r="T890" s="723"/>
      <c r="U890" s="722"/>
      <c r="V890" s="723"/>
      <c r="W890" s="725"/>
      <c r="X890" s="725"/>
      <c r="Y890" s="725"/>
      <c r="Z890" s="586"/>
      <c r="AA890" s="725"/>
      <c r="AB890" s="725"/>
      <c r="AC890" s="725"/>
      <c r="AD890" s="725"/>
      <c r="AE890" s="586"/>
      <c r="AF890" s="586"/>
      <c r="AG890" s="588"/>
      <c r="AH890" s="588"/>
      <c r="AI890" s="588"/>
      <c r="AJ890" s="588"/>
      <c r="AK890" s="588"/>
      <c r="AL890" s="588"/>
      <c r="AM890" s="651"/>
      <c r="AN890" s="92"/>
      <c r="AO890" s="92"/>
    </row>
    <row r="891" spans="2:41" s="83" customFormat="1">
      <c r="B891" s="95" t="s">
        <v>649</v>
      </c>
      <c r="C891" s="96"/>
      <c r="D891" s="203" t="s">
        <v>657</v>
      </c>
      <c r="E891" s="162"/>
      <c r="G891" s="95">
        <f>G889+G899</f>
        <v>0</v>
      </c>
      <c r="H891" s="95">
        <f>H889+H899</f>
        <v>0</v>
      </c>
      <c r="I891" s="95">
        <v>619</v>
      </c>
      <c r="J891" s="95">
        <v>761</v>
      </c>
      <c r="K891" s="95">
        <v>724</v>
      </c>
      <c r="L891" s="126">
        <v>161</v>
      </c>
      <c r="M891" s="126">
        <v>250</v>
      </c>
      <c r="N891" s="126">
        <v>240</v>
      </c>
      <c r="O891" s="126">
        <v>210</v>
      </c>
      <c r="P891" s="95">
        <v>861</v>
      </c>
      <c r="Q891" s="126">
        <v>181</v>
      </c>
      <c r="R891" s="126">
        <v>162</v>
      </c>
      <c r="S891" s="126">
        <v>39</v>
      </c>
      <c r="T891" s="126">
        <v>0</v>
      </c>
      <c r="U891" s="92">
        <v>382</v>
      </c>
      <c r="V891" s="126"/>
      <c r="W891" s="99"/>
      <c r="X891" s="99"/>
      <c r="Y891" s="99"/>
      <c r="Z891" s="92"/>
      <c r="AA891" s="99"/>
      <c r="AB891" s="99"/>
      <c r="AC891" s="99"/>
      <c r="AD891" s="99"/>
      <c r="AE891" s="92"/>
      <c r="AF891" s="92"/>
      <c r="AG891" s="92"/>
      <c r="AH891" s="92"/>
      <c r="AI891" s="92"/>
      <c r="AJ891" s="92"/>
      <c r="AK891" s="92"/>
      <c r="AL891" s="92"/>
      <c r="AM891" s="651"/>
      <c r="AN891" s="92"/>
      <c r="AO891" s="92"/>
    </row>
    <row r="892" spans="2:41" s="83" customFormat="1">
      <c r="B892" s="95" t="s">
        <v>649</v>
      </c>
      <c r="C892" s="96"/>
      <c r="D892" s="163" t="s">
        <v>614</v>
      </c>
      <c r="E892" s="162"/>
      <c r="G892" s="95">
        <f>G834</f>
        <v>0</v>
      </c>
      <c r="H892" s="95">
        <f t="shared" ref="H892:V892" si="754">H834</f>
        <v>0</v>
      </c>
      <c r="I892" s="95">
        <f t="shared" si="754"/>
        <v>593</v>
      </c>
      <c r="J892" s="95">
        <f t="shared" si="754"/>
        <v>652</v>
      </c>
      <c r="K892" s="95">
        <f t="shared" si="754"/>
        <v>527</v>
      </c>
      <c r="L892" s="126">
        <f t="shared" si="754"/>
        <v>127</v>
      </c>
      <c r="M892" s="126">
        <f t="shared" si="754"/>
        <v>105</v>
      </c>
      <c r="N892" s="126">
        <f t="shared" si="754"/>
        <v>166</v>
      </c>
      <c r="O892" s="126">
        <f t="shared" si="754"/>
        <v>169</v>
      </c>
      <c r="P892" s="95">
        <f t="shared" si="754"/>
        <v>567</v>
      </c>
      <c r="Q892" s="126">
        <f t="shared" si="754"/>
        <v>152</v>
      </c>
      <c r="R892" s="126">
        <f t="shared" si="754"/>
        <v>150</v>
      </c>
      <c r="S892" s="126">
        <f t="shared" si="754"/>
        <v>47</v>
      </c>
      <c r="T892" s="126">
        <f t="shared" si="754"/>
        <v>0</v>
      </c>
      <c r="U892" s="95">
        <f t="shared" si="754"/>
        <v>349</v>
      </c>
      <c r="V892" s="126">
        <f t="shared" si="754"/>
        <v>0</v>
      </c>
      <c r="W892" s="126">
        <f>W834</f>
        <v>0</v>
      </c>
      <c r="X892" s="99"/>
      <c r="Y892" s="99"/>
      <c r="Z892" s="92"/>
      <c r="AA892" s="99"/>
      <c r="AB892" s="99"/>
      <c r="AC892" s="99"/>
      <c r="AD892" s="99"/>
      <c r="AE892" s="92"/>
      <c r="AF892" s="92"/>
      <c r="AG892" s="92"/>
      <c r="AH892" s="92"/>
      <c r="AI892" s="92"/>
      <c r="AJ892" s="92"/>
      <c r="AK892" s="92"/>
      <c r="AL892" s="92"/>
      <c r="AM892" s="651"/>
      <c r="AN892" s="92"/>
      <c r="AO892" s="92"/>
    </row>
    <row r="893" spans="2:41" s="83" customFormat="1">
      <c r="B893" s="95" t="s">
        <v>650</v>
      </c>
      <c r="C893" s="96"/>
      <c r="D893" s="163" t="s">
        <v>714</v>
      </c>
      <c r="E893" s="162"/>
      <c r="G893" s="95">
        <f>G849*1000</f>
        <v>0</v>
      </c>
      <c r="H893" s="95">
        <f t="shared" ref="H893:V893" si="755">H849*1000</f>
        <v>0</v>
      </c>
      <c r="I893" s="95">
        <f t="shared" si="755"/>
        <v>31000</v>
      </c>
      <c r="J893" s="95">
        <f t="shared" si="755"/>
        <v>34000</v>
      </c>
      <c r="K893" s="95">
        <f t="shared" si="755"/>
        <v>32000</v>
      </c>
      <c r="L893" s="126">
        <f t="shared" si="755"/>
        <v>7400</v>
      </c>
      <c r="M893" s="126">
        <f t="shared" si="755"/>
        <v>5600</v>
      </c>
      <c r="N893" s="126">
        <f t="shared" si="755"/>
        <v>8200</v>
      </c>
      <c r="O893" s="126">
        <f t="shared" si="755"/>
        <v>9000</v>
      </c>
      <c r="P893" s="95">
        <f t="shared" si="755"/>
        <v>30000</v>
      </c>
      <c r="Q893" s="126">
        <f t="shared" si="755"/>
        <v>8300</v>
      </c>
      <c r="R893" s="126">
        <f t="shared" si="755"/>
        <v>8500</v>
      </c>
      <c r="S893" s="126">
        <f t="shared" si="755"/>
        <v>3100</v>
      </c>
      <c r="T893" s="126">
        <f t="shared" si="755"/>
        <v>0</v>
      </c>
      <c r="U893" s="95">
        <f t="shared" si="755"/>
        <v>19900</v>
      </c>
      <c r="V893" s="126">
        <f t="shared" si="755"/>
        <v>0</v>
      </c>
      <c r="W893" s="126">
        <f>W849*1000</f>
        <v>0</v>
      </c>
      <c r="X893" s="99"/>
      <c r="Y893" s="99"/>
      <c r="Z893" s="92"/>
      <c r="AA893" s="99"/>
      <c r="AB893" s="99"/>
      <c r="AC893" s="99"/>
      <c r="AD893" s="99"/>
      <c r="AE893" s="92"/>
      <c r="AF893" s="92"/>
      <c r="AG893" s="92"/>
      <c r="AH893" s="92"/>
      <c r="AI893" s="92"/>
      <c r="AJ893" s="92"/>
      <c r="AK893" s="92"/>
      <c r="AL893" s="92"/>
      <c r="AM893" s="651"/>
      <c r="AN893" s="92"/>
      <c r="AO893" s="92"/>
    </row>
    <row r="894" spans="2:41" s="83" customFormat="1">
      <c r="B894" s="95" t="s">
        <v>650</v>
      </c>
      <c r="C894" s="96"/>
      <c r="D894" s="163" t="s">
        <v>715</v>
      </c>
      <c r="E894" s="162"/>
      <c r="G894" s="95">
        <f>G893/0.54</f>
        <v>0</v>
      </c>
      <c r="H894" s="95">
        <f t="shared" ref="H894:V894" si="756">H893/0.54</f>
        <v>0</v>
      </c>
      <c r="I894" s="95">
        <f t="shared" si="756"/>
        <v>57407.407407407401</v>
      </c>
      <c r="J894" s="95">
        <f t="shared" si="756"/>
        <v>62962.962962962956</v>
      </c>
      <c r="K894" s="95">
        <f t="shared" si="756"/>
        <v>59259.259259259255</v>
      </c>
      <c r="L894" s="126">
        <f t="shared" si="756"/>
        <v>13703.703703703703</v>
      </c>
      <c r="M894" s="126">
        <f t="shared" si="756"/>
        <v>10370.37037037037</v>
      </c>
      <c r="N894" s="126">
        <f t="shared" si="756"/>
        <v>15185.185185185184</v>
      </c>
      <c r="O894" s="126">
        <f t="shared" si="756"/>
        <v>16666.666666666664</v>
      </c>
      <c r="P894" s="95">
        <f t="shared" si="756"/>
        <v>55555.555555555555</v>
      </c>
      <c r="Q894" s="126">
        <f t="shared" si="756"/>
        <v>15370.370370370369</v>
      </c>
      <c r="R894" s="126">
        <f t="shared" si="756"/>
        <v>15740.740740740739</v>
      </c>
      <c r="S894" s="126">
        <f t="shared" si="756"/>
        <v>5740.74074074074</v>
      </c>
      <c r="T894" s="126">
        <f t="shared" si="756"/>
        <v>0</v>
      </c>
      <c r="U894" s="95">
        <f t="shared" si="756"/>
        <v>36851.851851851847</v>
      </c>
      <c r="V894" s="126">
        <f t="shared" si="756"/>
        <v>0</v>
      </c>
      <c r="W894" s="126">
        <f>W893/0.54</f>
        <v>0</v>
      </c>
      <c r="X894" s="99"/>
      <c r="Y894" s="99"/>
      <c r="Z894" s="92"/>
      <c r="AA894" s="99"/>
      <c r="AB894" s="99"/>
      <c r="AC894" s="99"/>
      <c r="AD894" s="99"/>
      <c r="AE894" s="92"/>
      <c r="AF894" s="92"/>
      <c r="AG894" s="92"/>
      <c r="AH894" s="92"/>
      <c r="AI894" s="92"/>
      <c r="AJ894" s="92"/>
      <c r="AK894" s="92"/>
      <c r="AL894" s="92"/>
      <c r="AM894" s="651"/>
      <c r="AN894" s="92"/>
      <c r="AO894" s="92"/>
    </row>
    <row r="895" spans="2:41" s="83" customFormat="1">
      <c r="B895" s="95"/>
      <c r="C895" s="96"/>
      <c r="D895" s="163"/>
      <c r="E895" s="162"/>
      <c r="G895" s="95"/>
      <c r="H895" s="95"/>
      <c r="I895" s="95"/>
      <c r="J895" s="95"/>
      <c r="K895" s="95"/>
      <c r="L895" s="126"/>
      <c r="M895" s="126"/>
      <c r="N895" s="126"/>
      <c r="O895" s="126"/>
      <c r="P895" s="95"/>
      <c r="Q895" s="126"/>
      <c r="R895" s="126"/>
      <c r="S895" s="126"/>
      <c r="T895" s="126"/>
      <c r="U895" s="92"/>
      <c r="V895" s="126"/>
      <c r="W895" s="99"/>
      <c r="X895" s="99"/>
      <c r="Y895" s="99"/>
      <c r="Z895" s="92"/>
      <c r="AA895" s="99"/>
      <c r="AB895" s="99"/>
      <c r="AC895" s="99"/>
      <c r="AD895" s="99"/>
      <c r="AE895" s="92"/>
      <c r="AF895" s="92"/>
      <c r="AG895" s="92"/>
      <c r="AH895" s="92"/>
      <c r="AI895" s="92"/>
      <c r="AJ895" s="92"/>
      <c r="AK895" s="92"/>
      <c r="AL895" s="92"/>
      <c r="AM895" s="651"/>
      <c r="AN895" s="92"/>
      <c r="AO895" s="92"/>
    </row>
    <row r="896" spans="2:41" s="83" customFormat="1">
      <c r="B896" s="95"/>
      <c r="C896" s="96"/>
      <c r="D896" s="163"/>
      <c r="E896" s="162"/>
      <c r="G896" s="95"/>
      <c r="H896" s="95"/>
      <c r="I896" s="95"/>
      <c r="J896" s="95"/>
      <c r="K896" s="95"/>
      <c r="L896" s="126"/>
      <c r="M896" s="126"/>
      <c r="N896" s="126"/>
      <c r="O896" s="126"/>
      <c r="P896" s="95"/>
      <c r="Q896" s="126"/>
      <c r="R896" s="126"/>
      <c r="S896" s="126"/>
      <c r="T896" s="126"/>
      <c r="U896" s="92"/>
      <c r="V896" s="126"/>
      <c r="W896" s="99"/>
      <c r="X896" s="99"/>
      <c r="Y896" s="99"/>
      <c r="Z896" s="92"/>
      <c r="AA896" s="99"/>
      <c r="AB896" s="99"/>
      <c r="AC896" s="99"/>
      <c r="AD896" s="99"/>
      <c r="AE896" s="92"/>
      <c r="AF896" s="92"/>
      <c r="AG896" s="92"/>
      <c r="AH896" s="92"/>
      <c r="AI896" s="92"/>
      <c r="AJ896" s="92"/>
      <c r="AK896" s="92"/>
      <c r="AL896" s="92"/>
      <c r="AM896" s="651"/>
      <c r="AN896" s="92"/>
      <c r="AO896" s="92"/>
    </row>
    <row r="897" spans="2:41" s="83" customFormat="1">
      <c r="B897" s="95"/>
      <c r="C897" s="96"/>
      <c r="D897" s="554" t="s">
        <v>651</v>
      </c>
      <c r="E897" s="653"/>
      <c r="F897" s="586"/>
      <c r="G897" s="722"/>
      <c r="H897" s="722"/>
      <c r="I897" s="722"/>
      <c r="J897" s="722"/>
      <c r="K897" s="722"/>
      <c r="L897" s="723"/>
      <c r="M897" s="723"/>
      <c r="N897" s="723"/>
      <c r="O897" s="723"/>
      <c r="P897" s="722"/>
      <c r="Q897" s="723"/>
      <c r="R897" s="723"/>
      <c r="S897" s="723"/>
      <c r="T897" s="723"/>
      <c r="U897" s="722"/>
      <c r="V897" s="723"/>
      <c r="W897" s="725"/>
      <c r="X897" s="725"/>
      <c r="Y897" s="725"/>
      <c r="Z897" s="586"/>
      <c r="AA897" s="725"/>
      <c r="AB897" s="725"/>
      <c r="AC897" s="725"/>
      <c r="AD897" s="725"/>
      <c r="AE897" s="586"/>
      <c r="AF897" s="586"/>
      <c r="AG897" s="588"/>
      <c r="AH897" s="588"/>
      <c r="AI897" s="588"/>
      <c r="AJ897" s="588"/>
      <c r="AK897" s="588"/>
      <c r="AL897" s="588"/>
      <c r="AM897" s="651"/>
      <c r="AN897" s="92"/>
      <c r="AO897" s="92"/>
    </row>
    <row r="898" spans="2:41" s="83" customFormat="1">
      <c r="B898" s="95"/>
      <c r="C898" s="96"/>
      <c r="D898" s="163" t="s">
        <v>652</v>
      </c>
      <c r="E898" s="162"/>
      <c r="G898" s="603"/>
      <c r="H898" s="603"/>
      <c r="I898" s="603">
        <f>(-I881*1000000)/(I892*1000)</f>
        <v>91.062394603709947</v>
      </c>
      <c r="J898" s="603">
        <f t="shared" ref="J898:U898" si="757">(-J881*1000000)/(J892*1000)</f>
        <v>115.03067484662577</v>
      </c>
      <c r="K898" s="603">
        <f t="shared" si="757"/>
        <v>159.39278937381405</v>
      </c>
      <c r="L898" s="616">
        <f t="shared" si="757"/>
        <v>181.10236220472441</v>
      </c>
      <c r="M898" s="616">
        <f t="shared" si="757"/>
        <v>228.57142857142858</v>
      </c>
      <c r="N898" s="616">
        <f t="shared" si="757"/>
        <v>186.74698795180723</v>
      </c>
      <c r="O898" s="616">
        <f t="shared" si="757"/>
        <v>136.09467455621302</v>
      </c>
      <c r="P898" s="603">
        <f t="shared" si="757"/>
        <v>178.13051146384478</v>
      </c>
      <c r="Q898" s="616">
        <f t="shared" si="757"/>
        <v>0</v>
      </c>
      <c r="R898" s="616">
        <f t="shared" si="757"/>
        <v>0</v>
      </c>
      <c r="S898" s="616">
        <f t="shared" si="757"/>
        <v>0</v>
      </c>
      <c r="T898" s="616" t="e">
        <f t="shared" si="757"/>
        <v>#DIV/0!</v>
      </c>
      <c r="U898" s="603">
        <f t="shared" si="757"/>
        <v>166.189111747851</v>
      </c>
      <c r="V898" s="616"/>
      <c r="W898" s="99"/>
      <c r="X898" s="99"/>
      <c r="Y898" s="99"/>
      <c r="Z898" s="92"/>
      <c r="AA898" s="99"/>
      <c r="AB898" s="99"/>
      <c r="AC898" s="99"/>
      <c r="AD898" s="99"/>
      <c r="AE898" s="92"/>
      <c r="AF898" s="92"/>
      <c r="AG898" s="92"/>
      <c r="AH898" s="92"/>
      <c r="AI898" s="92"/>
      <c r="AJ898" s="92"/>
      <c r="AK898" s="92"/>
      <c r="AL898" s="92"/>
      <c r="AM898" s="651"/>
      <c r="AN898" s="92"/>
      <c r="AO898" s="92"/>
    </row>
    <row r="899" spans="2:41" s="83" customFormat="1">
      <c r="B899" s="95"/>
      <c r="C899" s="96"/>
      <c r="D899" s="163" t="s">
        <v>653</v>
      </c>
      <c r="E899" s="162"/>
      <c r="G899" s="603"/>
      <c r="H899" s="603"/>
      <c r="I899" s="603">
        <f>(-I882*1000000)/I894</f>
        <v>34.838709677419359</v>
      </c>
      <c r="J899" s="603">
        <f>(-J882*1000000)/J894</f>
        <v>31.764705882352946</v>
      </c>
      <c r="K899" s="603">
        <f t="shared" ref="K899:U899" si="758">(-K882*1000000)/K894</f>
        <v>33.75</v>
      </c>
      <c r="L899" s="616">
        <f t="shared" si="758"/>
        <v>0</v>
      </c>
      <c r="M899" s="616">
        <f t="shared" si="758"/>
        <v>96.428571428571431</v>
      </c>
      <c r="N899" s="616">
        <f t="shared" si="758"/>
        <v>0</v>
      </c>
      <c r="O899" s="616">
        <f t="shared" si="758"/>
        <v>0</v>
      </c>
      <c r="P899" s="603">
        <f t="shared" si="758"/>
        <v>18</v>
      </c>
      <c r="Q899" s="616">
        <f t="shared" si="758"/>
        <v>65.060240963855435</v>
      </c>
      <c r="R899" s="616">
        <f t="shared" si="758"/>
        <v>0</v>
      </c>
      <c r="S899" s="616">
        <f t="shared" si="758"/>
        <v>0</v>
      </c>
      <c r="T899" s="616" t="e">
        <f t="shared" si="758"/>
        <v>#DIV/0!</v>
      </c>
      <c r="U899" s="603">
        <f t="shared" si="758"/>
        <v>27.135678391959804</v>
      </c>
      <c r="V899" s="616"/>
      <c r="W899" s="99"/>
      <c r="X899" s="99"/>
      <c r="Y899" s="99"/>
      <c r="Z899" s="92"/>
      <c r="AA899" s="99"/>
      <c r="AB899" s="99"/>
      <c r="AC899" s="99"/>
      <c r="AD899" s="99"/>
      <c r="AE899" s="92"/>
      <c r="AF899" s="92"/>
      <c r="AG899" s="92"/>
      <c r="AH899" s="92"/>
      <c r="AI899" s="92"/>
      <c r="AJ899" s="92"/>
      <c r="AK899" s="92"/>
      <c r="AL899" s="92"/>
      <c r="AM899" s="651"/>
      <c r="AN899" s="92"/>
      <c r="AO899" s="92"/>
    </row>
    <row r="900" spans="2:41" s="83" customFormat="1">
      <c r="B900" s="95"/>
      <c r="C900" s="96"/>
      <c r="D900" s="163"/>
      <c r="E900" s="162"/>
      <c r="G900" s="603"/>
      <c r="H900" s="603"/>
      <c r="I900" s="603"/>
      <c r="J900" s="603"/>
      <c r="K900" s="603"/>
      <c r="L900" s="616"/>
      <c r="M900" s="616"/>
      <c r="N900" s="616"/>
      <c r="O900" s="616"/>
      <c r="P900" s="603"/>
      <c r="Q900" s="616"/>
      <c r="R900" s="616"/>
      <c r="S900" s="616"/>
      <c r="T900" s="616"/>
      <c r="U900" s="603"/>
      <c r="V900" s="616"/>
      <c r="W900" s="99"/>
      <c r="X900" s="99"/>
      <c r="Y900" s="99"/>
      <c r="Z900" s="92"/>
      <c r="AA900" s="99"/>
      <c r="AB900" s="99"/>
      <c r="AC900" s="99"/>
      <c r="AD900" s="99"/>
      <c r="AE900" s="92"/>
      <c r="AF900" s="92"/>
      <c r="AG900" s="92"/>
      <c r="AH900" s="92"/>
      <c r="AI900" s="92"/>
      <c r="AJ900" s="92"/>
      <c r="AK900" s="92"/>
      <c r="AL900" s="92"/>
      <c r="AM900" s="651"/>
      <c r="AN900" s="92"/>
      <c r="AO900" s="92"/>
    </row>
    <row r="901" spans="2:41" s="83" customFormat="1">
      <c r="B901" s="95"/>
      <c r="C901" s="96"/>
      <c r="D901" s="163"/>
      <c r="E901" s="162"/>
      <c r="G901" s="603"/>
      <c r="H901" s="603"/>
      <c r="I901" s="603"/>
      <c r="J901" s="603"/>
      <c r="K901" s="603"/>
      <c r="L901" s="616"/>
      <c r="M901" s="616"/>
      <c r="N901" s="616"/>
      <c r="O901" s="616"/>
      <c r="P901" s="603"/>
      <c r="Q901" s="616"/>
      <c r="R901" s="616"/>
      <c r="S901" s="616"/>
      <c r="T901" s="616"/>
      <c r="U901" s="603"/>
      <c r="V901" s="616"/>
      <c r="W901" s="99"/>
      <c r="X901" s="99"/>
      <c r="Y901" s="99"/>
      <c r="Z901" s="92"/>
      <c r="AA901" s="99"/>
      <c r="AB901" s="99"/>
      <c r="AC901" s="99"/>
      <c r="AD901" s="99"/>
      <c r="AE901" s="92"/>
      <c r="AF901" s="92"/>
      <c r="AG901" s="92"/>
      <c r="AH901" s="92"/>
      <c r="AI901" s="92"/>
      <c r="AJ901" s="92"/>
      <c r="AK901" s="92"/>
      <c r="AL901" s="92"/>
      <c r="AM901" s="651"/>
      <c r="AN901" s="92"/>
      <c r="AO901" s="92"/>
    </row>
    <row r="902" spans="2:41" s="83" customFormat="1">
      <c r="B902" s="95"/>
      <c r="C902" s="96"/>
      <c r="D902" s="162"/>
      <c r="E902" s="162"/>
      <c r="G902" s="95"/>
      <c r="H902" s="95"/>
      <c r="I902" s="95"/>
      <c r="J902" s="95"/>
      <c r="K902" s="95"/>
      <c r="L902" s="126"/>
      <c r="M902" s="126"/>
      <c r="N902" s="126"/>
      <c r="O902" s="126"/>
      <c r="P902" s="95"/>
      <c r="Q902" s="126"/>
      <c r="R902" s="126"/>
      <c r="S902" s="126"/>
      <c r="T902" s="126"/>
      <c r="U902" s="92"/>
      <c r="V902" s="126"/>
      <c r="W902" s="99"/>
      <c r="X902" s="99"/>
      <c r="Y902" s="99"/>
      <c r="Z902" s="92"/>
      <c r="AA902" s="99"/>
      <c r="AB902" s="99"/>
      <c r="AC902" s="99"/>
      <c r="AD902" s="99"/>
      <c r="AE902" s="92"/>
      <c r="AF902" s="92"/>
      <c r="AG902" s="92"/>
      <c r="AH902" s="92"/>
      <c r="AI902" s="92"/>
      <c r="AJ902" s="92"/>
      <c r="AK902" s="92"/>
      <c r="AL902" s="92"/>
      <c r="AM902" s="651"/>
      <c r="AN902" s="92"/>
      <c r="AO902" s="92"/>
    </row>
    <row r="903" spans="2:41" s="83" customFormat="1">
      <c r="B903" s="95"/>
      <c r="C903" s="96"/>
      <c r="D903" s="554" t="s">
        <v>207</v>
      </c>
      <c r="E903" s="653"/>
      <c r="F903" s="586"/>
      <c r="G903" s="722"/>
      <c r="H903" s="722"/>
      <c r="I903" s="722"/>
      <c r="J903" s="722"/>
      <c r="K903" s="722"/>
      <c r="L903" s="723"/>
      <c r="M903" s="723"/>
      <c r="N903" s="723"/>
      <c r="O903" s="723"/>
      <c r="P903" s="722"/>
      <c r="Q903" s="723"/>
      <c r="R903" s="723"/>
      <c r="S903" s="723"/>
      <c r="T903" s="723"/>
      <c r="U903" s="722"/>
      <c r="V903" s="723"/>
      <c r="W903" s="725"/>
      <c r="X903" s="725"/>
      <c r="Y903" s="725"/>
      <c r="Z903" s="586"/>
      <c r="AA903" s="725"/>
      <c r="AB903" s="725"/>
      <c r="AC903" s="725"/>
      <c r="AD903" s="725"/>
      <c r="AE903" s="586"/>
      <c r="AF903" s="586"/>
      <c r="AG903" s="588"/>
      <c r="AH903" s="588"/>
      <c r="AI903" s="588"/>
      <c r="AJ903" s="588"/>
      <c r="AK903" s="588"/>
      <c r="AL903" s="588"/>
      <c r="AM903" s="651"/>
      <c r="AN903" s="92"/>
      <c r="AO903" s="92"/>
    </row>
    <row r="904" spans="2:41" s="83" customFormat="1">
      <c r="B904" s="95"/>
      <c r="C904" s="96"/>
      <c r="D904" s="83" t="s">
        <v>359</v>
      </c>
      <c r="F904" s="136"/>
      <c r="G904" s="187"/>
      <c r="H904" s="190"/>
      <c r="I904" s="190"/>
      <c r="J904" s="190">
        <f>J845/I845-1</f>
        <v>9.6774193548387011E-2</v>
      </c>
      <c r="K904" s="190">
        <f>K845/J845-1</f>
        <v>-2.9411764705882359E-2</v>
      </c>
      <c r="L904" s="191"/>
      <c r="M904" s="191"/>
      <c r="N904" s="191"/>
      <c r="O904" s="191"/>
      <c r="P904" s="190">
        <f>P845/K845-1</f>
        <v>-9.0909090909090939E-2</v>
      </c>
      <c r="Q904" s="191"/>
      <c r="R904" s="191"/>
      <c r="S904" s="191"/>
      <c r="T904" s="191"/>
      <c r="U904" s="190">
        <f>U845/P845-1</f>
        <v>-0.35333333333333339</v>
      </c>
      <c r="V904" s="191"/>
      <c r="W904" s="191"/>
      <c r="X904" s="191"/>
      <c r="Y904" s="191"/>
      <c r="Z904" s="190"/>
      <c r="AA904" s="191"/>
      <c r="AB904" s="191"/>
      <c r="AC904" s="191"/>
      <c r="AD904" s="191"/>
      <c r="AE904" s="190"/>
      <c r="AF904" s="190"/>
      <c r="AG904" s="92"/>
      <c r="AH904" s="92"/>
      <c r="AI904" s="92"/>
      <c r="AJ904" s="92"/>
      <c r="AK904" s="92"/>
      <c r="AL904" s="92"/>
      <c r="AM904" s="651"/>
      <c r="AN904" s="92"/>
      <c r="AO904" s="92"/>
    </row>
    <row r="905" spans="2:41" s="83" customFormat="1">
      <c r="B905" s="95"/>
      <c r="C905" s="96"/>
      <c r="D905" s="83" t="s">
        <v>355</v>
      </c>
      <c r="F905" s="136"/>
      <c r="G905" s="187"/>
      <c r="H905" s="190"/>
      <c r="I905" s="190"/>
      <c r="J905" s="190">
        <f>J880/I880-1</f>
        <v>0.63829787234042556</v>
      </c>
      <c r="K905" s="190">
        <f>K880/J880-1</f>
        <v>0.36363636363636354</v>
      </c>
      <c r="L905" s="191"/>
      <c r="M905" s="191"/>
      <c r="N905" s="191"/>
      <c r="O905" s="191"/>
      <c r="P905" s="190">
        <f>P880/K880-1</f>
        <v>-6.6666666666666652E-2</v>
      </c>
      <c r="Q905" s="191"/>
      <c r="R905" s="191"/>
      <c r="S905" s="191"/>
      <c r="T905" s="191"/>
      <c r="U905" s="190">
        <f>U880/P880-1</f>
        <v>-0.4285714285714286</v>
      </c>
      <c r="V905" s="191"/>
      <c r="W905" s="191"/>
      <c r="X905" s="191"/>
      <c r="Y905" s="191"/>
      <c r="Z905" s="190"/>
      <c r="AA905" s="191"/>
      <c r="AB905" s="191"/>
      <c r="AC905" s="191"/>
      <c r="AD905" s="191"/>
      <c r="AE905" s="190"/>
      <c r="AF905" s="190"/>
      <c r="AG905" s="306"/>
      <c r="AH905" s="92"/>
      <c r="AI905" s="92"/>
      <c r="AJ905" s="92"/>
      <c r="AK905" s="92"/>
      <c r="AL905" s="92"/>
      <c r="AM905" s="651"/>
      <c r="AN905" s="92"/>
      <c r="AO905" s="92"/>
    </row>
    <row r="906" spans="2:41" s="83" customFormat="1">
      <c r="B906" s="95"/>
      <c r="C906" s="96"/>
      <c r="D906" s="83" t="s">
        <v>265</v>
      </c>
      <c r="F906" s="136"/>
      <c r="G906" s="187"/>
      <c r="H906" s="142"/>
      <c r="I906" s="142" t="str">
        <f>IF(I886/I880&lt;0,"-",(I886/I880))</f>
        <v>-</v>
      </c>
      <c r="J906" s="142">
        <f t="shared" ref="J906:U906" si="759">IF(J886/J880&lt;0,"-",(J886/J880))</f>
        <v>0</v>
      </c>
      <c r="K906" s="142">
        <f t="shared" si="759"/>
        <v>0.18095238095238095</v>
      </c>
      <c r="L906" s="143">
        <f t="shared" si="759"/>
        <v>0.14814814814814814</v>
      </c>
      <c r="M906" s="143" t="str">
        <f t="shared" si="759"/>
        <v>-</v>
      </c>
      <c r="N906" s="143" t="str">
        <f t="shared" si="759"/>
        <v>-</v>
      </c>
      <c r="O906" s="143">
        <f t="shared" si="759"/>
        <v>0.20689655172413793</v>
      </c>
      <c r="P906" s="142" t="str">
        <f t="shared" si="759"/>
        <v>-</v>
      </c>
      <c r="Q906" s="143">
        <f t="shared" si="759"/>
        <v>0.96</v>
      </c>
      <c r="R906" s="143">
        <f>IF(R886/R880&lt;0,"-",(R886/R880))</f>
        <v>1</v>
      </c>
      <c r="S906" s="143">
        <f t="shared" si="759"/>
        <v>0.88888888888888884</v>
      </c>
      <c r="T906" s="143" t="e">
        <f t="shared" si="759"/>
        <v>#DIV/0!</v>
      </c>
      <c r="U906" s="142" t="str">
        <f t="shared" si="759"/>
        <v>-</v>
      </c>
      <c r="V906" s="316"/>
      <c r="W906" s="316"/>
      <c r="X906" s="316"/>
      <c r="Y906" s="316"/>
      <c r="Z906" s="123"/>
      <c r="AA906" s="688"/>
      <c r="AB906" s="688"/>
      <c r="AC906" s="688"/>
      <c r="AD906" s="688"/>
      <c r="AE906" s="123"/>
      <c r="AF906" s="123"/>
      <c r="AG906" s="306"/>
      <c r="AH906" s="92"/>
      <c r="AI906" s="92"/>
      <c r="AJ906" s="92"/>
      <c r="AK906" s="92"/>
      <c r="AL906" s="92"/>
      <c r="AM906" s="651"/>
      <c r="AN906" s="92"/>
      <c r="AO906" s="92"/>
    </row>
    <row r="907" spans="2:41" s="83" customFormat="1">
      <c r="B907" s="95"/>
      <c r="C907" s="96"/>
      <c r="D907" s="83" t="s">
        <v>256</v>
      </c>
      <c r="F907" s="136"/>
      <c r="G907" s="187"/>
      <c r="H907" s="190"/>
      <c r="I907" s="190">
        <f>IF((I884/(I885)&lt;0),"-",(I884/(I885)))</f>
        <v>9.6774193548387094E-2</v>
      </c>
      <c r="J907" s="190">
        <f t="shared" ref="J907:U907" si="760">IF((J884/(J885)&lt;0),"-",(J884/(J885)))</f>
        <v>0.11494252873563218</v>
      </c>
      <c r="K907" s="190">
        <f t="shared" si="760"/>
        <v>0.26495726495726496</v>
      </c>
      <c r="L907" s="191">
        <f t="shared" si="760"/>
        <v>0.11538461538461539</v>
      </c>
      <c r="M907" s="191">
        <f t="shared" si="760"/>
        <v>0.10714285714285714</v>
      </c>
      <c r="N907" s="191">
        <f t="shared" si="760"/>
        <v>0.1111111111111111</v>
      </c>
      <c r="O907" s="191">
        <f t="shared" si="760"/>
        <v>0.17857142857142858</v>
      </c>
      <c r="P907" s="190">
        <f t="shared" si="760"/>
        <v>0.1271186440677966</v>
      </c>
      <c r="Q907" s="191">
        <f t="shared" si="760"/>
        <v>0.5</v>
      </c>
      <c r="R907" s="191">
        <f t="shared" si="760"/>
        <v>1</v>
      </c>
      <c r="S907" s="191">
        <f t="shared" si="760"/>
        <v>0.5</v>
      </c>
      <c r="T907" s="191">
        <f>IF((T884/(T885)&lt;0),"-",(T884/(T885)))</f>
        <v>1</v>
      </c>
      <c r="U907" s="190">
        <f t="shared" si="760"/>
        <v>4.7619047619047616E-2</v>
      </c>
      <c r="V907" s="191"/>
      <c r="W907" s="688"/>
      <c r="X907" s="688"/>
      <c r="Y907" s="688"/>
      <c r="Z907" s="123"/>
      <c r="AA907" s="688"/>
      <c r="AB907" s="688"/>
      <c r="AC907" s="688"/>
      <c r="AD907" s="688"/>
      <c r="AE907" s="123"/>
      <c r="AF907" s="123"/>
      <c r="AG907" s="306"/>
      <c r="AH907" s="92"/>
      <c r="AI907" s="92"/>
      <c r="AJ907" s="92"/>
      <c r="AK907" s="92"/>
      <c r="AL907" s="92"/>
      <c r="AM907" s="651"/>
      <c r="AN907" s="92"/>
      <c r="AO907" s="92"/>
    </row>
    <row r="908" spans="2:41" s="83" customFormat="1">
      <c r="B908" s="95"/>
      <c r="C908" s="96"/>
      <c r="D908" s="162"/>
      <c r="E908" s="162"/>
      <c r="G908" s="95"/>
      <c r="H908" s="95"/>
      <c r="I908" s="95"/>
      <c r="J908" s="95"/>
      <c r="K908" s="95"/>
      <c r="L908" s="126"/>
      <c r="M908" s="126"/>
      <c r="N908" s="126"/>
      <c r="O908" s="126"/>
      <c r="P908" s="95"/>
      <c r="Q908" s="126"/>
      <c r="R908" s="126"/>
      <c r="S908" s="126"/>
      <c r="T908" s="126"/>
      <c r="U908" s="92"/>
      <c r="V908" s="567"/>
      <c r="W908" s="307"/>
      <c r="X908" s="307"/>
      <c r="Y908" s="307"/>
      <c r="Z908" s="306"/>
      <c r="AA908" s="307"/>
      <c r="AB908" s="307"/>
      <c r="AC908" s="307"/>
      <c r="AD908" s="307"/>
      <c r="AE908" s="306"/>
      <c r="AF908" s="306"/>
      <c r="AG908" s="306"/>
      <c r="AH908" s="92"/>
      <c r="AI908" s="92"/>
      <c r="AJ908" s="92"/>
      <c r="AK908" s="92"/>
      <c r="AL908" s="92"/>
      <c r="AM908" s="651"/>
      <c r="AN908" s="92"/>
      <c r="AO908" s="92"/>
    </row>
    <row r="909" spans="2:41" s="83" customFormat="1">
      <c r="B909" s="95"/>
      <c r="C909" s="96"/>
      <c r="D909" s="162"/>
      <c r="E909" s="162"/>
      <c r="G909" s="95"/>
      <c r="H909" s="95"/>
      <c r="I909" s="95"/>
      <c r="J909" s="95"/>
      <c r="K909" s="95"/>
      <c r="L909" s="126"/>
      <c r="M909" s="126"/>
      <c r="N909" s="126"/>
      <c r="O909" s="126"/>
      <c r="P909" s="95"/>
      <c r="Q909" s="126"/>
      <c r="R909" s="126"/>
      <c r="S909" s="126"/>
      <c r="T909" s="126"/>
      <c r="U909" s="92"/>
      <c r="V909" s="567"/>
      <c r="W909" s="307"/>
      <c r="X909" s="307"/>
      <c r="Y909" s="307"/>
      <c r="Z909" s="92"/>
      <c r="AA909" s="99"/>
      <c r="AB909" s="99"/>
      <c r="AC909" s="99"/>
      <c r="AD909" s="99"/>
      <c r="AE909" s="92"/>
      <c r="AF909" s="92"/>
      <c r="AG909" s="92"/>
      <c r="AH909" s="92"/>
      <c r="AI909" s="92"/>
      <c r="AJ909" s="92"/>
      <c r="AK909" s="92"/>
      <c r="AL909" s="92"/>
      <c r="AM909" s="651"/>
      <c r="AN909" s="92"/>
      <c r="AO909" s="92"/>
    </row>
    <row r="910" spans="2:41" s="83" customFormat="1">
      <c r="B910" s="95"/>
      <c r="C910" s="96"/>
      <c r="D910" s="162"/>
      <c r="E910" s="162"/>
      <c r="G910" s="95"/>
      <c r="H910" s="95"/>
      <c r="I910" s="95"/>
      <c r="J910" s="95"/>
      <c r="K910" s="95"/>
      <c r="L910" s="126"/>
      <c r="M910" s="126"/>
      <c r="N910" s="126"/>
      <c r="O910" s="126"/>
      <c r="P910" s="95"/>
      <c r="Q910" s="126"/>
      <c r="R910" s="126"/>
      <c r="S910" s="126"/>
      <c r="T910" s="126"/>
      <c r="U910" s="92"/>
      <c r="V910" s="567"/>
      <c r="W910" s="307"/>
      <c r="X910" s="307"/>
      <c r="Y910" s="307"/>
      <c r="Z910" s="92"/>
      <c r="AA910" s="99"/>
      <c r="AB910" s="99"/>
      <c r="AC910" s="99"/>
      <c r="AD910" s="99"/>
      <c r="AE910" s="92"/>
      <c r="AF910" s="92"/>
      <c r="AG910" s="92"/>
      <c r="AH910" s="92"/>
      <c r="AI910" s="92"/>
      <c r="AJ910" s="92"/>
      <c r="AK910" s="92"/>
      <c r="AL910" s="92"/>
      <c r="AM910" s="651"/>
      <c r="AN910" s="92"/>
      <c r="AO910" s="92"/>
    </row>
    <row r="911" spans="2:41" s="83" customFormat="1">
      <c r="B911" s="95"/>
      <c r="C911" s="96"/>
      <c r="D911" s="162"/>
      <c r="E911" s="162"/>
      <c r="G911" s="95"/>
      <c r="H911" s="95"/>
      <c r="I911" s="95"/>
      <c r="J911" s="95"/>
      <c r="K911" s="95"/>
      <c r="L911" s="126"/>
      <c r="M911" s="126"/>
      <c r="N911" s="126"/>
      <c r="O911" s="126"/>
      <c r="P911" s="95"/>
      <c r="Q911" s="126"/>
      <c r="R911" s="126"/>
      <c r="S911" s="126"/>
      <c r="T911" s="126"/>
      <c r="U911" s="92"/>
      <c r="V911" s="567"/>
      <c r="W911" s="307"/>
      <c r="X911" s="307"/>
      <c r="Y911" s="307"/>
      <c r="Z911" s="92"/>
      <c r="AA911" s="99"/>
      <c r="AB911" s="99"/>
      <c r="AC911" s="99"/>
      <c r="AD911" s="99"/>
      <c r="AE911" s="92"/>
      <c r="AF911" s="92"/>
      <c r="AG911" s="92"/>
      <c r="AH911" s="92"/>
      <c r="AI911" s="92"/>
      <c r="AJ911" s="92"/>
      <c r="AK911" s="92"/>
      <c r="AL911" s="92"/>
      <c r="AM911" s="651"/>
      <c r="AN911" s="92"/>
      <c r="AO911" s="92"/>
    </row>
    <row r="912" spans="2:41" s="83" customFormat="1">
      <c r="B912" s="95"/>
      <c r="C912" s="96"/>
      <c r="D912" s="186"/>
      <c r="E912" s="186"/>
      <c r="F912" s="136"/>
      <c r="G912" s="187"/>
      <c r="H912" s="187"/>
      <c r="I912" s="187"/>
      <c r="J912" s="187"/>
      <c r="K912" s="187"/>
      <c r="L912" s="188"/>
      <c r="M912" s="188"/>
      <c r="N912" s="188"/>
      <c r="O912" s="188"/>
      <c r="P912" s="187"/>
      <c r="Q912" s="188"/>
      <c r="R912" s="188"/>
      <c r="S912" s="188"/>
      <c r="T912" s="188"/>
      <c r="U912" s="187"/>
      <c r="V912" s="567"/>
      <c r="W912" s="307"/>
      <c r="X912" s="307"/>
      <c r="Y912" s="307"/>
      <c r="Z912" s="187"/>
      <c r="AA912" s="188"/>
      <c r="AB912" s="188"/>
      <c r="AC912" s="188"/>
      <c r="AD912" s="188"/>
      <c r="AE912" s="187"/>
      <c r="AF912" s="187"/>
      <c r="AG912" s="187"/>
      <c r="AH912" s="187"/>
      <c r="AI912" s="187"/>
      <c r="AJ912" s="136"/>
      <c r="AK912" s="92"/>
      <c r="AL912" s="92"/>
      <c r="AM912" s="651"/>
      <c r="AN912" s="92"/>
      <c r="AO912" s="92"/>
    </row>
    <row r="913" spans="1:54" s="83" customFormat="1">
      <c r="B913" s="95"/>
      <c r="C913" s="96"/>
      <c r="D913" s="186"/>
      <c r="E913" s="186"/>
      <c r="F913" s="136"/>
      <c r="G913" s="187"/>
      <c r="H913" s="187"/>
      <c r="I913" s="187"/>
      <c r="J913" s="187"/>
      <c r="K913" s="187"/>
      <c r="L913" s="188"/>
      <c r="M913" s="188"/>
      <c r="N913" s="188"/>
      <c r="O913" s="188"/>
      <c r="P913" s="187"/>
      <c r="Q913" s="188"/>
      <c r="R913" s="188"/>
      <c r="S913" s="188"/>
      <c r="T913" s="188"/>
      <c r="U913" s="187"/>
      <c r="V913" s="567"/>
      <c r="W913" s="307"/>
      <c r="X913" s="307"/>
      <c r="Y913" s="307"/>
      <c r="Z913" s="187"/>
      <c r="AA913" s="188"/>
      <c r="AB913" s="188"/>
      <c r="AC913" s="188"/>
      <c r="AD913" s="188"/>
      <c r="AE913" s="187"/>
      <c r="AF913" s="187"/>
      <c r="AG913" s="187"/>
      <c r="AH913" s="187"/>
      <c r="AI913" s="187"/>
      <c r="AJ913" s="136"/>
      <c r="AK913" s="92"/>
      <c r="AL913" s="92"/>
      <c r="AM913" s="651"/>
      <c r="AN913" s="92"/>
      <c r="AO913" s="92"/>
    </row>
    <row r="914" spans="1:54">
      <c r="A914" s="158"/>
      <c r="B914" s="156" t="s">
        <v>0</v>
      </c>
      <c r="C914" s="157" t="s">
        <v>0</v>
      </c>
      <c r="D914" s="155" t="s">
        <v>285</v>
      </c>
      <c r="E914" s="155"/>
      <c r="F914" s="158"/>
      <c r="G914" s="156" t="s">
        <v>0</v>
      </c>
      <c r="H914" s="156" t="s">
        <v>0</v>
      </c>
      <c r="I914" s="156" t="s">
        <v>0</v>
      </c>
      <c r="J914" s="156" t="s">
        <v>0</v>
      </c>
      <c r="K914" s="156" t="s">
        <v>0</v>
      </c>
      <c r="L914" s="156"/>
      <c r="M914" s="156"/>
      <c r="N914" s="156"/>
      <c r="O914" s="156"/>
      <c r="P914" s="253" t="s">
        <v>0</v>
      </c>
      <c r="Q914" s="156"/>
      <c r="R914" s="156"/>
      <c r="S914" s="156"/>
      <c r="T914" s="156"/>
      <c r="U914" s="254"/>
      <c r="V914" s="254"/>
      <c r="W914" s="254"/>
      <c r="X914" s="254"/>
      <c r="Y914" s="254"/>
      <c r="Z914" s="254"/>
      <c r="AA914" s="254"/>
      <c r="AB914" s="254"/>
      <c r="AC914" s="254"/>
      <c r="AD914" s="254"/>
      <c r="AE914" s="254"/>
      <c r="AF914" s="254"/>
      <c r="AG914" s="254"/>
      <c r="AH914" s="254"/>
      <c r="AI914" s="254"/>
      <c r="AJ914" s="254"/>
      <c r="AK914" s="254"/>
      <c r="AL914" s="254"/>
      <c r="AM914" s="651"/>
      <c r="AN914" s="254"/>
      <c r="AO914" s="254"/>
      <c r="AP914" s="158"/>
      <c r="AQ914" s="158"/>
      <c r="AR914" s="158"/>
      <c r="AS914" s="158"/>
      <c r="AT914" s="158"/>
      <c r="AU914" s="158"/>
      <c r="AV914" s="158"/>
      <c r="AW914" s="158"/>
      <c r="AX914" s="158"/>
      <c r="AY914" s="158"/>
      <c r="AZ914" s="158"/>
      <c r="BA914" s="158"/>
      <c r="BB914" s="158"/>
    </row>
    <row r="915" spans="1:54" s="83" customFormat="1">
      <c r="B915" s="95"/>
      <c r="C915" s="96"/>
      <c r="D915" s="186"/>
      <c r="E915" s="186"/>
      <c r="F915" s="136"/>
      <c r="G915" s="187"/>
      <c r="H915" s="187"/>
      <c r="I915" s="187"/>
      <c r="J915" s="187"/>
      <c r="K915" s="187"/>
      <c r="L915" s="188"/>
      <c r="M915" s="188"/>
      <c r="N915" s="188"/>
      <c r="O915" s="188"/>
      <c r="P915" s="187"/>
      <c r="Q915" s="188"/>
      <c r="R915" s="188"/>
      <c r="S915" s="188"/>
      <c r="T915" s="188"/>
      <c r="U915" s="187"/>
      <c r="V915" s="188"/>
      <c r="W915" s="188"/>
      <c r="X915" s="188"/>
      <c r="Y915" s="188"/>
      <c r="Z915" s="187"/>
      <c r="AA915" s="188"/>
      <c r="AB915" s="188"/>
      <c r="AC915" s="188"/>
      <c r="AD915" s="188"/>
      <c r="AE915" s="187"/>
      <c r="AF915" s="187"/>
      <c r="AG915" s="187"/>
      <c r="AH915" s="187"/>
      <c r="AI915" s="187"/>
      <c r="AJ915" s="136"/>
      <c r="AK915" s="92"/>
      <c r="AL915" s="92"/>
      <c r="AM915" s="651"/>
      <c r="AN915" s="92"/>
      <c r="AO915" s="92"/>
    </row>
    <row r="916" spans="1:54" s="83" customFormat="1">
      <c r="B916" s="95"/>
      <c r="C916" s="96"/>
      <c r="D916" s="173" t="s">
        <v>231</v>
      </c>
      <c r="E916" s="173"/>
      <c r="F916" s="255"/>
      <c r="G916" s="256">
        <v>13</v>
      </c>
      <c r="H916" s="256">
        <v>11</v>
      </c>
      <c r="I916" s="256">
        <v>7</v>
      </c>
      <c r="J916" s="256">
        <v>7</v>
      </c>
      <c r="K916" s="256">
        <v>8</v>
      </c>
      <c r="L916" s="257">
        <v>2</v>
      </c>
      <c r="M916" s="257">
        <v>2</v>
      </c>
      <c r="N916" s="257">
        <v>2</v>
      </c>
      <c r="O916" s="257">
        <v>2</v>
      </c>
      <c r="P916" s="256">
        <v>8</v>
      </c>
      <c r="Q916" s="257">
        <v>2</v>
      </c>
      <c r="R916" s="176">
        <v>2</v>
      </c>
      <c r="S916" s="176">
        <v>2</v>
      </c>
      <c r="T916" s="257">
        <v>2</v>
      </c>
      <c r="U916" s="256">
        <v>8</v>
      </c>
      <c r="V916" s="257">
        <v>2</v>
      </c>
      <c r="W916" s="257">
        <v>2</v>
      </c>
      <c r="X916" s="257">
        <v>3</v>
      </c>
      <c r="Y916" s="257">
        <v>2</v>
      </c>
      <c r="Z916" s="256">
        <f t="shared" ref="Z916:Z921" si="761">SUM(V916:Y916)</f>
        <v>9</v>
      </c>
      <c r="AA916" s="257">
        <v>2</v>
      </c>
      <c r="AB916" s="207">
        <v>3</v>
      </c>
      <c r="AC916" s="207">
        <f t="shared" ref="AC916:AC921" si="762">(AE916-AA916-AB916)/2</f>
        <v>2</v>
      </c>
      <c r="AD916" s="207">
        <f t="shared" ref="AD916:AD921" si="763">AE916-AA916-AB916-AC916</f>
        <v>2</v>
      </c>
      <c r="AE916" s="1116">
        <f t="shared" ref="AE916:AE921" si="764">Z916</f>
        <v>9</v>
      </c>
      <c r="AF916" s="1116">
        <f>AE916</f>
        <v>9</v>
      </c>
      <c r="AG916" s="1116">
        <f t="shared" ref="AG916:AL916" si="765">AF916</f>
        <v>9</v>
      </c>
      <c r="AH916" s="1116">
        <f t="shared" si="765"/>
        <v>9</v>
      </c>
      <c r="AI916" s="1116">
        <f t="shared" si="765"/>
        <v>9</v>
      </c>
      <c r="AJ916" s="1116">
        <f t="shared" si="765"/>
        <v>9</v>
      </c>
      <c r="AK916" s="1116">
        <f t="shared" si="765"/>
        <v>9</v>
      </c>
      <c r="AL916" s="1116">
        <f t="shared" si="765"/>
        <v>9</v>
      </c>
      <c r="AM916" s="651"/>
      <c r="AN916" s="92"/>
      <c r="AO916" s="92"/>
    </row>
    <row r="917" spans="1:54" s="83" customFormat="1">
      <c r="B917" s="95"/>
      <c r="C917" s="96"/>
      <c r="D917" s="203" t="s">
        <v>642</v>
      </c>
      <c r="E917" s="203"/>
      <c r="F917" s="710"/>
      <c r="G917" s="466">
        <v>-2</v>
      </c>
      <c r="H917" s="466">
        <v>-9</v>
      </c>
      <c r="I917" s="466">
        <v>-2</v>
      </c>
      <c r="J917" s="466">
        <v>-13</v>
      </c>
      <c r="K917" s="466">
        <v>-34</v>
      </c>
      <c r="L917" s="711">
        <v>-2</v>
      </c>
      <c r="M917" s="711">
        <v>10</v>
      </c>
      <c r="N917" s="711">
        <v>-1</v>
      </c>
      <c r="O917" s="711">
        <v>-6</v>
      </c>
      <c r="P917" s="92">
        <v>1</v>
      </c>
      <c r="Q917" s="711">
        <v>9</v>
      </c>
      <c r="R917" s="711">
        <v>6</v>
      </c>
      <c r="S917" s="180">
        <v>-8</v>
      </c>
      <c r="T917" s="180">
        <v>-17</v>
      </c>
      <c r="U917" s="466">
        <v>-10</v>
      </c>
      <c r="V917" s="711">
        <v>12</v>
      </c>
      <c r="W917" s="711">
        <v>1</v>
      </c>
      <c r="X917" s="711">
        <v>11</v>
      </c>
      <c r="Y917" s="711">
        <v>0</v>
      </c>
      <c r="Z917" s="466">
        <f t="shared" si="761"/>
        <v>24</v>
      </c>
      <c r="AA917" s="711">
        <v>1</v>
      </c>
      <c r="AB917" s="97">
        <v>-5</v>
      </c>
      <c r="AC917" s="97">
        <f t="shared" si="762"/>
        <v>14</v>
      </c>
      <c r="AD917" s="97">
        <f t="shared" si="763"/>
        <v>14</v>
      </c>
      <c r="AE917" s="312">
        <f t="shared" si="764"/>
        <v>24</v>
      </c>
      <c r="AF917" s="312">
        <f t="shared" ref="AF917:AL921" si="766">AE917</f>
        <v>24</v>
      </c>
      <c r="AG917" s="312">
        <f t="shared" si="766"/>
        <v>24</v>
      </c>
      <c r="AH917" s="312">
        <f t="shared" si="766"/>
        <v>24</v>
      </c>
      <c r="AI917" s="312">
        <f t="shared" si="766"/>
        <v>24</v>
      </c>
      <c r="AJ917" s="312">
        <f t="shared" si="766"/>
        <v>24</v>
      </c>
      <c r="AK917" s="312">
        <f t="shared" si="766"/>
        <v>24</v>
      </c>
      <c r="AL917" s="312">
        <f t="shared" si="766"/>
        <v>24</v>
      </c>
      <c r="AM917" s="651"/>
      <c r="AN917" s="92"/>
      <c r="AO917" s="92"/>
    </row>
    <row r="918" spans="1:54" s="83" customFormat="1">
      <c r="B918" s="95"/>
      <c r="C918" s="96"/>
      <c r="D918" s="83" t="s">
        <v>716</v>
      </c>
      <c r="F918" s="134"/>
      <c r="G918" s="208">
        <f t="shared" ref="G918:T918" si="767">(G916-G919)*-1</f>
        <v>-9</v>
      </c>
      <c r="H918" s="208">
        <f t="shared" si="767"/>
        <v>-12</v>
      </c>
      <c r="I918" s="208">
        <f t="shared" si="767"/>
        <v>2</v>
      </c>
      <c r="J918" s="208">
        <f t="shared" si="767"/>
        <v>-13</v>
      </c>
      <c r="K918" s="208">
        <f>(K916-K919)*-1</f>
        <v>-34</v>
      </c>
      <c r="L918" s="181">
        <f t="shared" si="767"/>
        <v>-2</v>
      </c>
      <c r="M918" s="181">
        <f t="shared" si="767"/>
        <v>10</v>
      </c>
      <c r="N918" s="181">
        <f t="shared" si="767"/>
        <v>-1</v>
      </c>
      <c r="O918" s="181">
        <f t="shared" si="767"/>
        <v>-6</v>
      </c>
      <c r="P918" s="208">
        <f t="shared" si="767"/>
        <v>1</v>
      </c>
      <c r="Q918" s="181">
        <f t="shared" si="767"/>
        <v>9</v>
      </c>
      <c r="R918" s="181">
        <f t="shared" si="767"/>
        <v>6</v>
      </c>
      <c r="S918" s="181">
        <f>(S916-S919)*-1</f>
        <v>-8</v>
      </c>
      <c r="T918" s="181">
        <f t="shared" si="767"/>
        <v>-17</v>
      </c>
      <c r="U918" s="208">
        <f>SUM(Q918:T918)</f>
        <v>-10</v>
      </c>
      <c r="V918" s="181">
        <v>12</v>
      </c>
      <c r="W918" s="181">
        <f>W917</f>
        <v>1</v>
      </c>
      <c r="X918" s="181">
        <f>X917</f>
        <v>11</v>
      </c>
      <c r="Y918" s="181">
        <f>Y917</f>
        <v>0</v>
      </c>
      <c r="Z918" s="208">
        <f t="shared" si="761"/>
        <v>24</v>
      </c>
      <c r="AA918" s="181">
        <f>AA917</f>
        <v>1</v>
      </c>
      <c r="AB918" s="181">
        <f>(AB916-AB919)*-1</f>
        <v>7</v>
      </c>
      <c r="AC918" s="97">
        <f t="shared" si="762"/>
        <v>8</v>
      </c>
      <c r="AD918" s="97">
        <f t="shared" si="763"/>
        <v>8</v>
      </c>
      <c r="AE918" s="312">
        <f t="shared" si="764"/>
        <v>24</v>
      </c>
      <c r="AF918" s="312">
        <f t="shared" si="766"/>
        <v>24</v>
      </c>
      <c r="AG918" s="312">
        <f t="shared" si="766"/>
        <v>24</v>
      </c>
      <c r="AH918" s="312">
        <f t="shared" si="766"/>
        <v>24</v>
      </c>
      <c r="AI918" s="312">
        <f t="shared" si="766"/>
        <v>24</v>
      </c>
      <c r="AJ918" s="312">
        <f t="shared" si="766"/>
        <v>24</v>
      </c>
      <c r="AK918" s="312">
        <f t="shared" si="766"/>
        <v>24</v>
      </c>
      <c r="AL918" s="312">
        <f t="shared" si="766"/>
        <v>24</v>
      </c>
      <c r="AM918" s="651"/>
      <c r="AN918" s="92"/>
      <c r="AO918" s="92"/>
    </row>
    <row r="919" spans="1:54" s="83" customFormat="1">
      <c r="B919" s="95"/>
      <c r="C919" s="96"/>
      <c r="D919" s="163" t="s">
        <v>226</v>
      </c>
      <c r="E919" s="163"/>
      <c r="F919" s="134"/>
      <c r="G919" s="259">
        <v>4</v>
      </c>
      <c r="H919" s="259">
        <v>-1</v>
      </c>
      <c r="I919" s="259">
        <v>9</v>
      </c>
      <c r="J919" s="259">
        <v>-6</v>
      </c>
      <c r="K919" s="259">
        <v>-26</v>
      </c>
      <c r="L919" s="180">
        <v>0</v>
      </c>
      <c r="M919" s="180">
        <v>12</v>
      </c>
      <c r="N919" s="180">
        <v>1</v>
      </c>
      <c r="O919" s="180">
        <v>-4</v>
      </c>
      <c r="P919" s="259">
        <v>9</v>
      </c>
      <c r="Q919" s="180">
        <v>11</v>
      </c>
      <c r="R919" s="180">
        <v>8</v>
      </c>
      <c r="S919" s="180">
        <v>-6</v>
      </c>
      <c r="T919" s="180">
        <f>U919-Q919-R919-S919</f>
        <v>-15</v>
      </c>
      <c r="U919" s="259">
        <f>AVERAGE(J919:P919)</f>
        <v>-2</v>
      </c>
      <c r="V919" s="180">
        <f>V916+V918</f>
        <v>14</v>
      </c>
      <c r="W919" s="180">
        <f>W916+W918</f>
        <v>3</v>
      </c>
      <c r="X919" s="180">
        <f>X916+X918</f>
        <v>14</v>
      </c>
      <c r="Y919" s="180">
        <f>Y916+Y918</f>
        <v>2</v>
      </c>
      <c r="Z919" s="259">
        <f t="shared" si="761"/>
        <v>33</v>
      </c>
      <c r="AA919" s="180">
        <v>3</v>
      </c>
      <c r="AB919" s="97">
        <f t="shared" ref="AB919:AB920" si="768">(AE919-AA919)/3</f>
        <v>10</v>
      </c>
      <c r="AC919" s="97">
        <f t="shared" si="762"/>
        <v>10</v>
      </c>
      <c r="AD919" s="97">
        <f t="shared" si="763"/>
        <v>10</v>
      </c>
      <c r="AE919" s="312">
        <f t="shared" si="764"/>
        <v>33</v>
      </c>
      <c r="AF919" s="312">
        <f t="shared" si="766"/>
        <v>33</v>
      </c>
      <c r="AG919" s="312">
        <f t="shared" si="766"/>
        <v>33</v>
      </c>
      <c r="AH919" s="312">
        <f t="shared" si="766"/>
        <v>33</v>
      </c>
      <c r="AI919" s="312">
        <f t="shared" si="766"/>
        <v>33</v>
      </c>
      <c r="AJ919" s="312">
        <f t="shared" si="766"/>
        <v>33</v>
      </c>
      <c r="AK919" s="312">
        <f t="shared" si="766"/>
        <v>33</v>
      </c>
      <c r="AL919" s="312">
        <f t="shared" si="766"/>
        <v>33</v>
      </c>
      <c r="AM919" s="651"/>
      <c r="AN919" s="92"/>
      <c r="AO919" s="92"/>
    </row>
    <row r="920" spans="1:54" s="83" customFormat="1">
      <c r="B920" s="95"/>
      <c r="C920" s="96"/>
      <c r="D920" s="83" t="s">
        <v>161</v>
      </c>
      <c r="F920" s="134"/>
      <c r="G920" s="208">
        <f t="shared" ref="G920:U920" si="769">G919-G921</f>
        <v>0</v>
      </c>
      <c r="H920" s="208">
        <f t="shared" si="769"/>
        <v>0</v>
      </c>
      <c r="I920" s="208">
        <f t="shared" si="769"/>
        <v>0</v>
      </c>
      <c r="J920" s="208">
        <f t="shared" si="769"/>
        <v>0</v>
      </c>
      <c r="K920" s="208">
        <f t="shared" si="769"/>
        <v>0</v>
      </c>
      <c r="L920" s="181">
        <f t="shared" si="769"/>
        <v>0</v>
      </c>
      <c r="M920" s="181">
        <f t="shared" si="769"/>
        <v>0</v>
      </c>
      <c r="N920" s="181">
        <f t="shared" si="769"/>
        <v>0</v>
      </c>
      <c r="O920" s="181">
        <f t="shared" si="769"/>
        <v>0</v>
      </c>
      <c r="P920" s="208">
        <f t="shared" si="769"/>
        <v>0</v>
      </c>
      <c r="Q920" s="181">
        <f t="shared" si="769"/>
        <v>0</v>
      </c>
      <c r="R920" s="207">
        <f t="shared" si="769"/>
        <v>0</v>
      </c>
      <c r="S920" s="207">
        <f t="shared" si="769"/>
        <v>0</v>
      </c>
      <c r="T920" s="181">
        <f t="shared" si="769"/>
        <v>0</v>
      </c>
      <c r="U920" s="208">
        <f t="shared" si="769"/>
        <v>0</v>
      </c>
      <c r="V920" s="207">
        <f>V919-V921</f>
        <v>0</v>
      </c>
      <c r="W920" s="207">
        <f>W919-W921</f>
        <v>0</v>
      </c>
      <c r="X920" s="207">
        <v>0</v>
      </c>
      <c r="Y920" s="207">
        <f t="shared" ref="Y920" ca="1" si="770">Z920-V920-W920-X920</f>
        <v>0</v>
      </c>
      <c r="Z920" s="208">
        <f t="shared" ca="1" si="761"/>
        <v>0</v>
      </c>
      <c r="AA920" s="207">
        <f t="shared" ref="AA920" ca="1" si="771">AE920/4</f>
        <v>0</v>
      </c>
      <c r="AB920" s="207">
        <f t="shared" ca="1" si="768"/>
        <v>0</v>
      </c>
      <c r="AC920" s="207">
        <f t="shared" ca="1" si="762"/>
        <v>0</v>
      </c>
      <c r="AD920" s="207">
        <f t="shared" ca="1" si="763"/>
        <v>0</v>
      </c>
      <c r="AE920" s="1116">
        <f t="shared" ca="1" si="764"/>
        <v>0</v>
      </c>
      <c r="AF920" s="1116">
        <f t="shared" ca="1" si="766"/>
        <v>0</v>
      </c>
      <c r="AG920" s="1116">
        <f t="shared" ca="1" si="766"/>
        <v>0</v>
      </c>
      <c r="AH920" s="1116">
        <f t="shared" ca="1" si="766"/>
        <v>0</v>
      </c>
      <c r="AI920" s="1116">
        <f t="shared" ca="1" si="766"/>
        <v>0</v>
      </c>
      <c r="AJ920" s="1116">
        <f t="shared" ca="1" si="766"/>
        <v>0</v>
      </c>
      <c r="AK920" s="1116">
        <f t="shared" ca="1" si="766"/>
        <v>0</v>
      </c>
      <c r="AL920" s="1116">
        <f t="shared" ca="1" si="766"/>
        <v>0</v>
      </c>
      <c r="AM920" s="651"/>
      <c r="AN920" s="92"/>
      <c r="AO920" s="92"/>
    </row>
    <row r="921" spans="1:54" s="83" customFormat="1">
      <c r="B921" s="95"/>
      <c r="C921" s="96"/>
      <c r="D921" s="183" t="s">
        <v>178</v>
      </c>
      <c r="E921" s="183"/>
      <c r="F921" s="103"/>
      <c r="G921" s="104">
        <v>4</v>
      </c>
      <c r="H921" s="104">
        <v>-1</v>
      </c>
      <c r="I921" s="104">
        <v>9</v>
      </c>
      <c r="J921" s="104">
        <v>-6</v>
      </c>
      <c r="K921" s="104">
        <v>-26</v>
      </c>
      <c r="L921" s="105">
        <v>0</v>
      </c>
      <c r="M921" s="105">
        <v>12</v>
      </c>
      <c r="N921" s="105">
        <v>1</v>
      </c>
      <c r="O921" s="105">
        <v>-4</v>
      </c>
      <c r="P921" s="104">
        <v>9</v>
      </c>
      <c r="Q921" s="105">
        <v>11</v>
      </c>
      <c r="R921" s="105">
        <v>8</v>
      </c>
      <c r="S921" s="105">
        <v>-6</v>
      </c>
      <c r="T921" s="105">
        <v>-15</v>
      </c>
      <c r="U921" s="104">
        <v>-2</v>
      </c>
      <c r="V921" s="188">
        <v>14</v>
      </c>
      <c r="W921" s="188">
        <v>3</v>
      </c>
      <c r="X921" s="188">
        <v>-8</v>
      </c>
      <c r="Y921" s="188">
        <v>2</v>
      </c>
      <c r="Z921" s="104">
        <f t="shared" si="761"/>
        <v>11</v>
      </c>
      <c r="AA921" s="188">
        <f ca="1">AA919+AA920</f>
        <v>0</v>
      </c>
      <c r="AB921" s="97">
        <v>8</v>
      </c>
      <c r="AC921" s="97">
        <f t="shared" ca="1" si="762"/>
        <v>2.75</v>
      </c>
      <c r="AD921" s="97">
        <f t="shared" ca="1" si="763"/>
        <v>2.75</v>
      </c>
      <c r="AE921" s="312">
        <f t="shared" si="764"/>
        <v>11</v>
      </c>
      <c r="AF921" s="312">
        <f t="shared" si="766"/>
        <v>11</v>
      </c>
      <c r="AG921" s="312">
        <f t="shared" si="766"/>
        <v>11</v>
      </c>
      <c r="AH921" s="312">
        <f t="shared" si="766"/>
        <v>11</v>
      </c>
      <c r="AI921" s="312">
        <f t="shared" si="766"/>
        <v>11</v>
      </c>
      <c r="AJ921" s="312">
        <f t="shared" si="766"/>
        <v>11</v>
      </c>
      <c r="AK921" s="312">
        <f t="shared" si="766"/>
        <v>11</v>
      </c>
      <c r="AL921" s="312">
        <f t="shared" si="766"/>
        <v>11</v>
      </c>
      <c r="AM921" s="651"/>
      <c r="AN921" s="92"/>
      <c r="AO921" s="92"/>
    </row>
    <row r="922" spans="1:54" s="83" customFormat="1">
      <c r="B922" s="95"/>
      <c r="C922" s="96"/>
      <c r="D922" s="186"/>
      <c r="E922" s="186"/>
      <c r="F922" s="136"/>
      <c r="G922" s="187"/>
      <c r="H922" s="187"/>
      <c r="I922" s="187"/>
      <c r="J922" s="187"/>
      <c r="K922" s="187"/>
      <c r="L922" s="188"/>
      <c r="M922" s="188"/>
      <c r="N922" s="188"/>
      <c r="O922" s="188"/>
      <c r="P922" s="187"/>
      <c r="Q922" s="188"/>
      <c r="R922" s="188"/>
      <c r="S922" s="188"/>
      <c r="T922" s="188"/>
      <c r="U922" s="187"/>
      <c r="V922" s="188"/>
      <c r="W922" s="188"/>
      <c r="X922" s="188"/>
      <c r="Y922" s="188"/>
      <c r="Z922" s="187"/>
      <c r="AA922" s="188"/>
      <c r="AB922" s="188"/>
      <c r="AC922" s="188"/>
      <c r="AD922" s="188"/>
      <c r="AE922" s="187"/>
      <c r="AF922" s="187"/>
      <c r="AG922" s="187"/>
      <c r="AH922" s="187"/>
      <c r="AI922" s="187"/>
      <c r="AJ922" s="136"/>
      <c r="AK922" s="92"/>
      <c r="AL922" s="92"/>
      <c r="AM922" s="651"/>
      <c r="AN922" s="92"/>
      <c r="AO922" s="92"/>
    </row>
    <row r="923" spans="1:54" s="83" customFormat="1">
      <c r="B923" s="95"/>
      <c r="C923" s="96"/>
      <c r="D923" s="163"/>
      <c r="E923" s="163"/>
      <c r="G923" s="95"/>
      <c r="H923" s="95"/>
      <c r="I923" s="90"/>
      <c r="J923" s="90"/>
      <c r="K923" s="90"/>
      <c r="L923" s="91"/>
      <c r="M923" s="91"/>
      <c r="N923" s="91"/>
      <c r="O923" s="91"/>
      <c r="P923" s="95"/>
      <c r="Q923" s="91"/>
      <c r="R923" s="91"/>
      <c r="S923" s="91"/>
      <c r="T923" s="91"/>
      <c r="U923" s="92"/>
      <c r="V923" s="91"/>
      <c r="W923" s="99"/>
      <c r="X923" s="99"/>
      <c r="Y923" s="99"/>
      <c r="Z923" s="92"/>
      <c r="AA923" s="99"/>
      <c r="AB923" s="99"/>
      <c r="AC923" s="99"/>
      <c r="AD923" s="99"/>
      <c r="AE923" s="92"/>
      <c r="AF923" s="92"/>
      <c r="AG923" s="92"/>
      <c r="AH923" s="92"/>
      <c r="AI923" s="92"/>
      <c r="AJ923" s="92"/>
      <c r="AK923" s="92"/>
      <c r="AL923" s="92"/>
      <c r="AM923" s="651"/>
      <c r="AN923" s="92"/>
      <c r="AO923" s="92"/>
    </row>
    <row r="924" spans="1:54">
      <c r="A924" s="158"/>
      <c r="B924" s="156" t="s">
        <v>0</v>
      </c>
      <c r="C924" s="157" t="s">
        <v>0</v>
      </c>
      <c r="D924" s="155" t="s">
        <v>531</v>
      </c>
      <c r="E924" s="155"/>
      <c r="F924" s="158"/>
      <c r="G924" s="156" t="s">
        <v>0</v>
      </c>
      <c r="H924" s="156" t="s">
        <v>0</v>
      </c>
      <c r="I924" s="156" t="s">
        <v>0</v>
      </c>
      <c r="J924" s="156" t="s">
        <v>0</v>
      </c>
      <c r="K924" s="156" t="s">
        <v>0</v>
      </c>
      <c r="L924" s="156"/>
      <c r="M924" s="156"/>
      <c r="N924" s="156"/>
      <c r="O924" s="156"/>
      <c r="P924" s="253" t="s">
        <v>0</v>
      </c>
      <c r="Q924" s="156"/>
      <c r="R924" s="156"/>
      <c r="S924" s="156"/>
      <c r="T924" s="156"/>
      <c r="U924" s="254"/>
      <c r="V924" s="254"/>
      <c r="W924" s="254"/>
      <c r="X924" s="254"/>
      <c r="Y924" s="254"/>
      <c r="Z924" s="254"/>
      <c r="AA924" s="254"/>
      <c r="AB924" s="254"/>
      <c r="AC924" s="254"/>
      <c r="AD924" s="254"/>
      <c r="AE924" s="158"/>
      <c r="AF924" s="158"/>
      <c r="AG924" s="158"/>
      <c r="AH924" s="158"/>
      <c r="AI924" s="158"/>
      <c r="AJ924" s="158"/>
      <c r="AK924" s="158"/>
      <c r="AL924" s="158"/>
      <c r="AM924" s="651"/>
      <c r="AN924" s="158"/>
      <c r="AO924" s="158"/>
      <c r="AP924" s="158"/>
      <c r="AQ924" s="158"/>
      <c r="AR924" s="158"/>
      <c r="AS924" s="158"/>
      <c r="AT924" s="158"/>
      <c r="AU924" s="158"/>
      <c r="AV924" s="158"/>
      <c r="AW924" s="158"/>
      <c r="AX924" s="158"/>
      <c r="AY924" s="158"/>
      <c r="AZ924" s="158"/>
      <c r="BA924" s="158"/>
      <c r="BB924" s="158"/>
    </row>
    <row r="925" spans="1:54" s="83" customFormat="1">
      <c r="B925" s="95"/>
      <c r="C925" s="96"/>
      <c r="D925" s="162"/>
      <c r="E925" s="162"/>
      <c r="G925" s="95"/>
      <c r="H925" s="95"/>
      <c r="I925" s="95"/>
      <c r="J925" s="95"/>
      <c r="K925" s="95"/>
      <c r="L925" s="126"/>
      <c r="M925" s="126"/>
      <c r="N925" s="126"/>
      <c r="O925" s="126"/>
      <c r="P925" s="95"/>
      <c r="Q925" s="126"/>
      <c r="R925" s="126"/>
      <c r="S925" s="126"/>
      <c r="T925" s="126"/>
      <c r="U925" s="92"/>
      <c r="V925" s="126"/>
      <c r="W925" s="99"/>
      <c r="X925" s="99"/>
      <c r="Y925" s="99"/>
      <c r="Z925" s="92"/>
      <c r="AA925" s="99"/>
      <c r="AB925" s="99"/>
      <c r="AC925" s="99"/>
      <c r="AD925" s="99"/>
      <c r="AM925" s="651"/>
    </row>
    <row r="926" spans="1:54" s="83" customFormat="1">
      <c r="B926" s="95"/>
      <c r="C926" s="96"/>
      <c r="D926" s="163" t="s">
        <v>202</v>
      </c>
      <c r="E926" s="163"/>
      <c r="G926" s="130">
        <f t="shared" ref="G926:V926" si="772">G239</f>
        <v>72</v>
      </c>
      <c r="H926" s="130">
        <f t="shared" si="772"/>
        <v>64</v>
      </c>
      <c r="I926" s="130">
        <f t="shared" si="772"/>
        <v>60</v>
      </c>
      <c r="J926" s="130">
        <f t="shared" si="772"/>
        <v>45</v>
      </c>
      <c r="K926" s="130">
        <f t="shared" si="772"/>
        <v>84</v>
      </c>
      <c r="L926" s="217">
        <f t="shared" si="772"/>
        <v>20.227500000000003</v>
      </c>
      <c r="M926" s="217">
        <f t="shared" si="772"/>
        <v>28.462500000000002</v>
      </c>
      <c r="N926" s="217">
        <f t="shared" si="772"/>
        <v>24.21</v>
      </c>
      <c r="O926" s="217">
        <f t="shared" si="772"/>
        <v>19.192499999999999</v>
      </c>
      <c r="P926" s="130">
        <f t="shared" si="772"/>
        <v>92</v>
      </c>
      <c r="Q926" s="217">
        <f t="shared" si="772"/>
        <v>16.4925</v>
      </c>
      <c r="R926" s="217">
        <f t="shared" si="772"/>
        <v>17.797499999999999</v>
      </c>
      <c r="S926" s="217">
        <f t="shared" si="772"/>
        <v>16.177500000000002</v>
      </c>
      <c r="T926" s="217">
        <f t="shared" si="772"/>
        <v>17.775000000000002</v>
      </c>
      <c r="U926" s="130">
        <f t="shared" si="772"/>
        <v>68.242499999999993</v>
      </c>
      <c r="V926" s="217">
        <f t="shared" si="772"/>
        <v>25.1325</v>
      </c>
      <c r="W926" s="217">
        <f t="shared" ref="W926:AF926" si="773">W239</f>
        <v>10.8675</v>
      </c>
      <c r="X926" s="217">
        <f t="shared" si="773"/>
        <v>27.18</v>
      </c>
      <c r="Y926" s="217">
        <f>Y239</f>
        <v>33.075000000000003</v>
      </c>
      <c r="Z926" s="130">
        <f t="shared" si="773"/>
        <v>96.25500000000001</v>
      </c>
      <c r="AA926" s="217">
        <f>AA239</f>
        <v>26.28</v>
      </c>
      <c r="AB926" s="217">
        <f>AB239</f>
        <v>28.035</v>
      </c>
      <c r="AC926" s="217">
        <f t="shared" si="773"/>
        <v>23.75</v>
      </c>
      <c r="AD926" s="217">
        <f t="shared" si="773"/>
        <v>21.260080645161288</v>
      </c>
      <c r="AE926" s="130">
        <f t="shared" si="773"/>
        <v>95</v>
      </c>
      <c r="AF926" s="130">
        <f t="shared" si="773"/>
        <v>95</v>
      </c>
      <c r="AG926" s="130">
        <f t="shared" ref="AG926:AL926" si="774">AG239</f>
        <v>95</v>
      </c>
      <c r="AH926" s="130">
        <f t="shared" si="774"/>
        <v>95</v>
      </c>
      <c r="AI926" s="130">
        <f t="shared" si="774"/>
        <v>95</v>
      </c>
      <c r="AJ926" s="130">
        <f t="shared" si="774"/>
        <v>95</v>
      </c>
      <c r="AK926" s="130">
        <f t="shared" si="774"/>
        <v>95</v>
      </c>
      <c r="AL926" s="130">
        <f t="shared" si="774"/>
        <v>95</v>
      </c>
      <c r="AM926" s="651"/>
    </row>
    <row r="927" spans="1:54" s="83" customFormat="1">
      <c r="B927" s="95"/>
      <c r="C927" s="96"/>
      <c r="D927" s="162"/>
      <c r="E927" s="162"/>
      <c r="G927" s="130"/>
      <c r="H927" s="130"/>
      <c r="I927" s="130"/>
      <c r="J927" s="130"/>
      <c r="K927" s="130"/>
      <c r="L927" s="221"/>
      <c r="M927" s="221"/>
      <c r="N927" s="221"/>
      <c r="O927" s="221"/>
      <c r="P927" s="130"/>
      <c r="Q927" s="221"/>
      <c r="R927" s="221"/>
      <c r="S927" s="221"/>
      <c r="T927" s="221"/>
      <c r="U927" s="130"/>
      <c r="V927" s="221"/>
      <c r="W927" s="221"/>
      <c r="X927" s="221"/>
      <c r="Y927" s="221"/>
      <c r="Z927" s="130"/>
      <c r="AA927" s="221"/>
      <c r="AB927" s="221"/>
      <c r="AC927" s="221"/>
      <c r="AD927" s="221"/>
      <c r="AE927" s="130"/>
      <c r="AF927" s="130"/>
      <c r="AG927" s="130"/>
      <c r="AH927" s="130"/>
      <c r="AI927" s="130"/>
      <c r="AJ927" s="130"/>
      <c r="AK927" s="130"/>
      <c r="AL927" s="130"/>
      <c r="AM927" s="651"/>
    </row>
    <row r="928" spans="1:54" s="83" customFormat="1">
      <c r="B928" s="95"/>
      <c r="C928" s="96"/>
      <c r="D928" s="163" t="s">
        <v>203</v>
      </c>
      <c r="E928" s="163"/>
      <c r="G928" s="130">
        <f t="shared" ref="G928:V928" si="775">G252</f>
        <v>74</v>
      </c>
      <c r="H928" s="130">
        <f t="shared" si="775"/>
        <v>63</v>
      </c>
      <c r="I928" s="130">
        <f t="shared" si="775"/>
        <v>62</v>
      </c>
      <c r="J928" s="130">
        <f t="shared" si="775"/>
        <v>43</v>
      </c>
      <c r="K928" s="130">
        <f t="shared" si="775"/>
        <v>85</v>
      </c>
      <c r="L928" s="217">
        <f t="shared" si="775"/>
        <v>20.925000000000001</v>
      </c>
      <c r="M928" s="217">
        <f t="shared" si="775"/>
        <v>26.19</v>
      </c>
      <c r="N928" s="217">
        <f t="shared" si="775"/>
        <v>25.2</v>
      </c>
      <c r="O928" s="217">
        <f t="shared" si="775"/>
        <v>20.7</v>
      </c>
      <c r="P928" s="130">
        <f t="shared" si="775"/>
        <v>93</v>
      </c>
      <c r="Q928" s="217">
        <f t="shared" si="775"/>
        <v>16.290000000000003</v>
      </c>
      <c r="R928" s="217">
        <f t="shared" si="775"/>
        <v>17.234999999999999</v>
      </c>
      <c r="S928" s="217">
        <f t="shared" si="775"/>
        <v>15.952500000000002</v>
      </c>
      <c r="T928" s="217">
        <f t="shared" si="775"/>
        <v>18.855</v>
      </c>
      <c r="U928" s="130">
        <f t="shared" si="775"/>
        <v>68.332499999999996</v>
      </c>
      <c r="V928" s="217">
        <f t="shared" si="775"/>
        <v>24.502500000000001</v>
      </c>
      <c r="W928" s="217">
        <f t="shared" ref="W928:AF928" si="776">W252</f>
        <v>9.2249999999999996</v>
      </c>
      <c r="X928" s="217">
        <f t="shared" si="776"/>
        <v>25.875</v>
      </c>
      <c r="Y928" s="217">
        <f t="shared" si="776"/>
        <v>35.64</v>
      </c>
      <c r="Z928" s="130">
        <f t="shared" si="776"/>
        <v>95.242500000000007</v>
      </c>
      <c r="AA928" s="217">
        <f t="shared" si="776"/>
        <v>26.932500000000001</v>
      </c>
      <c r="AB928" s="217">
        <f t="shared" si="776"/>
        <v>25.3125</v>
      </c>
      <c r="AC928" s="217">
        <f t="shared" si="776"/>
        <v>23.75</v>
      </c>
      <c r="AD928" s="217">
        <f t="shared" si="776"/>
        <v>21.260080645161288</v>
      </c>
      <c r="AE928" s="130">
        <f t="shared" si="776"/>
        <v>95</v>
      </c>
      <c r="AF928" s="130">
        <f t="shared" si="776"/>
        <v>95</v>
      </c>
      <c r="AG928" s="130">
        <f t="shared" ref="AG928:AL928" si="777">AG252</f>
        <v>95</v>
      </c>
      <c r="AH928" s="130">
        <f t="shared" si="777"/>
        <v>95</v>
      </c>
      <c r="AI928" s="130">
        <f t="shared" si="777"/>
        <v>95</v>
      </c>
      <c r="AJ928" s="130">
        <f t="shared" si="777"/>
        <v>95</v>
      </c>
      <c r="AK928" s="130">
        <f t="shared" si="777"/>
        <v>95</v>
      </c>
      <c r="AL928" s="130">
        <f t="shared" si="777"/>
        <v>95</v>
      </c>
      <c r="AM928" s="651"/>
    </row>
    <row r="929" spans="1:41" s="83" customFormat="1">
      <c r="B929" s="95"/>
      <c r="C929" s="96"/>
      <c r="D929" s="163"/>
      <c r="E929" s="163"/>
      <c r="G929" s="95"/>
      <c r="H929" s="95"/>
      <c r="I929" s="95"/>
      <c r="J929" s="95"/>
      <c r="K929" s="95"/>
      <c r="L929" s="126"/>
      <c r="M929" s="126"/>
      <c r="N929" s="126"/>
      <c r="O929" s="126"/>
      <c r="P929" s="95"/>
      <c r="Q929" s="126"/>
      <c r="R929" s="126"/>
      <c r="S929" s="126"/>
      <c r="T929" s="126"/>
      <c r="U929" s="92"/>
      <c r="V929" s="126"/>
      <c r="W929" s="99"/>
      <c r="X929" s="99"/>
      <c r="Y929" s="99"/>
      <c r="Z929" s="92"/>
      <c r="AA929" s="99"/>
      <c r="AB929" s="99"/>
      <c r="AC929" s="99"/>
      <c r="AD929" s="99"/>
      <c r="AM929" s="651"/>
    </row>
    <row r="930" spans="1:41" s="83" customFormat="1">
      <c r="B930" s="218"/>
      <c r="C930" s="219"/>
      <c r="D930" s="163"/>
      <c r="E930" s="163"/>
      <c r="I930" s="260"/>
      <c r="J930" s="260"/>
      <c r="K930" s="260"/>
      <c r="L930" s="261"/>
      <c r="M930" s="261"/>
      <c r="N930" s="261"/>
      <c r="O930" s="261"/>
      <c r="P930" s="260"/>
      <c r="Q930" s="261"/>
      <c r="R930" s="261"/>
      <c r="S930" s="261"/>
      <c r="T930" s="261"/>
      <c r="V930" s="261"/>
      <c r="W930" s="140"/>
      <c r="X930" s="140"/>
      <c r="Y930" s="140"/>
      <c r="AA930" s="140"/>
      <c r="AB930" s="140"/>
      <c r="AC930" s="140"/>
      <c r="AD930" s="140"/>
      <c r="AM930" s="651"/>
    </row>
    <row r="931" spans="1:41" s="83" customFormat="1">
      <c r="B931" s="218"/>
      <c r="C931" s="219"/>
      <c r="D931" s="163"/>
      <c r="E931" s="163"/>
      <c r="I931" s="260"/>
      <c r="J931" s="260"/>
      <c r="K931" s="260"/>
      <c r="L931" s="261"/>
      <c r="M931" s="261"/>
      <c r="N931" s="261"/>
      <c r="O931" s="261"/>
      <c r="P931" s="260"/>
      <c r="Q931" s="261"/>
      <c r="R931" s="261"/>
      <c r="S931" s="261"/>
      <c r="T931" s="261"/>
      <c r="V931" s="261"/>
      <c r="W931" s="140"/>
      <c r="X931" s="140"/>
      <c r="Y931" s="140"/>
      <c r="AA931" s="140"/>
      <c r="AB931" s="140"/>
      <c r="AC931" s="140"/>
      <c r="AD931" s="140"/>
      <c r="AM931" s="651"/>
    </row>
    <row r="932" spans="1:41" s="83" customFormat="1">
      <c r="L932" s="140"/>
      <c r="M932" s="140"/>
      <c r="N932" s="140"/>
      <c r="O932" s="140"/>
      <c r="Q932" s="140"/>
      <c r="R932" s="140"/>
      <c r="S932" s="140"/>
      <c r="T932" s="140"/>
      <c r="V932" s="140"/>
      <c r="W932" s="140"/>
      <c r="X932" s="140"/>
      <c r="Y932" s="140"/>
      <c r="AA932" s="140"/>
      <c r="AB932" s="140"/>
      <c r="AC932" s="140"/>
      <c r="AD932" s="140"/>
      <c r="AM932" s="651"/>
    </row>
    <row r="933" spans="1:41">
      <c r="A933" s="79" t="s">
        <v>40</v>
      </c>
      <c r="B933" s="79" t="s">
        <v>0</v>
      </c>
      <c r="C933" s="79" t="s">
        <v>0</v>
      </c>
      <c r="D933" s="81" t="s">
        <v>171</v>
      </c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81"/>
      <c r="X933" s="81"/>
      <c r="Y933" s="81"/>
      <c r="Z933" s="81"/>
      <c r="AA933" s="81"/>
      <c r="AB933" s="81"/>
      <c r="AC933" s="81"/>
      <c r="AD933" s="81"/>
      <c r="AE933" s="81"/>
      <c r="AF933" s="81"/>
      <c r="AG933" s="81"/>
      <c r="AH933" s="81"/>
      <c r="AI933" s="81"/>
      <c r="AJ933" s="81"/>
      <c r="AK933" s="81"/>
      <c r="AL933" s="81"/>
      <c r="AM933" s="651"/>
    </row>
    <row r="934" spans="1:41" s="262" customFormat="1">
      <c r="C934" s="263"/>
      <c r="D934" s="263"/>
      <c r="E934" s="263"/>
      <c r="F934" s="264"/>
      <c r="G934" s="264"/>
      <c r="H934" s="264"/>
      <c r="I934" s="264"/>
      <c r="J934" s="264"/>
      <c r="K934" s="264"/>
      <c r="L934" s="265"/>
      <c r="M934" s="265"/>
      <c r="N934" s="265"/>
      <c r="O934" s="265"/>
      <c r="P934" s="264"/>
      <c r="Q934" s="265"/>
      <c r="R934" s="265"/>
      <c r="S934" s="265"/>
      <c r="T934" s="265"/>
      <c r="U934" s="264"/>
      <c r="V934" s="265"/>
      <c r="W934" s="265"/>
      <c r="X934" s="265"/>
      <c r="Y934" s="265"/>
      <c r="Z934" s="264"/>
      <c r="AA934" s="264"/>
      <c r="AB934" s="264"/>
      <c r="AC934" s="264"/>
      <c r="AD934" s="264"/>
      <c r="AE934" s="264"/>
      <c r="AF934" s="264"/>
      <c r="AG934" s="264"/>
      <c r="AH934" s="264"/>
      <c r="AI934" s="264"/>
      <c r="AJ934" s="264"/>
      <c r="AK934" s="264"/>
      <c r="AL934" s="264"/>
      <c r="AM934" s="651"/>
      <c r="AN934" s="264"/>
      <c r="AO934" s="264"/>
    </row>
    <row r="935" spans="1:41" s="262" customFormat="1">
      <c r="C935" s="263"/>
      <c r="D935" s="263"/>
      <c r="E935" s="263"/>
      <c r="F935" s="264"/>
      <c r="G935" s="266"/>
      <c r="H935" s="266"/>
      <c r="I935" s="266"/>
      <c r="J935" s="266"/>
      <c r="K935" s="266"/>
      <c r="L935" s="267"/>
      <c r="M935" s="267"/>
      <c r="N935" s="267"/>
      <c r="O935" s="267"/>
      <c r="P935" s="266"/>
      <c r="Q935" s="267"/>
      <c r="R935" s="267"/>
      <c r="S935" s="267"/>
      <c r="T935" s="267"/>
      <c r="U935" s="264"/>
      <c r="V935" s="267"/>
      <c r="W935" s="265"/>
      <c r="X935" s="265"/>
      <c r="Y935" s="265"/>
      <c r="Z935" s="264"/>
      <c r="AA935" s="264"/>
      <c r="AB935" s="264"/>
      <c r="AC935" s="264"/>
      <c r="AD935" s="264"/>
      <c r="AE935" s="264"/>
      <c r="AF935" s="264"/>
      <c r="AG935" s="264"/>
      <c r="AH935" s="264"/>
      <c r="AI935" s="264"/>
      <c r="AJ935" s="264"/>
      <c r="AK935" s="264"/>
      <c r="AL935" s="264"/>
      <c r="AM935" s="651"/>
      <c r="AN935" s="264"/>
      <c r="AO935" s="264"/>
    </row>
    <row r="936" spans="1:41" s="262" customFormat="1">
      <c r="C936" s="263"/>
      <c r="D936" s="263"/>
      <c r="E936" s="263"/>
      <c r="F936" s="264"/>
      <c r="G936" s="266"/>
      <c r="H936" s="266"/>
      <c r="I936" s="266"/>
      <c r="J936" s="266"/>
      <c r="K936" s="266"/>
      <c r="L936" s="267"/>
      <c r="M936" s="267"/>
      <c r="N936" s="267"/>
      <c r="O936" s="267"/>
      <c r="P936" s="266"/>
      <c r="Q936" s="267"/>
      <c r="R936" s="267"/>
      <c r="S936" s="267"/>
      <c r="T936" s="267"/>
      <c r="U936" s="264"/>
      <c r="V936" s="267"/>
      <c r="W936" s="265"/>
      <c r="X936" s="265"/>
      <c r="Y936" s="265"/>
      <c r="Z936" s="264"/>
      <c r="AA936" s="264"/>
      <c r="AB936" s="264"/>
      <c r="AC936" s="264"/>
      <c r="AD936" s="264"/>
      <c r="AE936" s="264"/>
      <c r="AF936" s="264"/>
      <c r="AG936" s="264"/>
      <c r="AH936" s="264"/>
      <c r="AI936" s="264"/>
      <c r="AJ936" s="264"/>
      <c r="AK936" s="264"/>
      <c r="AL936" s="264"/>
      <c r="AM936" s="651"/>
      <c r="AN936" s="264"/>
      <c r="AO936" s="264"/>
    </row>
    <row r="937" spans="1:41" s="262" customFormat="1">
      <c r="B937" s="95"/>
      <c r="C937" s="96"/>
      <c r="D937" s="554" t="s">
        <v>641</v>
      </c>
      <c r="E937" s="728"/>
      <c r="F937" s="471"/>
      <c r="G937" s="729"/>
      <c r="H937" s="729"/>
      <c r="I937" s="729"/>
      <c r="J937" s="729"/>
      <c r="K937" s="729"/>
      <c r="L937" s="730"/>
      <c r="M937" s="730"/>
      <c r="N937" s="730"/>
      <c r="O937" s="730"/>
      <c r="P937" s="729"/>
      <c r="Q937" s="730"/>
      <c r="R937" s="730"/>
      <c r="S937" s="730"/>
      <c r="T937" s="730"/>
      <c r="U937" s="471"/>
      <c r="V937" s="730"/>
      <c r="W937" s="1110"/>
      <c r="X937" s="1110"/>
      <c r="Y937" s="1110"/>
      <c r="Z937" s="471"/>
      <c r="AA937" s="471"/>
      <c r="AB937" s="471"/>
      <c r="AC937" s="471"/>
      <c r="AD937" s="471"/>
      <c r="AE937" s="471"/>
      <c r="AF937" s="471"/>
      <c r="AG937" s="471"/>
      <c r="AH937" s="471"/>
      <c r="AI937" s="471"/>
      <c r="AJ937" s="471"/>
      <c r="AK937" s="471"/>
      <c r="AL937" s="471"/>
      <c r="AM937" s="651"/>
      <c r="AN937" s="264"/>
      <c r="AO937" s="264"/>
    </row>
    <row r="938" spans="1:41" s="262" customFormat="1">
      <c r="B938" s="95" t="s">
        <v>640</v>
      </c>
      <c r="C938" s="96" t="s">
        <v>699</v>
      </c>
      <c r="D938" s="163" t="s">
        <v>171</v>
      </c>
      <c r="E938" s="263"/>
      <c r="F938" s="264"/>
      <c r="G938" s="726">
        <f t="shared" ref="G938:T938" si="778">G753+G845</f>
        <v>551</v>
      </c>
      <c r="H938" s="726">
        <f t="shared" si="778"/>
        <v>596</v>
      </c>
      <c r="I938" s="726">
        <f t="shared" si="778"/>
        <v>598</v>
      </c>
      <c r="J938" s="726">
        <f t="shared" si="778"/>
        <v>617</v>
      </c>
      <c r="K938" s="726">
        <f t="shared" si="778"/>
        <v>575</v>
      </c>
      <c r="L938" s="727">
        <f t="shared" si="778"/>
        <v>128.19999999999999</v>
      </c>
      <c r="M938" s="727">
        <f t="shared" si="778"/>
        <v>159.4</v>
      </c>
      <c r="N938" s="727">
        <f t="shared" si="778"/>
        <v>155.9</v>
      </c>
      <c r="O938" s="727">
        <f t="shared" si="778"/>
        <v>169.4</v>
      </c>
      <c r="P938" s="726">
        <f t="shared" si="778"/>
        <v>613</v>
      </c>
      <c r="Q938" s="727">
        <f t="shared" si="778"/>
        <v>118.60000000000001</v>
      </c>
      <c r="R938" s="727">
        <f t="shared" si="778"/>
        <v>166.4</v>
      </c>
      <c r="S938" s="727">
        <f t="shared" si="778"/>
        <v>155.69999999999999</v>
      </c>
      <c r="T938" s="727">
        <f t="shared" si="778"/>
        <v>131.1</v>
      </c>
      <c r="U938" s="726">
        <f>U753+U845</f>
        <v>571.79999999999995</v>
      </c>
      <c r="V938" s="727">
        <f>V753+V845</f>
        <v>128.4</v>
      </c>
      <c r="W938" s="727">
        <f>W753+W845</f>
        <v>83.9</v>
      </c>
      <c r="X938" s="727">
        <f>X753+X845</f>
        <v>132.30000000000001</v>
      </c>
      <c r="Y938" s="727">
        <f>Y753+Y845</f>
        <v>146.1</v>
      </c>
      <c r="Z938" s="266">
        <f>SUM(V938:Y938)</f>
        <v>490.70000000000005</v>
      </c>
      <c r="AA938" s="727">
        <f>AA753+AA845</f>
        <v>119.7</v>
      </c>
      <c r="AB938" s="727">
        <f>AB753+AB845</f>
        <v>140.30000000000001</v>
      </c>
      <c r="AC938" s="727">
        <f>AC753+AC845</f>
        <v>125</v>
      </c>
      <c r="AD938" s="727">
        <f>AD753+AD845</f>
        <v>114.99999999999996</v>
      </c>
      <c r="AE938" s="266">
        <f t="shared" ref="AE938:AE944" si="779">SUM(AA938:AD938)</f>
        <v>499.99999999999994</v>
      </c>
      <c r="AF938" s="726">
        <f t="shared" ref="AF938:AL938" si="780">AF753+AF845</f>
        <v>500</v>
      </c>
      <c r="AG938" s="726">
        <f t="shared" si="780"/>
        <v>500</v>
      </c>
      <c r="AH938" s="726">
        <f t="shared" si="780"/>
        <v>500</v>
      </c>
      <c r="AI938" s="726">
        <f t="shared" si="780"/>
        <v>500</v>
      </c>
      <c r="AJ938" s="726">
        <f t="shared" si="780"/>
        <v>500</v>
      </c>
      <c r="AK938" s="726">
        <f t="shared" si="780"/>
        <v>500</v>
      </c>
      <c r="AL938" s="726">
        <f t="shared" si="780"/>
        <v>500</v>
      </c>
      <c r="AM938" s="651"/>
      <c r="AN938" s="264"/>
      <c r="AO938" s="264"/>
    </row>
    <row r="939" spans="1:41" s="262" customFormat="1">
      <c r="B939" s="95" t="s">
        <v>640</v>
      </c>
      <c r="C939" s="96" t="s">
        <v>699</v>
      </c>
      <c r="D939" s="163" t="s">
        <v>751</v>
      </c>
      <c r="E939" s="263"/>
      <c r="F939" s="264"/>
      <c r="G939" s="726">
        <f t="shared" ref="G939:V939" si="781">G938+G926</f>
        <v>623</v>
      </c>
      <c r="H939" s="726">
        <f t="shared" si="781"/>
        <v>660</v>
      </c>
      <c r="I939" s="726">
        <f t="shared" si="781"/>
        <v>658</v>
      </c>
      <c r="J939" s="726">
        <f t="shared" si="781"/>
        <v>662</v>
      </c>
      <c r="K939" s="726">
        <f t="shared" si="781"/>
        <v>659</v>
      </c>
      <c r="L939" s="727">
        <f t="shared" si="781"/>
        <v>148.42749999999998</v>
      </c>
      <c r="M939" s="727">
        <f t="shared" si="781"/>
        <v>187.86250000000001</v>
      </c>
      <c r="N939" s="727">
        <f t="shared" si="781"/>
        <v>180.11</v>
      </c>
      <c r="O939" s="727">
        <f t="shared" si="781"/>
        <v>188.5925</v>
      </c>
      <c r="P939" s="726">
        <f t="shared" si="781"/>
        <v>705</v>
      </c>
      <c r="Q939" s="727">
        <f t="shared" si="781"/>
        <v>135.0925</v>
      </c>
      <c r="R939" s="727">
        <f t="shared" si="781"/>
        <v>184.19749999999999</v>
      </c>
      <c r="S939" s="727">
        <f t="shared" si="781"/>
        <v>171.8775</v>
      </c>
      <c r="T939" s="727">
        <f t="shared" si="781"/>
        <v>148.875</v>
      </c>
      <c r="U939" s="726">
        <f t="shared" si="781"/>
        <v>640.0424999999999</v>
      </c>
      <c r="V939" s="727">
        <f t="shared" si="781"/>
        <v>153.5325</v>
      </c>
      <c r="W939" s="727">
        <f>W938+W926</f>
        <v>94.767500000000013</v>
      </c>
      <c r="X939" s="727">
        <f>X938+X926</f>
        <v>159.48000000000002</v>
      </c>
      <c r="Y939" s="727">
        <f>Y938+Y926</f>
        <v>179.17500000000001</v>
      </c>
      <c r="Z939" s="266">
        <f t="shared" ref="Z939:Z944" si="782">SUM(V939:Y939)</f>
        <v>586.95500000000004</v>
      </c>
      <c r="AA939" s="727">
        <f>AA938+AA926</f>
        <v>145.98000000000002</v>
      </c>
      <c r="AB939" s="727">
        <f>AB938+AB926</f>
        <v>168.33500000000001</v>
      </c>
      <c r="AC939" s="727">
        <f>AC938+AC926</f>
        <v>148.75</v>
      </c>
      <c r="AD939" s="727">
        <f>AD938+AD926</f>
        <v>136.26008064516125</v>
      </c>
      <c r="AE939" s="266">
        <f t="shared" si="779"/>
        <v>599.32508064516128</v>
      </c>
      <c r="AF939" s="726">
        <f t="shared" ref="AF939:AL939" si="783">AF938+AF926</f>
        <v>595</v>
      </c>
      <c r="AG939" s="726">
        <f t="shared" si="783"/>
        <v>595</v>
      </c>
      <c r="AH939" s="726">
        <f t="shared" si="783"/>
        <v>595</v>
      </c>
      <c r="AI939" s="726">
        <f t="shared" si="783"/>
        <v>595</v>
      </c>
      <c r="AJ939" s="726">
        <f t="shared" si="783"/>
        <v>595</v>
      </c>
      <c r="AK939" s="726">
        <f t="shared" si="783"/>
        <v>595</v>
      </c>
      <c r="AL939" s="726">
        <f t="shared" si="783"/>
        <v>595</v>
      </c>
      <c r="AM939" s="651"/>
      <c r="AN939" s="264"/>
      <c r="AO939" s="264"/>
    </row>
    <row r="940" spans="1:41" s="262" customFormat="1">
      <c r="B940" s="95" t="s">
        <v>640</v>
      </c>
      <c r="C940" s="96" t="s">
        <v>699</v>
      </c>
      <c r="D940" s="163" t="s">
        <v>701</v>
      </c>
      <c r="E940" s="263"/>
      <c r="F940" s="264"/>
      <c r="G940" s="726">
        <f t="shared" ref="G940:V940" si="784">G754+G846</f>
        <v>96.7</v>
      </c>
      <c r="H940" s="726">
        <f t="shared" si="784"/>
        <v>122.5</v>
      </c>
      <c r="I940" s="726">
        <f t="shared" si="784"/>
        <v>124.19999999999999</v>
      </c>
      <c r="J940" s="726">
        <f t="shared" si="784"/>
        <v>128</v>
      </c>
      <c r="K940" s="726">
        <f t="shared" si="784"/>
        <v>116.1</v>
      </c>
      <c r="L940" s="727">
        <f t="shared" si="784"/>
        <v>20.399999999999999</v>
      </c>
      <c r="M940" s="727">
        <f t="shared" si="784"/>
        <v>26.099999999999998</v>
      </c>
      <c r="N940" s="727">
        <f t="shared" si="784"/>
        <v>27.4</v>
      </c>
      <c r="O940" s="727">
        <f t="shared" si="784"/>
        <v>28.200000000000003</v>
      </c>
      <c r="P940" s="726">
        <f t="shared" si="784"/>
        <v>102.10000000000001</v>
      </c>
      <c r="Q940" s="727">
        <f t="shared" si="784"/>
        <v>20.099999999999998</v>
      </c>
      <c r="R940" s="727">
        <f t="shared" si="784"/>
        <v>29.6</v>
      </c>
      <c r="S940" s="727">
        <f t="shared" si="784"/>
        <v>29.2</v>
      </c>
      <c r="T940" s="727">
        <f t="shared" si="784"/>
        <v>26</v>
      </c>
      <c r="U940" s="726">
        <f t="shared" si="784"/>
        <v>104.89999999999999</v>
      </c>
      <c r="V940" s="727">
        <f t="shared" si="784"/>
        <v>50.6</v>
      </c>
      <c r="W940" s="727">
        <f>W754+W846</f>
        <v>21.5</v>
      </c>
      <c r="X940" s="727">
        <f>X754+X846</f>
        <v>26.3</v>
      </c>
      <c r="Y940" s="727">
        <f>Y754+Y846</f>
        <v>26.4</v>
      </c>
      <c r="Z940" s="266">
        <f t="shared" si="782"/>
        <v>124.79999999999998</v>
      </c>
      <c r="AA940" s="727">
        <f>AA754+AA846</f>
        <v>25.8</v>
      </c>
      <c r="AB940" s="727">
        <f>AB754+AB846</f>
        <v>28.5</v>
      </c>
      <c r="AC940" s="727">
        <f>AC754+AC846</f>
        <v>18</v>
      </c>
      <c r="AD940" s="727">
        <f>AD754+AD846</f>
        <v>17.700000000000003</v>
      </c>
      <c r="AE940" s="266">
        <f t="shared" si="779"/>
        <v>90</v>
      </c>
      <c r="AF940" s="726">
        <f t="shared" ref="AF940:AL940" si="785">AF754+AF846</f>
        <v>90</v>
      </c>
      <c r="AG940" s="726">
        <f t="shared" si="785"/>
        <v>90</v>
      </c>
      <c r="AH940" s="726">
        <f t="shared" si="785"/>
        <v>90</v>
      </c>
      <c r="AI940" s="726">
        <f t="shared" si="785"/>
        <v>90</v>
      </c>
      <c r="AJ940" s="726">
        <f t="shared" si="785"/>
        <v>90</v>
      </c>
      <c r="AK940" s="726">
        <f t="shared" si="785"/>
        <v>90</v>
      </c>
      <c r="AL940" s="726">
        <f t="shared" si="785"/>
        <v>90</v>
      </c>
      <c r="AM940" s="651"/>
      <c r="AN940" s="264"/>
      <c r="AO940" s="264"/>
    </row>
    <row r="941" spans="1:41" s="262" customFormat="1">
      <c r="B941" s="95" t="s">
        <v>640</v>
      </c>
      <c r="C941" s="96" t="s">
        <v>699</v>
      </c>
      <c r="D941" s="163" t="s">
        <v>720</v>
      </c>
      <c r="E941" s="263"/>
      <c r="F941" s="264"/>
      <c r="G941" s="726">
        <f t="shared" ref="G941:V941" si="786">G611</f>
        <v>290</v>
      </c>
      <c r="H941" s="726">
        <f t="shared" si="786"/>
        <v>277</v>
      </c>
      <c r="I941" s="726">
        <f t="shared" si="786"/>
        <v>307</v>
      </c>
      <c r="J941" s="726">
        <f t="shared" si="786"/>
        <v>312</v>
      </c>
      <c r="K941" s="726">
        <f t="shared" si="786"/>
        <v>310</v>
      </c>
      <c r="L941" s="727">
        <f t="shared" si="786"/>
        <v>79</v>
      </c>
      <c r="M941" s="727">
        <f t="shared" si="786"/>
        <v>74.599999999999994</v>
      </c>
      <c r="N941" s="727">
        <f t="shared" si="786"/>
        <v>74.7</v>
      </c>
      <c r="O941" s="727">
        <f t="shared" si="786"/>
        <v>74.599999999999994</v>
      </c>
      <c r="P941" s="726">
        <f t="shared" si="786"/>
        <v>302.89999999999998</v>
      </c>
      <c r="Q941" s="727">
        <f t="shared" si="786"/>
        <v>74.2</v>
      </c>
      <c r="R941" s="727">
        <f t="shared" si="786"/>
        <v>74.400000000000006</v>
      </c>
      <c r="S941" s="727">
        <f t="shared" si="786"/>
        <v>71.900000000000006</v>
      </c>
      <c r="T941" s="727">
        <f t="shared" si="786"/>
        <v>66</v>
      </c>
      <c r="U941" s="726">
        <f t="shared" si="786"/>
        <v>287.39999999999998</v>
      </c>
      <c r="V941" s="727">
        <f t="shared" si="786"/>
        <v>78.7</v>
      </c>
      <c r="W941" s="727">
        <f t="shared" ref="W941:Y944" si="787">W611</f>
        <v>70</v>
      </c>
      <c r="X941" s="727">
        <f t="shared" si="787"/>
        <v>76.400000000000006</v>
      </c>
      <c r="Y941" s="727">
        <f t="shared" si="787"/>
        <v>80</v>
      </c>
      <c r="Z941" s="266">
        <f t="shared" si="782"/>
        <v>305.10000000000002</v>
      </c>
      <c r="AA941" s="727">
        <f t="shared" ref="AA941:AD944" si="788">AA611</f>
        <v>73.7</v>
      </c>
      <c r="AB941" s="727">
        <f t="shared" si="788"/>
        <v>64</v>
      </c>
      <c r="AC941" s="727">
        <f t="shared" si="788"/>
        <v>79.326000000000008</v>
      </c>
      <c r="AD941" s="727">
        <f t="shared" si="788"/>
        <v>88.073999999999998</v>
      </c>
      <c r="AE941" s="266">
        <f t="shared" si="779"/>
        <v>305.10000000000002</v>
      </c>
      <c r="AF941" s="726">
        <f>AF611</f>
        <v>305.10000000000002</v>
      </c>
      <c r="AG941" s="726">
        <f t="shared" ref="AG941:AL941" si="789">AG611</f>
        <v>305.10000000000002</v>
      </c>
      <c r="AH941" s="726">
        <f t="shared" si="789"/>
        <v>305.10000000000002</v>
      </c>
      <c r="AI941" s="726">
        <f t="shared" si="789"/>
        <v>305.10000000000002</v>
      </c>
      <c r="AJ941" s="726">
        <f t="shared" si="789"/>
        <v>305.10000000000002</v>
      </c>
      <c r="AK941" s="726">
        <f t="shared" si="789"/>
        <v>305.10000000000002</v>
      </c>
      <c r="AL941" s="726">
        <f t="shared" si="789"/>
        <v>305.10000000000002</v>
      </c>
      <c r="AM941" s="651"/>
      <c r="AN941" s="264"/>
      <c r="AO941" s="264"/>
    </row>
    <row r="942" spans="1:41" s="262" customFormat="1">
      <c r="B942" s="95" t="s">
        <v>640</v>
      </c>
      <c r="C942" s="96" t="s">
        <v>699</v>
      </c>
      <c r="D942" s="163" t="s">
        <v>721</v>
      </c>
      <c r="E942" s="263"/>
      <c r="F942" s="264"/>
      <c r="G942" s="726">
        <f t="shared" ref="G942:V942" si="790">G612</f>
        <v>86.4</v>
      </c>
      <c r="H942" s="726">
        <f t="shared" si="790"/>
        <v>82.1</v>
      </c>
      <c r="I942" s="726">
        <f t="shared" si="790"/>
        <v>83.5</v>
      </c>
      <c r="J942" s="726">
        <f t="shared" si="790"/>
        <v>99.2</v>
      </c>
      <c r="K942" s="726">
        <f t="shared" si="790"/>
        <v>87.1</v>
      </c>
      <c r="L942" s="727">
        <f t="shared" si="790"/>
        <v>19.899999999999999</v>
      </c>
      <c r="M942" s="727">
        <f t="shared" si="790"/>
        <v>16.2</v>
      </c>
      <c r="N942" s="727">
        <f t="shared" si="790"/>
        <v>14.9</v>
      </c>
      <c r="O942" s="727">
        <f t="shared" si="790"/>
        <v>10</v>
      </c>
      <c r="P942" s="726">
        <f t="shared" si="790"/>
        <v>61</v>
      </c>
      <c r="Q942" s="727">
        <f t="shared" si="790"/>
        <v>19</v>
      </c>
      <c r="R942" s="727">
        <f t="shared" si="790"/>
        <v>15.9</v>
      </c>
      <c r="S942" s="727">
        <f t="shared" si="790"/>
        <v>17.100000000000001</v>
      </c>
      <c r="T942" s="727">
        <f t="shared" si="790"/>
        <v>17</v>
      </c>
      <c r="U942" s="726">
        <f t="shared" si="790"/>
        <v>69</v>
      </c>
      <c r="V942" s="727">
        <f t="shared" si="790"/>
        <v>19.100000000000001</v>
      </c>
      <c r="W942" s="727">
        <f t="shared" si="787"/>
        <v>17.8</v>
      </c>
      <c r="X942" s="727">
        <f t="shared" si="787"/>
        <v>18.2</v>
      </c>
      <c r="Y942" s="727">
        <f t="shared" si="787"/>
        <v>17.8</v>
      </c>
      <c r="Z942" s="266">
        <f t="shared" si="782"/>
        <v>72.900000000000006</v>
      </c>
      <c r="AA942" s="727">
        <f t="shared" si="788"/>
        <v>19.7</v>
      </c>
      <c r="AB942" s="727">
        <f t="shared" si="788"/>
        <v>19.100000000000001</v>
      </c>
      <c r="AC942" s="727">
        <f t="shared" si="788"/>
        <v>18.954000000000001</v>
      </c>
      <c r="AD942" s="727">
        <f t="shared" si="788"/>
        <v>21.044230088495574</v>
      </c>
      <c r="AE942" s="266">
        <f t="shared" si="779"/>
        <v>78.798230088495572</v>
      </c>
      <c r="AF942" s="726">
        <f>AF612</f>
        <v>72.900000000000006</v>
      </c>
      <c r="AG942" s="726">
        <f t="shared" ref="AG942:AL942" si="791">AG612</f>
        <v>72.900000000000006</v>
      </c>
      <c r="AH942" s="726">
        <f t="shared" si="791"/>
        <v>72.900000000000006</v>
      </c>
      <c r="AI942" s="726">
        <f t="shared" si="791"/>
        <v>72.900000000000006</v>
      </c>
      <c r="AJ942" s="726">
        <f t="shared" si="791"/>
        <v>72.900000000000006</v>
      </c>
      <c r="AK942" s="726">
        <f t="shared" si="791"/>
        <v>72.900000000000006</v>
      </c>
      <c r="AL942" s="726">
        <f t="shared" si="791"/>
        <v>72.900000000000006</v>
      </c>
      <c r="AM942" s="651"/>
      <c r="AN942" s="264"/>
      <c r="AO942" s="264"/>
    </row>
    <row r="943" spans="1:41" s="262" customFormat="1">
      <c r="B943" s="95" t="s">
        <v>594</v>
      </c>
      <c r="C943" s="96" t="s">
        <v>594</v>
      </c>
      <c r="D943" s="83" t="s">
        <v>723</v>
      </c>
      <c r="E943" s="263"/>
      <c r="F943" s="264"/>
      <c r="G943" s="726">
        <f t="shared" ref="G943:V943" si="792">G613</f>
        <v>22.8</v>
      </c>
      <c r="H943" s="726">
        <f t="shared" si="792"/>
        <v>21</v>
      </c>
      <c r="I943" s="726">
        <f t="shared" si="792"/>
        <v>23.5</v>
      </c>
      <c r="J943" s="726">
        <f t="shared" si="792"/>
        <v>24.2</v>
      </c>
      <c r="K943" s="726">
        <f t="shared" si="792"/>
        <v>21.4</v>
      </c>
      <c r="L943" s="727">
        <f t="shared" si="792"/>
        <v>4.3</v>
      </c>
      <c r="M943" s="727">
        <f t="shared" si="792"/>
        <v>3.3</v>
      </c>
      <c r="N943" s="727">
        <f t="shared" si="792"/>
        <v>3</v>
      </c>
      <c r="O943" s="727">
        <f t="shared" si="792"/>
        <v>1</v>
      </c>
      <c r="P943" s="726">
        <f t="shared" si="792"/>
        <v>11.6</v>
      </c>
      <c r="Q943" s="727">
        <f t="shared" si="792"/>
        <v>2.9</v>
      </c>
      <c r="R943" s="727">
        <f t="shared" si="792"/>
        <v>3.9</v>
      </c>
      <c r="S943" s="727">
        <f t="shared" si="792"/>
        <v>3.5</v>
      </c>
      <c r="T943" s="727">
        <f t="shared" si="792"/>
        <v>3.7</v>
      </c>
      <c r="U943" s="726">
        <f t="shared" si="792"/>
        <v>13.7</v>
      </c>
      <c r="V943" s="727">
        <f t="shared" si="792"/>
        <v>3.3</v>
      </c>
      <c r="W943" s="727">
        <f t="shared" si="787"/>
        <v>2.9</v>
      </c>
      <c r="X943" s="727">
        <f t="shared" si="787"/>
        <v>2.6</v>
      </c>
      <c r="Y943" s="727">
        <f t="shared" si="787"/>
        <v>2.7</v>
      </c>
      <c r="Z943" s="266">
        <f t="shared" si="782"/>
        <v>11.5</v>
      </c>
      <c r="AA943" s="727">
        <f t="shared" si="788"/>
        <v>2.7</v>
      </c>
      <c r="AB943" s="727">
        <f t="shared" si="788"/>
        <v>2.7</v>
      </c>
      <c r="AC943" s="727">
        <f t="shared" si="788"/>
        <v>2.99</v>
      </c>
      <c r="AD943" s="727">
        <f t="shared" si="788"/>
        <v>3.3197345132743359</v>
      </c>
      <c r="AE943" s="266">
        <f t="shared" si="779"/>
        <v>11.709734513274336</v>
      </c>
      <c r="AF943" s="726">
        <f>AF613</f>
        <v>11.5</v>
      </c>
      <c r="AG943" s="726">
        <f t="shared" ref="AG943:AL943" si="793">AG613</f>
        <v>11.5</v>
      </c>
      <c r="AH943" s="726">
        <f t="shared" si="793"/>
        <v>11.5</v>
      </c>
      <c r="AI943" s="726">
        <f t="shared" si="793"/>
        <v>11.5</v>
      </c>
      <c r="AJ943" s="726">
        <f t="shared" si="793"/>
        <v>11.5</v>
      </c>
      <c r="AK943" s="726">
        <f t="shared" si="793"/>
        <v>11.5</v>
      </c>
      <c r="AL943" s="726">
        <f t="shared" si="793"/>
        <v>11.5</v>
      </c>
      <c r="AM943" s="651"/>
      <c r="AN943" s="264"/>
      <c r="AO943" s="264"/>
    </row>
    <row r="944" spans="1:41" s="262" customFormat="1">
      <c r="B944" s="95" t="s">
        <v>595</v>
      </c>
      <c r="C944" s="96" t="s">
        <v>595</v>
      </c>
      <c r="D944" s="83" t="s">
        <v>724</v>
      </c>
      <c r="E944" s="263"/>
      <c r="F944" s="264"/>
      <c r="G944" s="726">
        <f t="shared" ref="G944:V944" si="794">G614</f>
        <v>59.4</v>
      </c>
      <c r="H944" s="726">
        <f t="shared" si="794"/>
        <v>50.7</v>
      </c>
      <c r="I944" s="726">
        <f t="shared" si="794"/>
        <v>56</v>
      </c>
      <c r="J944" s="726">
        <f t="shared" si="794"/>
        <v>47.7</v>
      </c>
      <c r="K944" s="726">
        <f t="shared" si="794"/>
        <v>46.7</v>
      </c>
      <c r="L944" s="727">
        <f t="shared" si="794"/>
        <v>11</v>
      </c>
      <c r="M944" s="727">
        <f t="shared" si="794"/>
        <v>9.8000000000000007</v>
      </c>
      <c r="N944" s="727">
        <f t="shared" si="794"/>
        <v>10.4</v>
      </c>
      <c r="O944" s="727">
        <f t="shared" si="794"/>
        <v>3.3</v>
      </c>
      <c r="P944" s="726">
        <f t="shared" si="794"/>
        <v>34.5</v>
      </c>
      <c r="Q944" s="727">
        <f t="shared" si="794"/>
        <v>7.6</v>
      </c>
      <c r="R944" s="727">
        <f t="shared" si="794"/>
        <v>10.1</v>
      </c>
      <c r="S944" s="727">
        <f t="shared" si="794"/>
        <v>8.8000000000000007</v>
      </c>
      <c r="T944" s="727">
        <f t="shared" si="794"/>
        <v>9.3000000000000007</v>
      </c>
      <c r="U944" s="726">
        <f t="shared" si="794"/>
        <v>35.799999999999997</v>
      </c>
      <c r="V944" s="727">
        <f t="shared" si="794"/>
        <v>10.7</v>
      </c>
      <c r="W944" s="727">
        <f t="shared" si="787"/>
        <v>6.7</v>
      </c>
      <c r="X944" s="727">
        <f t="shared" si="787"/>
        <v>5.6</v>
      </c>
      <c r="Y944" s="727">
        <f t="shared" si="787"/>
        <v>5.9</v>
      </c>
      <c r="Z944" s="266">
        <f t="shared" si="782"/>
        <v>28.9</v>
      </c>
      <c r="AA944" s="727">
        <f t="shared" si="788"/>
        <v>6.7</v>
      </c>
      <c r="AB944" s="727">
        <f t="shared" si="788"/>
        <v>8.1</v>
      </c>
      <c r="AC944" s="727">
        <f t="shared" si="788"/>
        <v>7.5140000000000002</v>
      </c>
      <c r="AD944" s="727">
        <f t="shared" si="788"/>
        <v>8.3426371681415912</v>
      </c>
      <c r="AE944" s="266">
        <f t="shared" si="779"/>
        <v>30.656637168141593</v>
      </c>
      <c r="AF944" s="726">
        <f>AF614</f>
        <v>28.9</v>
      </c>
      <c r="AG944" s="726">
        <f t="shared" ref="AG944:AL944" si="795">AG614</f>
        <v>28.9</v>
      </c>
      <c r="AH944" s="726">
        <f t="shared" si="795"/>
        <v>28.9</v>
      </c>
      <c r="AI944" s="726">
        <f t="shared" si="795"/>
        <v>28.9</v>
      </c>
      <c r="AJ944" s="726">
        <f t="shared" si="795"/>
        <v>28.9</v>
      </c>
      <c r="AK944" s="726">
        <f t="shared" si="795"/>
        <v>28.9</v>
      </c>
      <c r="AL944" s="726">
        <f t="shared" si="795"/>
        <v>28.9</v>
      </c>
      <c r="AM944" s="651"/>
      <c r="AN944" s="264"/>
      <c r="AO944" s="264"/>
    </row>
    <row r="945" spans="2:41" s="262" customFormat="1">
      <c r="B945" s="212"/>
      <c r="C945" s="213"/>
      <c r="D945" s="83"/>
      <c r="E945" s="263"/>
      <c r="F945" s="264"/>
      <c r="G945" s="266"/>
      <c r="H945" s="266"/>
      <c r="I945" s="266"/>
      <c r="J945" s="266"/>
      <c r="K945" s="266"/>
      <c r="L945" s="267"/>
      <c r="M945" s="267"/>
      <c r="N945" s="267"/>
      <c r="O945" s="267"/>
      <c r="P945" s="266"/>
      <c r="Q945" s="267"/>
      <c r="R945" s="267"/>
      <c r="S945" s="267"/>
      <c r="T945" s="267"/>
      <c r="U945" s="264"/>
      <c r="V945" s="267"/>
      <c r="W945" s="267"/>
      <c r="X945" s="267"/>
      <c r="Y945" s="267"/>
      <c r="Z945" s="264"/>
      <c r="AA945" s="267"/>
      <c r="AB945" s="267"/>
      <c r="AC945" s="267"/>
      <c r="AD945" s="267"/>
      <c r="AE945" s="264"/>
      <c r="AF945" s="264"/>
      <c r="AG945" s="264"/>
      <c r="AH945" s="264"/>
      <c r="AI945" s="264"/>
      <c r="AJ945" s="264"/>
      <c r="AK945" s="264"/>
      <c r="AL945" s="264"/>
      <c r="AM945" s="651"/>
      <c r="AN945" s="264"/>
      <c r="AO945" s="264"/>
    </row>
    <row r="946" spans="2:41" s="262" customFormat="1">
      <c r="B946" s="212"/>
      <c r="C946" s="213"/>
      <c r="D946" s="83"/>
      <c r="E946" s="263"/>
      <c r="F946" s="264"/>
      <c r="G946" s="266"/>
      <c r="H946" s="266"/>
      <c r="I946" s="266"/>
      <c r="J946" s="266"/>
      <c r="K946" s="266"/>
      <c r="L946" s="267"/>
      <c r="M946" s="267"/>
      <c r="N946" s="267"/>
      <c r="O946" s="267"/>
      <c r="P946" s="266"/>
      <c r="Q946" s="267"/>
      <c r="R946" s="267"/>
      <c r="S946" s="267"/>
      <c r="T946" s="267"/>
      <c r="U946" s="264"/>
      <c r="V946" s="267"/>
      <c r="W946" s="267"/>
      <c r="X946" s="267"/>
      <c r="Y946" s="267"/>
      <c r="Z946" s="264"/>
      <c r="AA946" s="267"/>
      <c r="AB946" s="267"/>
      <c r="AC946" s="267"/>
      <c r="AD946" s="267"/>
      <c r="AE946" s="264"/>
      <c r="AF946" s="264"/>
      <c r="AG946" s="264"/>
      <c r="AH946" s="264"/>
      <c r="AI946" s="264"/>
      <c r="AJ946" s="264"/>
      <c r="AK946" s="264"/>
      <c r="AL946" s="264"/>
      <c r="AM946" s="651"/>
      <c r="AN946" s="264"/>
      <c r="AO946" s="264"/>
    </row>
    <row r="947" spans="2:41" s="262" customFormat="1">
      <c r="B947" s="95"/>
      <c r="C947" s="96"/>
      <c r="D947" s="554" t="s">
        <v>617</v>
      </c>
      <c r="E947" s="728"/>
      <c r="F947" s="471"/>
      <c r="G947" s="729"/>
      <c r="H947" s="729"/>
      <c r="I947" s="729"/>
      <c r="J947" s="729"/>
      <c r="K947" s="729"/>
      <c r="L947" s="730"/>
      <c r="M947" s="730"/>
      <c r="N947" s="730"/>
      <c r="O947" s="730"/>
      <c r="P947" s="729"/>
      <c r="Q947" s="730"/>
      <c r="R947" s="730"/>
      <c r="S947" s="730"/>
      <c r="T947" s="730"/>
      <c r="U947" s="471"/>
      <c r="V947" s="730"/>
      <c r="W947" s="730"/>
      <c r="X947" s="730"/>
      <c r="Y947" s="730"/>
      <c r="Z947" s="471"/>
      <c r="AA947" s="730"/>
      <c r="AB947" s="730"/>
      <c r="AC947" s="730"/>
      <c r="AD947" s="730"/>
      <c r="AE947" s="471"/>
      <c r="AF947" s="471"/>
      <c r="AG947" s="471"/>
      <c r="AH947" s="471"/>
      <c r="AI947" s="471"/>
      <c r="AJ947" s="471"/>
      <c r="AK947" s="471"/>
      <c r="AL947" s="471"/>
      <c r="AM947" s="651"/>
      <c r="AN947" s="264"/>
      <c r="AO947" s="264"/>
    </row>
    <row r="948" spans="2:41" s="262" customFormat="1">
      <c r="B948" s="95" t="s">
        <v>640</v>
      </c>
      <c r="C948" s="96" t="s">
        <v>699</v>
      </c>
      <c r="D948" s="269" t="s">
        <v>752</v>
      </c>
      <c r="E948" s="269"/>
      <c r="F948" s="264"/>
      <c r="G948" s="726">
        <f t="shared" ref="G948:V948" si="796">G757+G849</f>
        <v>504</v>
      </c>
      <c r="H948" s="266">
        <f t="shared" si="796"/>
        <v>594</v>
      </c>
      <c r="I948" s="266">
        <f t="shared" si="796"/>
        <v>644</v>
      </c>
      <c r="J948" s="266">
        <f t="shared" si="796"/>
        <v>634</v>
      </c>
      <c r="K948" s="266">
        <f t="shared" si="796"/>
        <v>565.70000000000005</v>
      </c>
      <c r="L948" s="267">
        <f t="shared" si="796"/>
        <v>118.60000000000001</v>
      </c>
      <c r="M948" s="267">
        <f t="shared" si="796"/>
        <v>89.399999999999991</v>
      </c>
      <c r="N948" s="267">
        <f t="shared" si="796"/>
        <v>158.69999999999999</v>
      </c>
      <c r="O948" s="267">
        <f t="shared" si="796"/>
        <v>184.7</v>
      </c>
      <c r="P948" s="266">
        <f t="shared" si="796"/>
        <v>551.20000000000005</v>
      </c>
      <c r="Q948" s="267">
        <f t="shared" si="796"/>
        <v>138.80000000000001</v>
      </c>
      <c r="R948" s="267">
        <f t="shared" si="796"/>
        <v>94.7</v>
      </c>
      <c r="S948" s="267">
        <f t="shared" si="796"/>
        <v>174</v>
      </c>
      <c r="T948" s="267">
        <f t="shared" si="796"/>
        <v>173.6</v>
      </c>
      <c r="U948" s="272">
        <f t="shared" si="796"/>
        <v>581.1</v>
      </c>
      <c r="V948" s="267">
        <f t="shared" si="796"/>
        <v>133.9</v>
      </c>
      <c r="W948" s="267">
        <f t="shared" ref="W948:Y949" si="797">W757+W849</f>
        <v>92.8</v>
      </c>
      <c r="X948" s="267">
        <f t="shared" si="797"/>
        <v>175.3</v>
      </c>
      <c r="Y948" s="267">
        <f t="shared" si="797"/>
        <v>149.19999999999999</v>
      </c>
      <c r="Z948" s="266">
        <f t="shared" ref="Z948:Z953" si="798">SUM(V948:Y948)</f>
        <v>551.20000000000005</v>
      </c>
      <c r="AA948" s="267">
        <f>AA757+AA849</f>
        <v>104.3</v>
      </c>
      <c r="AB948" s="267">
        <f t="shared" ref="AA948:AD949" si="799">AB757+AB849</f>
        <v>39.299999999999997</v>
      </c>
      <c r="AC948" s="267">
        <f t="shared" si="799"/>
        <v>150</v>
      </c>
      <c r="AD948" s="267">
        <f t="shared" si="799"/>
        <v>206.4</v>
      </c>
      <c r="AE948" s="266">
        <f t="shared" ref="AE948:AE953" si="800">SUM(AA948:AD948)</f>
        <v>500</v>
      </c>
      <c r="AF948" s="272">
        <f t="shared" ref="AF948:AL948" si="801">AF757+AF849</f>
        <v>500</v>
      </c>
      <c r="AG948" s="272">
        <f t="shared" si="801"/>
        <v>500</v>
      </c>
      <c r="AH948" s="272">
        <f t="shared" si="801"/>
        <v>500</v>
      </c>
      <c r="AI948" s="272">
        <f t="shared" si="801"/>
        <v>500</v>
      </c>
      <c r="AJ948" s="272">
        <f t="shared" si="801"/>
        <v>500</v>
      </c>
      <c r="AK948" s="272">
        <f t="shared" si="801"/>
        <v>500</v>
      </c>
      <c r="AL948" s="272">
        <f t="shared" si="801"/>
        <v>500</v>
      </c>
      <c r="AM948" s="651"/>
      <c r="AN948" s="264"/>
      <c r="AO948" s="264"/>
    </row>
    <row r="949" spans="2:41" s="262" customFormat="1">
      <c r="B949" s="95" t="s">
        <v>640</v>
      </c>
      <c r="C949" s="96" t="s">
        <v>699</v>
      </c>
      <c r="D949" s="163" t="s">
        <v>701</v>
      </c>
      <c r="E949" s="263"/>
      <c r="F949" s="264"/>
      <c r="G949" s="726">
        <f t="shared" ref="G949:V949" si="802">G758+G850</f>
        <v>100.2</v>
      </c>
      <c r="H949" s="726">
        <f t="shared" si="802"/>
        <v>112.8</v>
      </c>
      <c r="I949" s="726">
        <f t="shared" si="802"/>
        <v>126.6</v>
      </c>
      <c r="J949" s="726">
        <f t="shared" si="802"/>
        <v>137.19999999999999</v>
      </c>
      <c r="K949" s="726">
        <f t="shared" si="802"/>
        <v>117.8</v>
      </c>
      <c r="L949" s="727">
        <f t="shared" si="802"/>
        <v>0.8</v>
      </c>
      <c r="M949" s="727">
        <f t="shared" si="802"/>
        <v>0.4</v>
      </c>
      <c r="N949" s="727">
        <f t="shared" si="802"/>
        <v>67.599999999999994</v>
      </c>
      <c r="O949" s="727">
        <f t="shared" si="802"/>
        <v>30.2</v>
      </c>
      <c r="P949" s="726">
        <f t="shared" si="802"/>
        <v>99</v>
      </c>
      <c r="Q949" s="727">
        <f t="shared" si="802"/>
        <v>1.2</v>
      </c>
      <c r="R949" s="727">
        <f t="shared" si="802"/>
        <v>0.6</v>
      </c>
      <c r="S949" s="727">
        <f t="shared" si="802"/>
        <v>64.400000000000006</v>
      </c>
      <c r="T949" s="727">
        <f t="shared" si="802"/>
        <v>28.7</v>
      </c>
      <c r="U949" s="726">
        <f t="shared" si="802"/>
        <v>94.9</v>
      </c>
      <c r="V949" s="727">
        <f t="shared" si="802"/>
        <v>0</v>
      </c>
      <c r="W949" s="727">
        <f t="shared" si="797"/>
        <v>2.8</v>
      </c>
      <c r="X949" s="727">
        <f t="shared" si="797"/>
        <v>73.3</v>
      </c>
      <c r="Y949" s="727">
        <f t="shared" si="797"/>
        <v>23.1</v>
      </c>
      <c r="Z949" s="266">
        <f t="shared" si="798"/>
        <v>99.199999999999989</v>
      </c>
      <c r="AA949" s="727">
        <f t="shared" si="799"/>
        <v>0</v>
      </c>
      <c r="AB949" s="727">
        <f t="shared" si="799"/>
        <v>0</v>
      </c>
      <c r="AC949" s="727">
        <f t="shared" si="799"/>
        <v>45</v>
      </c>
      <c r="AD949" s="727">
        <f t="shared" si="799"/>
        <v>45</v>
      </c>
      <c r="AE949" s="266">
        <f t="shared" si="800"/>
        <v>90</v>
      </c>
      <c r="AF949" s="726">
        <f t="shared" ref="AF949:AL949" si="803">AF758+AF850</f>
        <v>90</v>
      </c>
      <c r="AG949" s="726">
        <f t="shared" si="803"/>
        <v>90</v>
      </c>
      <c r="AH949" s="726">
        <f t="shared" si="803"/>
        <v>90</v>
      </c>
      <c r="AI949" s="726">
        <f t="shared" si="803"/>
        <v>90</v>
      </c>
      <c r="AJ949" s="726">
        <f t="shared" si="803"/>
        <v>90</v>
      </c>
      <c r="AK949" s="726">
        <f t="shared" si="803"/>
        <v>90</v>
      </c>
      <c r="AL949" s="726">
        <f t="shared" si="803"/>
        <v>90</v>
      </c>
      <c r="AM949" s="651"/>
      <c r="AN949" s="264"/>
      <c r="AO949" s="264"/>
    </row>
    <row r="950" spans="2:41" s="262" customFormat="1">
      <c r="B950" s="95" t="s">
        <v>640</v>
      </c>
      <c r="C950" s="96" t="s">
        <v>699</v>
      </c>
      <c r="D950" s="163" t="s">
        <v>720</v>
      </c>
      <c r="E950" s="263"/>
      <c r="F950" s="264"/>
      <c r="G950" s="726">
        <f t="shared" ref="G950:V950" si="804">G617</f>
        <v>294</v>
      </c>
      <c r="H950" s="266">
        <f t="shared" si="804"/>
        <v>277</v>
      </c>
      <c r="I950" s="266">
        <f t="shared" si="804"/>
        <v>308</v>
      </c>
      <c r="J950" s="266">
        <f t="shared" si="804"/>
        <v>312</v>
      </c>
      <c r="K950" s="266">
        <f t="shared" si="804"/>
        <v>309</v>
      </c>
      <c r="L950" s="267">
        <f t="shared" si="804"/>
        <v>77.3</v>
      </c>
      <c r="M950" s="267">
        <f t="shared" si="804"/>
        <v>76.900000000000006</v>
      </c>
      <c r="N950" s="267">
        <f t="shared" si="804"/>
        <v>74.400000000000006</v>
      </c>
      <c r="O950" s="267">
        <f t="shared" si="804"/>
        <v>75</v>
      </c>
      <c r="P950" s="266">
        <f t="shared" si="804"/>
        <v>303.60000000000002</v>
      </c>
      <c r="Q950" s="267">
        <f t="shared" si="804"/>
        <v>75.2</v>
      </c>
      <c r="R950" s="267">
        <f t="shared" si="804"/>
        <v>74.400000000000006</v>
      </c>
      <c r="S950" s="267">
        <f t="shared" si="804"/>
        <v>74.400000000000006</v>
      </c>
      <c r="T950" s="267">
        <f t="shared" si="804"/>
        <v>60.3</v>
      </c>
      <c r="U950" s="272">
        <f t="shared" si="804"/>
        <v>284.3</v>
      </c>
      <c r="V950" s="267">
        <f t="shared" si="804"/>
        <v>80.3</v>
      </c>
      <c r="W950" s="267">
        <f t="shared" ref="W950:Y953" si="805">W617</f>
        <v>69.5</v>
      </c>
      <c r="X950" s="267">
        <f t="shared" si="805"/>
        <v>77.5</v>
      </c>
      <c r="Y950" s="267">
        <f t="shared" si="805"/>
        <v>79.5</v>
      </c>
      <c r="Z950" s="266">
        <f>SUM(V950:Y950)</f>
        <v>306.8</v>
      </c>
      <c r="AA950" s="267">
        <f t="shared" ref="AA950:AD953" si="806">AA617</f>
        <v>69.900000000000006</v>
      </c>
      <c r="AB950" s="267">
        <f t="shared" si="806"/>
        <v>68.599999999999994</v>
      </c>
      <c r="AC950" s="267">
        <f t="shared" si="806"/>
        <v>79.326000000000008</v>
      </c>
      <c r="AD950" s="267">
        <f t="shared" si="806"/>
        <v>88.073999999999998</v>
      </c>
      <c r="AE950" s="266">
        <f t="shared" si="800"/>
        <v>305.90000000000003</v>
      </c>
      <c r="AF950" s="272">
        <f>AF617</f>
        <v>305.10000000000002</v>
      </c>
      <c r="AG950" s="272">
        <f t="shared" ref="AG950:AL950" si="807">AG617</f>
        <v>305.10000000000002</v>
      </c>
      <c r="AH950" s="272">
        <f t="shared" si="807"/>
        <v>305.10000000000002</v>
      </c>
      <c r="AI950" s="272">
        <f t="shared" si="807"/>
        <v>305.10000000000002</v>
      </c>
      <c r="AJ950" s="272">
        <f t="shared" si="807"/>
        <v>305.10000000000002</v>
      </c>
      <c r="AK950" s="272">
        <f t="shared" si="807"/>
        <v>305.10000000000002</v>
      </c>
      <c r="AL950" s="272">
        <f t="shared" si="807"/>
        <v>305.10000000000002</v>
      </c>
      <c r="AM950" s="651"/>
      <c r="AN950" s="264"/>
      <c r="AO950" s="264"/>
    </row>
    <row r="951" spans="2:41" s="262" customFormat="1">
      <c r="B951" s="95" t="s">
        <v>640</v>
      </c>
      <c r="C951" s="96" t="s">
        <v>699</v>
      </c>
      <c r="D951" s="163" t="s">
        <v>721</v>
      </c>
      <c r="E951" s="263"/>
      <c r="F951" s="264"/>
      <c r="G951" s="726">
        <f t="shared" ref="G951:V951" si="808">G618</f>
        <v>85.2</v>
      </c>
      <c r="H951" s="726">
        <f t="shared" si="808"/>
        <v>77.900000000000006</v>
      </c>
      <c r="I951" s="726">
        <f t="shared" si="808"/>
        <v>82.5</v>
      </c>
      <c r="J951" s="726">
        <f t="shared" si="808"/>
        <v>96.8</v>
      </c>
      <c r="K951" s="726">
        <f t="shared" si="808"/>
        <v>85.8</v>
      </c>
      <c r="L951" s="727">
        <f t="shared" si="808"/>
        <v>18.600000000000001</v>
      </c>
      <c r="M951" s="727">
        <f t="shared" si="808"/>
        <v>14.9</v>
      </c>
      <c r="N951" s="727">
        <f t="shared" si="808"/>
        <v>12.4</v>
      </c>
      <c r="O951" s="727">
        <f t="shared" si="808"/>
        <v>11.7</v>
      </c>
      <c r="P951" s="726">
        <f t="shared" si="808"/>
        <v>57.6</v>
      </c>
      <c r="Q951" s="727">
        <f t="shared" si="808"/>
        <v>17.399999999999999</v>
      </c>
      <c r="R951" s="727">
        <f t="shared" si="808"/>
        <v>16.8</v>
      </c>
      <c r="S951" s="727">
        <f t="shared" si="808"/>
        <v>17.899999999999999</v>
      </c>
      <c r="T951" s="727">
        <f t="shared" si="808"/>
        <v>16</v>
      </c>
      <c r="U951" s="726">
        <f t="shared" si="808"/>
        <v>68.099999999999994</v>
      </c>
      <c r="V951" s="727">
        <f t="shared" si="808"/>
        <v>17.2</v>
      </c>
      <c r="W951" s="727">
        <f t="shared" si="805"/>
        <v>19</v>
      </c>
      <c r="X951" s="727">
        <f t="shared" si="805"/>
        <v>16.7</v>
      </c>
      <c r="Y951" s="727">
        <f t="shared" si="805"/>
        <v>17.3</v>
      </c>
      <c r="Z951" s="266">
        <f t="shared" si="798"/>
        <v>70.2</v>
      </c>
      <c r="AA951" s="727">
        <f t="shared" si="806"/>
        <v>17.5</v>
      </c>
      <c r="AB951" s="727">
        <f t="shared" si="806"/>
        <v>19.2</v>
      </c>
      <c r="AC951" s="727">
        <f t="shared" si="806"/>
        <v>18.954000000000001</v>
      </c>
      <c r="AD951" s="727">
        <f t="shared" si="806"/>
        <v>21.044230088495574</v>
      </c>
      <c r="AE951" s="266">
        <f t="shared" si="800"/>
        <v>76.698230088495578</v>
      </c>
      <c r="AF951" s="726">
        <f>AF618</f>
        <v>72.900000000000006</v>
      </c>
      <c r="AG951" s="726">
        <f t="shared" ref="AG951:AL951" si="809">AG618</f>
        <v>72.900000000000006</v>
      </c>
      <c r="AH951" s="726">
        <f t="shared" si="809"/>
        <v>72.900000000000006</v>
      </c>
      <c r="AI951" s="726">
        <f t="shared" si="809"/>
        <v>72.900000000000006</v>
      </c>
      <c r="AJ951" s="726">
        <f t="shared" si="809"/>
        <v>72.900000000000006</v>
      </c>
      <c r="AK951" s="726">
        <f t="shared" si="809"/>
        <v>72.900000000000006</v>
      </c>
      <c r="AL951" s="726">
        <f t="shared" si="809"/>
        <v>72.900000000000006</v>
      </c>
      <c r="AM951" s="651"/>
      <c r="AN951" s="264"/>
      <c r="AO951" s="264"/>
    </row>
    <row r="952" spans="2:41" s="262" customFormat="1">
      <c r="B952" s="95" t="s">
        <v>594</v>
      </c>
      <c r="C952" s="96" t="s">
        <v>594</v>
      </c>
      <c r="D952" s="83" t="s">
        <v>723</v>
      </c>
      <c r="E952" s="263"/>
      <c r="F952" s="264"/>
      <c r="G952" s="726">
        <f t="shared" ref="G952:V952" si="810">G619</f>
        <v>22.5</v>
      </c>
      <c r="H952" s="726">
        <f t="shared" si="810"/>
        <v>20.6</v>
      </c>
      <c r="I952" s="726">
        <f t="shared" si="810"/>
        <v>23.5</v>
      </c>
      <c r="J952" s="726">
        <f t="shared" si="810"/>
        <v>23.9</v>
      </c>
      <c r="K952" s="726">
        <f t="shared" si="810"/>
        <v>21.5</v>
      </c>
      <c r="L952" s="727">
        <f t="shared" si="810"/>
        <v>4.2</v>
      </c>
      <c r="M952" s="727">
        <f t="shared" si="810"/>
        <v>3.2</v>
      </c>
      <c r="N952" s="727">
        <f t="shared" si="810"/>
        <v>3</v>
      </c>
      <c r="O952" s="727">
        <f t="shared" si="810"/>
        <v>1.1000000000000001</v>
      </c>
      <c r="P952" s="726">
        <f t="shared" si="810"/>
        <v>11.5</v>
      </c>
      <c r="Q952" s="727">
        <f t="shared" si="810"/>
        <v>2.9</v>
      </c>
      <c r="R952" s="727">
        <f t="shared" si="810"/>
        <v>3.9</v>
      </c>
      <c r="S952" s="727">
        <f t="shared" si="810"/>
        <v>3.5</v>
      </c>
      <c r="T952" s="727">
        <f t="shared" si="810"/>
        <v>3.4</v>
      </c>
      <c r="U952" s="726">
        <f t="shared" si="810"/>
        <v>13.7</v>
      </c>
      <c r="V952" s="727">
        <f t="shared" si="810"/>
        <v>3.4</v>
      </c>
      <c r="W952" s="727">
        <f t="shared" si="805"/>
        <v>3</v>
      </c>
      <c r="X952" s="727">
        <f t="shared" si="805"/>
        <v>2.6</v>
      </c>
      <c r="Y952" s="727">
        <f t="shared" si="805"/>
        <v>2.5</v>
      </c>
      <c r="Z952" s="266">
        <f t="shared" si="798"/>
        <v>11.5</v>
      </c>
      <c r="AA952" s="727">
        <f t="shared" si="806"/>
        <v>2.7</v>
      </c>
      <c r="AB952" s="727">
        <f t="shared" si="806"/>
        <v>2.7</v>
      </c>
      <c r="AC952" s="727">
        <f t="shared" si="806"/>
        <v>2.99</v>
      </c>
      <c r="AD952" s="727">
        <f t="shared" si="806"/>
        <v>3.3197345132743359</v>
      </c>
      <c r="AE952" s="266">
        <f t="shared" si="800"/>
        <v>11.709734513274336</v>
      </c>
      <c r="AF952" s="726">
        <f>AF619</f>
        <v>11.5</v>
      </c>
      <c r="AG952" s="726">
        <f t="shared" ref="AG952:AL952" si="811">AG619</f>
        <v>11.5</v>
      </c>
      <c r="AH952" s="726">
        <f t="shared" si="811"/>
        <v>11.5</v>
      </c>
      <c r="AI952" s="726">
        <f t="shared" si="811"/>
        <v>11.5</v>
      </c>
      <c r="AJ952" s="726">
        <f t="shared" si="811"/>
        <v>11.5</v>
      </c>
      <c r="AK952" s="726">
        <f t="shared" si="811"/>
        <v>11.5</v>
      </c>
      <c r="AL952" s="726">
        <f t="shared" si="811"/>
        <v>11.5</v>
      </c>
      <c r="AM952" s="651"/>
      <c r="AN952" s="264"/>
      <c r="AO952" s="264"/>
    </row>
    <row r="953" spans="2:41" s="262" customFormat="1">
      <c r="B953" s="95" t="s">
        <v>595</v>
      </c>
      <c r="C953" s="96" t="s">
        <v>595</v>
      </c>
      <c r="D953" s="83" t="s">
        <v>724</v>
      </c>
      <c r="E953" s="263"/>
      <c r="F953" s="264"/>
      <c r="G953" s="726">
        <f t="shared" ref="G953:V953" si="812">G620</f>
        <v>62</v>
      </c>
      <c r="H953" s="726">
        <f t="shared" si="812"/>
        <v>49.7</v>
      </c>
      <c r="I953" s="726">
        <f t="shared" si="812"/>
        <v>56.1</v>
      </c>
      <c r="J953" s="726">
        <f t="shared" si="812"/>
        <v>49.9</v>
      </c>
      <c r="K953" s="726">
        <f t="shared" si="812"/>
        <v>46.5</v>
      </c>
      <c r="L953" s="727">
        <f t="shared" si="812"/>
        <v>10.9</v>
      </c>
      <c r="M953" s="727">
        <f t="shared" si="812"/>
        <v>10.5</v>
      </c>
      <c r="N953" s="727">
        <f t="shared" si="812"/>
        <v>10.3</v>
      </c>
      <c r="O953" s="727">
        <f t="shared" si="812"/>
        <v>3.4</v>
      </c>
      <c r="P953" s="726">
        <f t="shared" si="812"/>
        <v>35.1</v>
      </c>
      <c r="Q953" s="727">
        <f t="shared" si="812"/>
        <v>6.6</v>
      </c>
      <c r="R953" s="727">
        <f t="shared" si="812"/>
        <v>10.3</v>
      </c>
      <c r="S953" s="727">
        <f t="shared" si="812"/>
        <v>8.5</v>
      </c>
      <c r="T953" s="727">
        <f t="shared" si="812"/>
        <v>10.6</v>
      </c>
      <c r="U953" s="726">
        <f t="shared" si="812"/>
        <v>36</v>
      </c>
      <c r="V953" s="727">
        <f t="shared" si="812"/>
        <v>10.199999999999999</v>
      </c>
      <c r="W953" s="727">
        <f t="shared" si="805"/>
        <v>6</v>
      </c>
      <c r="X953" s="727">
        <f t="shared" si="805"/>
        <v>5.6</v>
      </c>
      <c r="Y953" s="727">
        <f t="shared" si="805"/>
        <v>5.8</v>
      </c>
      <c r="Z953" s="266">
        <f t="shared" si="798"/>
        <v>27.599999999999998</v>
      </c>
      <c r="AA953" s="727">
        <f t="shared" si="806"/>
        <v>6.7</v>
      </c>
      <c r="AB953" s="727">
        <f t="shared" si="806"/>
        <v>7.4</v>
      </c>
      <c r="AC953" s="727">
        <f t="shared" si="806"/>
        <v>7.5140000000000002</v>
      </c>
      <c r="AD953" s="727">
        <f t="shared" si="806"/>
        <v>8.3426371681415912</v>
      </c>
      <c r="AE953" s="266">
        <f t="shared" si="800"/>
        <v>29.95663716814159</v>
      </c>
      <c r="AF953" s="726">
        <f>AF620</f>
        <v>28.9</v>
      </c>
      <c r="AG953" s="726">
        <f t="shared" ref="AG953:AL953" si="813">AG620</f>
        <v>28.9</v>
      </c>
      <c r="AH953" s="726">
        <f t="shared" si="813"/>
        <v>28.9</v>
      </c>
      <c r="AI953" s="726">
        <f t="shared" si="813"/>
        <v>28.9</v>
      </c>
      <c r="AJ953" s="726">
        <f t="shared" si="813"/>
        <v>28.9</v>
      </c>
      <c r="AK953" s="726">
        <f t="shared" si="813"/>
        <v>28.9</v>
      </c>
      <c r="AL953" s="726">
        <f t="shared" si="813"/>
        <v>28.9</v>
      </c>
      <c r="AM953" s="651"/>
      <c r="AN953" s="264"/>
      <c r="AO953" s="264"/>
    </row>
    <row r="954" spans="2:41" s="262" customFormat="1">
      <c r="B954" s="212"/>
      <c r="C954" s="213"/>
      <c r="D954" s="83"/>
      <c r="E954" s="263"/>
      <c r="F954" s="264"/>
      <c r="G954" s="266"/>
      <c r="H954" s="266"/>
      <c r="I954" s="266"/>
      <c r="J954" s="266"/>
      <c r="K954" s="266"/>
      <c r="L954" s="267"/>
      <c r="M954" s="267"/>
      <c r="N954" s="267"/>
      <c r="O954" s="267"/>
      <c r="P954" s="266"/>
      <c r="Q954" s="267"/>
      <c r="R954" s="267"/>
      <c r="S954" s="267"/>
      <c r="T954" s="267"/>
      <c r="U954" s="264"/>
      <c r="V954" s="267"/>
      <c r="W954" s="265"/>
      <c r="X954" s="265"/>
      <c r="Y954" s="265"/>
      <c r="Z954" s="266"/>
      <c r="AA954" s="265"/>
      <c r="AB954" s="265"/>
      <c r="AC954" s="265"/>
      <c r="AD954" s="265"/>
      <c r="AE954" s="264"/>
      <c r="AF954" s="264"/>
      <c r="AG954" s="264"/>
      <c r="AH954" s="264"/>
      <c r="AI954" s="264"/>
      <c r="AJ954" s="264"/>
      <c r="AK954" s="264"/>
      <c r="AL954" s="264"/>
      <c r="AM954" s="651"/>
      <c r="AN954" s="264"/>
      <c r="AO954" s="264"/>
    </row>
    <row r="955" spans="2:41" s="262" customFormat="1">
      <c r="B955" s="212"/>
      <c r="C955" s="213"/>
      <c r="D955" s="83"/>
      <c r="E955" s="263"/>
      <c r="F955" s="264"/>
      <c r="G955" s="266"/>
      <c r="H955" s="266"/>
      <c r="I955" s="266"/>
      <c r="J955" s="266"/>
      <c r="K955" s="266"/>
      <c r="L955" s="267"/>
      <c r="M955" s="267"/>
      <c r="N955" s="267"/>
      <c r="O955" s="267"/>
      <c r="P955" s="266"/>
      <c r="Q955" s="267"/>
      <c r="R955" s="267"/>
      <c r="S955" s="267"/>
      <c r="T955" s="267"/>
      <c r="U955" s="264"/>
      <c r="V955" s="267"/>
      <c r="W955" s="265"/>
      <c r="X955" s="265"/>
      <c r="Y955" s="265"/>
      <c r="Z955" s="264"/>
      <c r="AA955" s="265"/>
      <c r="AB955" s="265"/>
      <c r="AC955" s="265"/>
      <c r="AD955" s="265"/>
      <c r="AE955" s="264"/>
      <c r="AF955" s="264"/>
      <c r="AG955" s="264"/>
      <c r="AH955" s="264"/>
      <c r="AI955" s="264"/>
      <c r="AJ955" s="264"/>
      <c r="AK955" s="264"/>
      <c r="AL955" s="264"/>
      <c r="AM955" s="651"/>
      <c r="AN955" s="264"/>
      <c r="AO955" s="264"/>
    </row>
    <row r="956" spans="2:41" s="262" customFormat="1">
      <c r="B956" s="212"/>
      <c r="C956" s="213"/>
      <c r="D956" s="83"/>
      <c r="E956" s="263"/>
      <c r="F956" s="264"/>
      <c r="G956" s="266"/>
      <c r="H956" s="266"/>
      <c r="I956" s="266"/>
      <c r="J956" s="266"/>
      <c r="K956" s="266"/>
      <c r="L956" s="267"/>
      <c r="M956" s="267"/>
      <c r="N956" s="267"/>
      <c r="O956" s="267"/>
      <c r="P956" s="266"/>
      <c r="Q956" s="267"/>
      <c r="R956" s="267"/>
      <c r="S956" s="267"/>
      <c r="T956" s="267"/>
      <c r="U956" s="264"/>
      <c r="V956" s="267"/>
      <c r="W956" s="265"/>
      <c r="X956" s="265"/>
      <c r="Y956" s="265"/>
      <c r="Z956" s="264"/>
      <c r="AA956" s="265"/>
      <c r="AB956" s="265"/>
      <c r="AC956" s="265"/>
      <c r="AD956" s="265"/>
      <c r="AE956" s="264"/>
      <c r="AF956" s="264"/>
      <c r="AG956" s="264"/>
      <c r="AH956" s="264"/>
      <c r="AI956" s="264"/>
      <c r="AJ956" s="264"/>
      <c r="AK956" s="264"/>
      <c r="AL956" s="264"/>
      <c r="AM956" s="651"/>
      <c r="AN956" s="264"/>
      <c r="AO956" s="264"/>
    </row>
    <row r="957" spans="2:41" s="262" customFormat="1">
      <c r="B957" s="212"/>
      <c r="C957" s="213"/>
      <c r="D957" s="83"/>
      <c r="E957" s="263"/>
      <c r="F957" s="264"/>
      <c r="L957" s="274"/>
      <c r="M957" s="274"/>
      <c r="N957" s="274"/>
      <c r="O957" s="274"/>
      <c r="Q957" s="274"/>
      <c r="R957" s="274"/>
      <c r="S957" s="274"/>
      <c r="T957" s="274"/>
      <c r="V957" s="274"/>
      <c r="W957" s="274"/>
      <c r="X957" s="265"/>
      <c r="Y957" s="265"/>
      <c r="Z957" s="264"/>
      <c r="AA957" s="265"/>
      <c r="AB957" s="265"/>
      <c r="AC957" s="265"/>
      <c r="AD957" s="265"/>
      <c r="AE957" s="264"/>
      <c r="AF957" s="264"/>
      <c r="AG957" s="264"/>
      <c r="AH957" s="264"/>
      <c r="AI957" s="264"/>
      <c r="AJ957" s="264"/>
      <c r="AK957" s="264"/>
      <c r="AL957" s="264"/>
      <c r="AM957" s="651"/>
      <c r="AN957" s="264"/>
      <c r="AO957" s="264"/>
    </row>
    <row r="958" spans="2:41" s="262" customFormat="1">
      <c r="B958" s="212"/>
      <c r="C958" s="213"/>
      <c r="D958" s="83"/>
      <c r="E958" s="263"/>
      <c r="F958" s="264"/>
      <c r="L958" s="274"/>
      <c r="M958" s="274"/>
      <c r="N958" s="274"/>
      <c r="O958" s="274"/>
      <c r="Q958" s="274"/>
      <c r="R958" s="274"/>
      <c r="S958" s="274"/>
      <c r="T958" s="274"/>
      <c r="V958" s="274"/>
      <c r="W958" s="265"/>
      <c r="X958" s="265"/>
      <c r="Y958" s="265"/>
      <c r="Z958" s="264"/>
      <c r="AA958" s="265"/>
      <c r="AB958" s="265"/>
      <c r="AC958" s="265"/>
      <c r="AD958" s="265"/>
      <c r="AE958" s="264"/>
      <c r="AF958" s="264"/>
      <c r="AG958" s="264"/>
      <c r="AH958" s="264"/>
      <c r="AI958" s="264"/>
      <c r="AJ958" s="264"/>
      <c r="AK958" s="264"/>
      <c r="AL958" s="264"/>
      <c r="AM958" s="651"/>
      <c r="AN958" s="264"/>
      <c r="AO958" s="264"/>
    </row>
    <row r="959" spans="2:41" s="262" customFormat="1">
      <c r="B959" s="212"/>
      <c r="C959" s="213"/>
      <c r="D959" s="83"/>
      <c r="E959" s="263"/>
      <c r="F959" s="264"/>
      <c r="G959" s="266"/>
      <c r="H959" s="266"/>
      <c r="I959" s="266"/>
      <c r="J959" s="266"/>
      <c r="K959" s="266"/>
      <c r="L959" s="267"/>
      <c r="M959" s="267"/>
      <c r="N959" s="267"/>
      <c r="O959" s="267"/>
      <c r="P959" s="266"/>
      <c r="Q959" s="267"/>
      <c r="R959" s="267"/>
      <c r="S959" s="267"/>
      <c r="T959" s="267"/>
      <c r="U959" s="266"/>
      <c r="V959" s="267"/>
      <c r="W959" s="265"/>
      <c r="X959" s="265"/>
      <c r="Y959" s="265"/>
      <c r="Z959" s="264"/>
      <c r="AA959" s="265"/>
      <c r="AB959" s="265"/>
      <c r="AC959" s="265"/>
      <c r="AD959" s="265"/>
      <c r="AE959" s="264"/>
      <c r="AF959" s="264"/>
      <c r="AG959" s="264"/>
      <c r="AH959" s="264"/>
      <c r="AI959" s="264"/>
      <c r="AJ959" s="264"/>
      <c r="AK959" s="264"/>
      <c r="AL959" s="264"/>
      <c r="AM959" s="651"/>
      <c r="AN959" s="264"/>
      <c r="AO959" s="264"/>
    </row>
    <row r="960" spans="2:41" s="262" customFormat="1">
      <c r="B960" s="212"/>
      <c r="C960" s="213"/>
      <c r="D960" s="83"/>
      <c r="E960" s="263"/>
      <c r="F960" s="264"/>
      <c r="G960" s="266"/>
      <c r="H960" s="266"/>
      <c r="I960" s="266"/>
      <c r="J960" s="266"/>
      <c r="K960" s="266"/>
      <c r="L960" s="267"/>
      <c r="M960" s="267"/>
      <c r="N960" s="267"/>
      <c r="O960" s="267"/>
      <c r="P960" s="266"/>
      <c r="Q960" s="267"/>
      <c r="R960" s="267"/>
      <c r="S960" s="267"/>
      <c r="T960" s="267"/>
      <c r="U960" s="266"/>
      <c r="V960" s="267"/>
      <c r="W960" s="267"/>
      <c r="X960" s="267"/>
      <c r="Y960" s="267"/>
      <c r="Z960" s="266"/>
      <c r="AA960" s="267"/>
      <c r="AB960" s="267"/>
      <c r="AC960" s="267"/>
      <c r="AD960" s="267"/>
      <c r="AE960" s="266"/>
      <c r="AF960" s="266"/>
      <c r="AG960" s="264"/>
      <c r="AH960" s="264"/>
      <c r="AI960" s="264"/>
      <c r="AJ960" s="264"/>
      <c r="AK960" s="264"/>
      <c r="AL960" s="264"/>
      <c r="AM960" s="651"/>
      <c r="AN960" s="264"/>
      <c r="AO960" s="264"/>
    </row>
    <row r="961" spans="2:41" s="262" customFormat="1">
      <c r="B961" s="212"/>
      <c r="C961" s="213"/>
      <c r="D961" s="83"/>
      <c r="E961" s="263"/>
      <c r="F961" s="264"/>
      <c r="G961" s="266"/>
      <c r="H961" s="266"/>
      <c r="I961" s="266"/>
      <c r="J961" s="266"/>
      <c r="K961" s="266"/>
      <c r="L961" s="267"/>
      <c r="M961" s="267"/>
      <c r="N961" s="267"/>
      <c r="O961" s="267"/>
      <c r="P961" s="266"/>
      <c r="Q961" s="267"/>
      <c r="R961" s="267"/>
      <c r="S961" s="267"/>
      <c r="T961" s="267"/>
      <c r="U961" s="264"/>
      <c r="V961" s="267"/>
      <c r="W961" s="265"/>
      <c r="X961" s="265"/>
      <c r="Y961" s="265"/>
      <c r="Z961" s="264"/>
      <c r="AA961" s="265"/>
      <c r="AB961" s="265"/>
      <c r="AC961" s="265"/>
      <c r="AD961" s="265"/>
      <c r="AE961" s="264"/>
      <c r="AF961" s="264"/>
      <c r="AG961" s="264"/>
      <c r="AH961" s="264"/>
      <c r="AI961" s="264"/>
      <c r="AJ961" s="264"/>
      <c r="AK961" s="264"/>
      <c r="AL961" s="264"/>
      <c r="AM961" s="651"/>
      <c r="AN961" s="264"/>
      <c r="AO961" s="264"/>
    </row>
    <row r="962" spans="2:41" s="262" customFormat="1">
      <c r="B962" s="95" t="s">
        <v>633</v>
      </c>
      <c r="C962" s="96" t="s">
        <v>225</v>
      </c>
      <c r="D962" s="164" t="s">
        <v>636</v>
      </c>
      <c r="E962" s="263"/>
      <c r="F962" s="264"/>
      <c r="G962" s="266">
        <f t="shared" ref="G962:V962" si="814">G634+G784+G878+G916</f>
        <v>2197.1605456022262</v>
      </c>
      <c r="H962" s="266">
        <f t="shared" si="814"/>
        <v>2632.7431308798468</v>
      </c>
      <c r="I962" s="266">
        <f t="shared" si="814"/>
        <v>2359.1547825416174</v>
      </c>
      <c r="J962" s="266">
        <f t="shared" si="814"/>
        <v>2741.485376701432</v>
      </c>
      <c r="K962" s="266">
        <f t="shared" si="814"/>
        <v>3382.0166924742925</v>
      </c>
      <c r="L962" s="267">
        <f t="shared" si="814"/>
        <v>792.78630077536593</v>
      </c>
      <c r="M962" s="267">
        <f t="shared" si="814"/>
        <v>618.85387083559669</v>
      </c>
      <c r="N962" s="267">
        <f t="shared" si="814"/>
        <v>830.03871830275216</v>
      </c>
      <c r="O962" s="267">
        <f t="shared" si="814"/>
        <v>793.80461539056921</v>
      </c>
      <c r="P962" s="266">
        <f t="shared" si="814"/>
        <v>3096.6911032219205</v>
      </c>
      <c r="Q962" s="267">
        <f t="shared" si="814"/>
        <v>636.97149204911784</v>
      </c>
      <c r="R962" s="267">
        <f t="shared" si="814"/>
        <v>550.06569669288319</v>
      </c>
      <c r="S962" s="267">
        <f t="shared" si="814"/>
        <v>793.75421388083396</v>
      </c>
      <c r="T962" s="267">
        <f t="shared" si="814"/>
        <v>682.10268431036889</v>
      </c>
      <c r="U962" s="266">
        <f t="shared" si="814"/>
        <v>2686.9215949424765</v>
      </c>
      <c r="V962" s="267">
        <f t="shared" si="814"/>
        <v>503.74960164474214</v>
      </c>
      <c r="W962" s="267">
        <f>W634+W784+W878+W916</f>
        <v>377.25365118690058</v>
      </c>
      <c r="X962" s="267">
        <f>X634+X784+X878+X916</f>
        <v>764.3960486806327</v>
      </c>
      <c r="Y962" s="267">
        <f t="shared" ref="Y962:AE962" si="815">Y634+Y784+Y878+Y916</f>
        <v>686.96102706610066</v>
      </c>
      <c r="Z962" s="266">
        <f>Z634+Z784+Z878+Z916</f>
        <v>2332.3603285783761</v>
      </c>
      <c r="AA962" s="267">
        <f t="shared" ref="AA962" si="816">AA634+AA784+AA878+AA916</f>
        <v>540.69204056968249</v>
      </c>
      <c r="AB962" s="267">
        <f t="shared" si="815"/>
        <v>419.41556495144079</v>
      </c>
      <c r="AC962" s="267">
        <f t="shared" si="815"/>
        <v>778.33479676767683</v>
      </c>
      <c r="AD962" s="267">
        <f t="shared" si="815"/>
        <v>941.09249940287839</v>
      </c>
      <c r="AE962" s="266">
        <f t="shared" si="815"/>
        <v>2679.5349016916784</v>
      </c>
      <c r="AF962" s="266">
        <f t="shared" ref="AF962:AL962" si="817">AF634+AF784+AF878+AF916</f>
        <v>2848.792562732589</v>
      </c>
      <c r="AG962" s="266">
        <f t="shared" si="817"/>
        <v>2996.2930439119255</v>
      </c>
      <c r="AH962" s="266">
        <f t="shared" si="817"/>
        <v>2946.5222795789105</v>
      </c>
      <c r="AI962" s="266">
        <f t="shared" si="817"/>
        <v>2780.9072060761882</v>
      </c>
      <c r="AJ962" s="266">
        <f t="shared" si="817"/>
        <v>2407.8310595353532</v>
      </c>
      <c r="AK962" s="266">
        <f t="shared" si="817"/>
        <v>2407.8310595353532</v>
      </c>
      <c r="AL962" s="266">
        <f t="shared" si="817"/>
        <v>2407.8310595353532</v>
      </c>
      <c r="AM962" s="651"/>
      <c r="AN962" s="264"/>
      <c r="AO962" s="264"/>
    </row>
    <row r="963" spans="2:41" s="262" customFormat="1">
      <c r="B963" s="95" t="s">
        <v>633</v>
      </c>
      <c r="C963" s="96" t="s">
        <v>225</v>
      </c>
      <c r="D963" s="599" t="s">
        <v>682</v>
      </c>
      <c r="E963" s="263"/>
      <c r="F963" s="264"/>
      <c r="G963" s="457">
        <f t="shared" ref="G963:V963" si="818">G635+G785+G879</f>
        <v>440.83945439777392</v>
      </c>
      <c r="H963" s="457">
        <f t="shared" si="818"/>
        <v>317.25686912015294</v>
      </c>
      <c r="I963" s="457">
        <f t="shared" si="818"/>
        <v>761.84521745838254</v>
      </c>
      <c r="J963" s="457">
        <f t="shared" si="818"/>
        <v>835.51462329856827</v>
      </c>
      <c r="K963" s="457">
        <f t="shared" si="818"/>
        <v>748.98330752570723</v>
      </c>
      <c r="L963" s="738">
        <f t="shared" si="818"/>
        <v>157.21369922463404</v>
      </c>
      <c r="M963" s="738">
        <f t="shared" si="818"/>
        <v>168.14612916440325</v>
      </c>
      <c r="N963" s="738">
        <f t="shared" si="818"/>
        <v>207.9612816972479</v>
      </c>
      <c r="O963" s="738">
        <f t="shared" si="818"/>
        <v>175.19538460943073</v>
      </c>
      <c r="P963" s="457">
        <f t="shared" si="818"/>
        <v>647.30889677807932</v>
      </c>
      <c r="Q963" s="738">
        <f t="shared" si="818"/>
        <v>207.02850795088213</v>
      </c>
      <c r="R963" s="738">
        <f t="shared" si="818"/>
        <v>198.93430330711681</v>
      </c>
      <c r="S963" s="738">
        <f t="shared" si="818"/>
        <v>244.24578611916598</v>
      </c>
      <c r="T963" s="738">
        <f t="shared" si="818"/>
        <v>173.89731568963109</v>
      </c>
      <c r="U963" s="457">
        <f t="shared" si="818"/>
        <v>800.07840505752324</v>
      </c>
      <c r="V963" s="738">
        <f t="shared" si="818"/>
        <v>200.25039835525783</v>
      </c>
      <c r="W963" s="738">
        <f>W635+W785+W879</f>
        <v>190.74634881309942</v>
      </c>
      <c r="X963" s="738">
        <f t="shared" ref="X963:AE963" si="819">X635+X785+X879</f>
        <v>248.60395131936724</v>
      </c>
      <c r="Y963" s="738">
        <f t="shared" si="819"/>
        <v>192.03897293389934</v>
      </c>
      <c r="Z963" s="457">
        <f t="shared" si="819"/>
        <v>831.6396714216238</v>
      </c>
      <c r="AA963" s="738">
        <f t="shared" ref="AA963" si="820">AA635+AA785+AA879</f>
        <v>159.30795943031748</v>
      </c>
      <c r="AB963" s="738">
        <f t="shared" si="819"/>
        <v>147.58443504855921</v>
      </c>
      <c r="AC963" s="738">
        <f t="shared" si="819"/>
        <v>184.16386189372918</v>
      </c>
      <c r="AD963" s="738">
        <f t="shared" si="819"/>
        <v>184.16386189372918</v>
      </c>
      <c r="AE963" s="457">
        <f t="shared" si="819"/>
        <v>657.91388138781167</v>
      </c>
      <c r="AF963" s="457">
        <f t="shared" ref="AF963:AL963" si="821">AF635+AF785+AF879</f>
        <v>657.91388138781167</v>
      </c>
      <c r="AG963" s="457">
        <f t="shared" si="821"/>
        <v>657.91388138781167</v>
      </c>
      <c r="AH963" s="457">
        <f t="shared" si="821"/>
        <v>657.91388138781167</v>
      </c>
      <c r="AI963" s="457">
        <f t="shared" si="821"/>
        <v>657.91388138781167</v>
      </c>
      <c r="AJ963" s="457">
        <f t="shared" si="821"/>
        <v>657.91388138781167</v>
      </c>
      <c r="AK963" s="457">
        <f t="shared" si="821"/>
        <v>657.91388138781167</v>
      </c>
      <c r="AL963" s="457">
        <f t="shared" si="821"/>
        <v>657.91388138781167</v>
      </c>
      <c r="AM963" s="651"/>
      <c r="AN963" s="264"/>
      <c r="AO963" s="264"/>
    </row>
    <row r="964" spans="2:41" s="262" customFormat="1">
      <c r="B964" s="95" t="s">
        <v>633</v>
      </c>
      <c r="C964" s="96" t="s">
        <v>225</v>
      </c>
      <c r="D964" s="599" t="s">
        <v>755</v>
      </c>
      <c r="E964" s="263"/>
      <c r="F964" s="264"/>
      <c r="G964" s="266">
        <f t="shared" ref="G964:V964" si="822">G675</f>
        <v>-228</v>
      </c>
      <c r="H964" s="266">
        <f t="shared" si="822"/>
        <v>-275</v>
      </c>
      <c r="I964" s="266">
        <f t="shared" si="822"/>
        <v>-337</v>
      </c>
      <c r="J964" s="266">
        <f t="shared" si="822"/>
        <v>-430</v>
      </c>
      <c r="K964" s="266">
        <f t="shared" si="822"/>
        <v>-635</v>
      </c>
      <c r="L964" s="267">
        <f t="shared" si="822"/>
        <v>-185</v>
      </c>
      <c r="M964" s="267">
        <f t="shared" si="822"/>
        <v>-162</v>
      </c>
      <c r="N964" s="267">
        <f t="shared" si="822"/>
        <v>-154</v>
      </c>
      <c r="O964" s="267">
        <f t="shared" si="822"/>
        <v>-149</v>
      </c>
      <c r="P964" s="266">
        <f t="shared" si="822"/>
        <v>-650</v>
      </c>
      <c r="Q964" s="267">
        <f t="shared" si="822"/>
        <v>-132</v>
      </c>
      <c r="R964" s="267">
        <f t="shared" si="822"/>
        <v>-140</v>
      </c>
      <c r="S964" s="267">
        <f t="shared" si="822"/>
        <v>-136</v>
      </c>
      <c r="T964" s="267">
        <f t="shared" si="822"/>
        <v>-111</v>
      </c>
      <c r="U964" s="266">
        <f t="shared" si="822"/>
        <v>-519</v>
      </c>
      <c r="V964" s="267">
        <f t="shared" si="822"/>
        <v>-96</v>
      </c>
      <c r="W964" s="267">
        <f>W675</f>
        <v>-89</v>
      </c>
      <c r="X964" s="267">
        <f t="shared" ref="X964:AE964" si="823">X675</f>
        <v>-139</v>
      </c>
      <c r="Y964" s="267">
        <f t="shared" si="823"/>
        <v>-140</v>
      </c>
      <c r="Z964" s="266">
        <f t="shared" si="823"/>
        <v>-464</v>
      </c>
      <c r="AA964" s="267">
        <f t="shared" ref="AA964" si="824">AA675</f>
        <v>-130</v>
      </c>
      <c r="AB964" s="267">
        <f t="shared" si="823"/>
        <v>-106</v>
      </c>
      <c r="AC964" s="267">
        <f t="shared" si="823"/>
        <v>-126</v>
      </c>
      <c r="AD964" s="267">
        <f t="shared" si="823"/>
        <v>-173.376</v>
      </c>
      <c r="AE964" s="266">
        <f t="shared" si="823"/>
        <v>-535.37599999999998</v>
      </c>
      <c r="AF964" s="266">
        <f t="shared" ref="AF964:AL964" si="825">AF675</f>
        <v>-465.1265880217785</v>
      </c>
      <c r="AG964" s="266">
        <f t="shared" si="825"/>
        <v>-495.13475499092556</v>
      </c>
      <c r="AH964" s="266">
        <f t="shared" si="825"/>
        <v>-480.13067150635209</v>
      </c>
      <c r="AI964" s="266">
        <f t="shared" si="825"/>
        <v>-450.12250453720509</v>
      </c>
      <c r="AJ964" s="266">
        <f t="shared" si="825"/>
        <v>-382.524</v>
      </c>
      <c r="AK964" s="266">
        <f t="shared" si="825"/>
        <v>-382.524</v>
      </c>
      <c r="AL964" s="266">
        <f t="shared" si="825"/>
        <v>-382.524</v>
      </c>
      <c r="AM964" s="651"/>
      <c r="AN964" s="264"/>
      <c r="AO964" s="264"/>
    </row>
    <row r="965" spans="2:41" s="262" customFormat="1">
      <c r="B965" s="95" t="s">
        <v>633</v>
      </c>
      <c r="C965" s="96" t="s">
        <v>225</v>
      </c>
      <c r="D965" s="554" t="s">
        <v>638</v>
      </c>
      <c r="E965" s="731"/>
      <c r="F965" s="275"/>
      <c r="G965" s="732">
        <v>2410</v>
      </c>
      <c r="H965" s="732">
        <v>2675</v>
      </c>
      <c r="I965" s="732">
        <v>2784</v>
      </c>
      <c r="J965" s="732">
        <v>3147</v>
      </c>
      <c r="K965" s="732">
        <v>3496</v>
      </c>
      <c r="L965" s="733">
        <v>765</v>
      </c>
      <c r="M965" s="733">
        <v>625</v>
      </c>
      <c r="N965" s="733">
        <v>884</v>
      </c>
      <c r="O965" s="733">
        <v>820</v>
      </c>
      <c r="P965" s="732">
        <v>3094</v>
      </c>
      <c r="Q965" s="733">
        <v>712</v>
      </c>
      <c r="R965" s="733">
        <v>609</v>
      </c>
      <c r="S965" s="733">
        <v>902</v>
      </c>
      <c r="T965" s="733">
        <v>745</v>
      </c>
      <c r="U965" s="275">
        <v>2968</v>
      </c>
      <c r="V965" s="733">
        <f t="shared" ref="V965:AL965" si="826">SUM(V962:V964)</f>
        <v>608</v>
      </c>
      <c r="W965" s="733">
        <f t="shared" si="826"/>
        <v>479</v>
      </c>
      <c r="X965" s="733">
        <f t="shared" si="826"/>
        <v>874</v>
      </c>
      <c r="Y965" s="733">
        <f t="shared" si="826"/>
        <v>739</v>
      </c>
      <c r="Z965" s="275">
        <f t="shared" si="826"/>
        <v>2700</v>
      </c>
      <c r="AA965" s="733">
        <f t="shared" ref="AA965" si="827">SUM(AA962:AA964)</f>
        <v>570</v>
      </c>
      <c r="AB965" s="733">
        <f t="shared" si="826"/>
        <v>461</v>
      </c>
      <c r="AC965" s="733">
        <f t="shared" si="826"/>
        <v>836.49865866140601</v>
      </c>
      <c r="AD965" s="733">
        <f t="shared" si="826"/>
        <v>951.88036129660759</v>
      </c>
      <c r="AE965" s="732">
        <f t="shared" si="826"/>
        <v>2802.0727830794904</v>
      </c>
      <c r="AF965" s="732">
        <f t="shared" si="826"/>
        <v>3041.5798560986223</v>
      </c>
      <c r="AG965" s="732">
        <f t="shared" si="826"/>
        <v>3159.0721703088116</v>
      </c>
      <c r="AH965" s="732">
        <f t="shared" si="826"/>
        <v>3124.3054894603702</v>
      </c>
      <c r="AI965" s="732">
        <f t="shared" si="826"/>
        <v>2988.6985829267946</v>
      </c>
      <c r="AJ965" s="732">
        <f t="shared" si="826"/>
        <v>2683.220940923165</v>
      </c>
      <c r="AK965" s="732">
        <f t="shared" si="826"/>
        <v>2683.220940923165</v>
      </c>
      <c r="AL965" s="732">
        <f t="shared" si="826"/>
        <v>2683.220940923165</v>
      </c>
      <c r="AM965" s="651"/>
      <c r="AN965" s="264"/>
      <c r="AO965" s="264"/>
    </row>
    <row r="966" spans="2:41" s="262" customFormat="1">
      <c r="B966" s="95" t="s">
        <v>633</v>
      </c>
      <c r="C966" s="96" t="s">
        <v>225</v>
      </c>
      <c r="D966" s="599" t="s">
        <v>753</v>
      </c>
      <c r="E966" s="263"/>
      <c r="F966" s="264"/>
      <c r="G966" s="277">
        <f t="shared" ref="G966:V966" si="828">G676</f>
        <v>-917</v>
      </c>
      <c r="H966" s="277">
        <f t="shared" si="828"/>
        <v>-767</v>
      </c>
      <c r="I966" s="277">
        <f t="shared" si="828"/>
        <v>-783</v>
      </c>
      <c r="J966" s="277">
        <f t="shared" si="828"/>
        <v>-846</v>
      </c>
      <c r="K966" s="277">
        <f t="shared" si="828"/>
        <v>-845</v>
      </c>
      <c r="L966" s="278">
        <f t="shared" si="828"/>
        <v>-179</v>
      </c>
      <c r="M966" s="278">
        <f t="shared" si="828"/>
        <v>-159</v>
      </c>
      <c r="N966" s="278">
        <f t="shared" si="828"/>
        <v>-149</v>
      </c>
      <c r="O966" s="278">
        <f t="shared" si="828"/>
        <v>-103</v>
      </c>
      <c r="P966" s="277">
        <f t="shared" si="828"/>
        <v>-590</v>
      </c>
      <c r="Q966" s="278">
        <f t="shared" si="828"/>
        <v>-168</v>
      </c>
      <c r="R966" s="278">
        <f t="shared" si="828"/>
        <v>-178</v>
      </c>
      <c r="S966" s="278">
        <f t="shared" si="828"/>
        <v>-154</v>
      </c>
      <c r="T966" s="278">
        <f t="shared" si="828"/>
        <v>-144</v>
      </c>
      <c r="U966" s="277">
        <f t="shared" si="828"/>
        <v>-644</v>
      </c>
      <c r="V966" s="278">
        <f t="shared" si="828"/>
        <v>-181</v>
      </c>
      <c r="W966" s="278">
        <f t="shared" ref="W966:AE966" si="829">W676</f>
        <v>-128</v>
      </c>
      <c r="X966" s="278">
        <f>X676</f>
        <v>-128</v>
      </c>
      <c r="Y966" s="278">
        <f t="shared" si="829"/>
        <v>-136</v>
      </c>
      <c r="Z966" s="277">
        <f t="shared" si="829"/>
        <v>-573</v>
      </c>
      <c r="AA966" s="278">
        <f t="shared" ref="AA966" si="830">AA676</f>
        <v>-128</v>
      </c>
      <c r="AB966" s="278">
        <f t="shared" si="829"/>
        <v>-179</v>
      </c>
      <c r="AC966" s="278">
        <f t="shared" si="829"/>
        <v>-225.74086999999997</v>
      </c>
      <c r="AD966" s="278">
        <f t="shared" si="829"/>
        <v>-217.15453707964602</v>
      </c>
      <c r="AE966" s="277">
        <f t="shared" si="829"/>
        <v>-749.89540707964602</v>
      </c>
      <c r="AF966" s="277">
        <f t="shared" ref="AF966:AL966" si="831">AF676</f>
        <v>-956.67189201451913</v>
      </c>
      <c r="AG966" s="277">
        <f t="shared" si="831"/>
        <v>-959.63218666061675</v>
      </c>
      <c r="AH966" s="277">
        <f t="shared" si="831"/>
        <v>-953.58911433756805</v>
      </c>
      <c r="AI966" s="277">
        <f t="shared" si="831"/>
        <v>-922.56066969146991</v>
      </c>
      <c r="AJ966" s="277">
        <f t="shared" si="831"/>
        <v>-852.66381599999988</v>
      </c>
      <c r="AK966" s="277">
        <f t="shared" si="831"/>
        <v>-852.66381599999988</v>
      </c>
      <c r="AL966" s="277">
        <f t="shared" si="831"/>
        <v>-852.66381599999988</v>
      </c>
      <c r="AM966" s="651"/>
      <c r="AN966" s="264"/>
      <c r="AO966" s="264"/>
    </row>
    <row r="967" spans="2:41" s="262" customFormat="1">
      <c r="B967" s="95" t="s">
        <v>633</v>
      </c>
      <c r="C967" s="96" t="s">
        <v>225</v>
      </c>
      <c r="D967" s="599" t="s">
        <v>642</v>
      </c>
      <c r="E967" s="263"/>
      <c r="F967" s="264"/>
      <c r="G967" s="272">
        <f t="shared" ref="G967:V967" si="832">G678+G787+G881+G917</f>
        <v>-610</v>
      </c>
      <c r="H967" s="272">
        <f t="shared" si="832"/>
        <v>-654</v>
      </c>
      <c r="I967" s="272">
        <f t="shared" si="832"/>
        <v>-744</v>
      </c>
      <c r="J967" s="272">
        <f t="shared" si="832"/>
        <v>-759</v>
      </c>
      <c r="K967" s="272">
        <f t="shared" si="832"/>
        <v>-797</v>
      </c>
      <c r="L967" s="305">
        <f t="shared" si="832"/>
        <v>-163</v>
      </c>
      <c r="M967" s="305">
        <f t="shared" si="832"/>
        <v>-153</v>
      </c>
      <c r="N967" s="305">
        <f t="shared" si="832"/>
        <v>-259</v>
      </c>
      <c r="O967" s="305">
        <f t="shared" si="832"/>
        <v>-240</v>
      </c>
      <c r="P967" s="272">
        <f t="shared" si="832"/>
        <v>-815</v>
      </c>
      <c r="Q967" s="305">
        <f t="shared" si="832"/>
        <v>-171</v>
      </c>
      <c r="R967" s="305">
        <f t="shared" si="832"/>
        <v>-163</v>
      </c>
      <c r="S967" s="305">
        <f t="shared" si="832"/>
        <v>-255</v>
      </c>
      <c r="T967" s="305">
        <f t="shared" si="832"/>
        <v>-250</v>
      </c>
      <c r="U967" s="272">
        <f t="shared" si="832"/>
        <v>-899</v>
      </c>
      <c r="V967" s="305">
        <f t="shared" si="832"/>
        <v>-168</v>
      </c>
      <c r="W967" s="305">
        <f t="shared" ref="W967:AE967" si="833">W678+W787+W881+W917</f>
        <v>-171</v>
      </c>
      <c r="X967" s="305">
        <f>X678+X787+X881+X917</f>
        <v>-249</v>
      </c>
      <c r="Y967" s="305">
        <f t="shared" si="833"/>
        <v>-221</v>
      </c>
      <c r="Z967" s="272">
        <f t="shared" si="833"/>
        <v>-809</v>
      </c>
      <c r="AA967" s="305">
        <f t="shared" ref="AA967" si="834">AA678+AA787+AA881+AA917</f>
        <v>-182</v>
      </c>
      <c r="AB967" s="305">
        <f t="shared" si="833"/>
        <v>-175</v>
      </c>
      <c r="AC967" s="305">
        <f t="shared" si="833"/>
        <v>-214.6885718719135</v>
      </c>
      <c r="AD967" s="305">
        <f t="shared" si="833"/>
        <v>-222.57436824605418</v>
      </c>
      <c r="AE967" s="272">
        <f t="shared" si="833"/>
        <v>-794.26294011796756</v>
      </c>
      <c r="AF967" s="272">
        <f t="shared" ref="AF967:AL967" si="835">AF678+AF787+AF881+AF917</f>
        <v>-869.58628748765386</v>
      </c>
      <c r="AG967" s="272">
        <f t="shared" si="835"/>
        <v>-869.58628748765386</v>
      </c>
      <c r="AH967" s="272">
        <f t="shared" si="835"/>
        <v>-843.55869552425008</v>
      </c>
      <c r="AI967" s="272">
        <f t="shared" si="835"/>
        <v>-843.55869552425008</v>
      </c>
      <c r="AJ967" s="272">
        <f t="shared" si="835"/>
        <v>-843.55869552425008</v>
      </c>
      <c r="AK967" s="272">
        <f t="shared" si="835"/>
        <v>-843.55869552425008</v>
      </c>
      <c r="AL967" s="272">
        <f t="shared" si="835"/>
        <v>-843.55869552425008</v>
      </c>
      <c r="AM967" s="651"/>
      <c r="AN967" s="264"/>
      <c r="AO967" s="264"/>
    </row>
    <row r="968" spans="2:41" s="262" customFormat="1">
      <c r="B968" s="95" t="s">
        <v>633</v>
      </c>
      <c r="C968" s="96" t="s">
        <v>225</v>
      </c>
      <c r="D968" s="599" t="s">
        <v>643</v>
      </c>
      <c r="E968" s="263"/>
      <c r="F968" s="264"/>
      <c r="G968" s="272">
        <f t="shared" ref="G968:V968" si="836">G679+G788+G882</f>
        <v>-217</v>
      </c>
      <c r="H968" s="272">
        <f t="shared" si="836"/>
        <v>-257</v>
      </c>
      <c r="I968" s="272">
        <f t="shared" si="836"/>
        <v>-278</v>
      </c>
      <c r="J968" s="272">
        <f t="shared" si="836"/>
        <v>-276</v>
      </c>
      <c r="K968" s="272">
        <f t="shared" si="836"/>
        <v>-269</v>
      </c>
      <c r="L968" s="305">
        <f t="shared" si="836"/>
        <v>-57</v>
      </c>
      <c r="M968" s="305">
        <f t="shared" si="836"/>
        <v>-57</v>
      </c>
      <c r="N968" s="305">
        <f t="shared" si="836"/>
        <v>-76</v>
      </c>
      <c r="O968" s="305">
        <f t="shared" si="836"/>
        <v>-86</v>
      </c>
      <c r="P968" s="272">
        <f t="shared" si="836"/>
        <v>-276</v>
      </c>
      <c r="Q968" s="305">
        <f t="shared" si="836"/>
        <v>-67</v>
      </c>
      <c r="R968" s="305">
        <f t="shared" si="836"/>
        <v>-60</v>
      </c>
      <c r="S968" s="305">
        <f t="shared" si="836"/>
        <v>-88</v>
      </c>
      <c r="T968" s="305">
        <f t="shared" si="836"/>
        <v>-72</v>
      </c>
      <c r="U968" s="272">
        <f t="shared" si="836"/>
        <v>-287</v>
      </c>
      <c r="V968" s="305">
        <f t="shared" si="836"/>
        <v>-63</v>
      </c>
      <c r="W968" s="305">
        <f t="shared" ref="W968:AE968" si="837">W679+W788+W882</f>
        <v>-54</v>
      </c>
      <c r="X968" s="305">
        <f t="shared" si="837"/>
        <v>-83</v>
      </c>
      <c r="Y968" s="305">
        <f t="shared" si="837"/>
        <v>-72</v>
      </c>
      <c r="Z968" s="272">
        <f t="shared" si="837"/>
        <v>-272</v>
      </c>
      <c r="AA968" s="305">
        <f>AA679+AA788+AA882</f>
        <v>-53</v>
      </c>
      <c r="AB968" s="305">
        <f t="shared" si="837"/>
        <v>-40</v>
      </c>
      <c r="AC968" s="305">
        <f t="shared" si="837"/>
        <v>-72.32662629498023</v>
      </c>
      <c r="AD968" s="305">
        <f t="shared" si="837"/>
        <v>-89.269375747668249</v>
      </c>
      <c r="AE968" s="272">
        <f t="shared" si="837"/>
        <v>-254.59600204264848</v>
      </c>
      <c r="AF968" s="272">
        <f t="shared" ref="AF968:AL968" si="838">AF679+AF788+AF882</f>
        <v>-260.87443070917368</v>
      </c>
      <c r="AG968" s="272">
        <f t="shared" si="838"/>
        <v>-260.87443070917368</v>
      </c>
      <c r="AH968" s="272">
        <f t="shared" si="838"/>
        <v>-260.87443070917368</v>
      </c>
      <c r="AI968" s="272">
        <f t="shared" si="838"/>
        <v>-260.87443070917368</v>
      </c>
      <c r="AJ968" s="272">
        <f t="shared" si="838"/>
        <v>-260.87443070917368</v>
      </c>
      <c r="AK968" s="272">
        <f t="shared" si="838"/>
        <v>-260.87443070917368</v>
      </c>
      <c r="AL968" s="272">
        <f t="shared" si="838"/>
        <v>-260.87443070917368</v>
      </c>
      <c r="AM968" s="651"/>
      <c r="AN968" s="264"/>
      <c r="AO968" s="264"/>
    </row>
    <row r="969" spans="2:41" s="262" customFormat="1">
      <c r="B969" s="95" t="s">
        <v>633</v>
      </c>
      <c r="C969" s="96" t="s">
        <v>225</v>
      </c>
      <c r="D969" s="599" t="s">
        <v>527</v>
      </c>
      <c r="E969" s="263"/>
      <c r="F969" s="264"/>
      <c r="G969" s="272">
        <f t="shared" ref="G969:V969" si="839">G789+G883</f>
        <v>-125</v>
      </c>
      <c r="H969" s="272">
        <f t="shared" si="839"/>
        <v>-215</v>
      </c>
      <c r="I969" s="272">
        <f t="shared" si="839"/>
        <v>-178</v>
      </c>
      <c r="J969" s="272">
        <f t="shared" si="839"/>
        <v>-282</v>
      </c>
      <c r="K969" s="272">
        <f t="shared" si="839"/>
        <v>-412</v>
      </c>
      <c r="L969" s="305">
        <f t="shared" si="839"/>
        <v>-74</v>
      </c>
      <c r="M969" s="305">
        <f t="shared" si="839"/>
        <v>-22</v>
      </c>
      <c r="N969" s="305">
        <f t="shared" si="839"/>
        <v>-119</v>
      </c>
      <c r="O969" s="305">
        <f t="shared" si="839"/>
        <v>-113</v>
      </c>
      <c r="P969" s="272">
        <f t="shared" si="839"/>
        <v>-328</v>
      </c>
      <c r="Q969" s="305">
        <f t="shared" si="839"/>
        <v>-84</v>
      </c>
      <c r="R969" s="305">
        <f t="shared" si="839"/>
        <v>-10</v>
      </c>
      <c r="S969" s="305">
        <f t="shared" si="839"/>
        <v>-117</v>
      </c>
      <c r="T969" s="305">
        <f t="shared" si="839"/>
        <v>-96</v>
      </c>
      <c r="U969" s="272">
        <f t="shared" si="839"/>
        <v>-307</v>
      </c>
      <c r="V969" s="305">
        <f t="shared" si="839"/>
        <v>-13</v>
      </c>
      <c r="W969" s="305">
        <f t="shared" ref="W969:AE969" si="840">W789+W883</f>
        <v>6</v>
      </c>
      <c r="X969" s="305">
        <f t="shared" si="840"/>
        <v>-131</v>
      </c>
      <c r="Y969" s="305">
        <f t="shared" si="840"/>
        <v>-93</v>
      </c>
      <c r="Z969" s="272">
        <f t="shared" si="840"/>
        <v>-231</v>
      </c>
      <c r="AA969" s="305">
        <f t="shared" ref="AA969" si="841">AA789+AA883</f>
        <v>-36</v>
      </c>
      <c r="AB969" s="305">
        <f t="shared" si="840"/>
        <v>-19</v>
      </c>
      <c r="AC969" s="305">
        <f t="shared" si="840"/>
        <v>-85.483145331078859</v>
      </c>
      <c r="AD969" s="305">
        <f t="shared" si="840"/>
        <v>-119.67607252814008</v>
      </c>
      <c r="AE969" s="272">
        <f t="shared" si="840"/>
        <v>-260.15921785921893</v>
      </c>
      <c r="AF969" s="272">
        <f t="shared" ref="AF969:AL969" si="842">AF789+AF883</f>
        <v>-264.62629871489543</v>
      </c>
      <c r="AG969" s="272">
        <f t="shared" si="842"/>
        <v>-304.71250556232764</v>
      </c>
      <c r="AH969" s="272">
        <f t="shared" si="842"/>
        <v>-303.76889976563132</v>
      </c>
      <c r="AI969" s="272">
        <f t="shared" si="842"/>
        <v>-267.16643810501449</v>
      </c>
      <c r="AJ969" s="272">
        <f t="shared" si="842"/>
        <v>-184.7131621957584</v>
      </c>
      <c r="AK969" s="272">
        <f t="shared" si="842"/>
        <v>-184.7131621957584</v>
      </c>
      <c r="AL969" s="272">
        <f t="shared" si="842"/>
        <v>-184.7131621957584</v>
      </c>
      <c r="AM969" s="651"/>
      <c r="AN969" s="264"/>
      <c r="AO969" s="264"/>
    </row>
    <row r="970" spans="2:41" s="262" customFormat="1">
      <c r="B970" s="95" t="s">
        <v>633</v>
      </c>
      <c r="C970" s="96" t="s">
        <v>225</v>
      </c>
      <c r="D970" s="599" t="s">
        <v>644</v>
      </c>
      <c r="E970" s="263"/>
      <c r="F970" s="264"/>
      <c r="G970" s="272">
        <f t="shared" ref="G970:V970" si="843">G790+G884+G680+G920</f>
        <v>-105</v>
      </c>
      <c r="H970" s="272">
        <f t="shared" si="843"/>
        <v>-130</v>
      </c>
      <c r="I970" s="272">
        <f t="shared" si="843"/>
        <v>-150</v>
      </c>
      <c r="J970" s="272">
        <f t="shared" si="843"/>
        <v>-154</v>
      </c>
      <c r="K970" s="272">
        <f t="shared" si="843"/>
        <v>-206</v>
      </c>
      <c r="L970" s="305">
        <f t="shared" si="843"/>
        <v>-41</v>
      </c>
      <c r="M970" s="305">
        <f t="shared" si="843"/>
        <v>-40</v>
      </c>
      <c r="N970" s="305">
        <f t="shared" si="843"/>
        <v>-63</v>
      </c>
      <c r="O970" s="305">
        <f t="shared" si="843"/>
        <v>-72</v>
      </c>
      <c r="P970" s="272">
        <f t="shared" si="843"/>
        <v>-216</v>
      </c>
      <c r="Q970" s="305">
        <f t="shared" si="843"/>
        <v>-50</v>
      </c>
      <c r="R970" s="305">
        <f t="shared" si="843"/>
        <v>-45</v>
      </c>
      <c r="S970" s="305">
        <f t="shared" si="843"/>
        <v>-70</v>
      </c>
      <c r="T970" s="305">
        <f t="shared" si="843"/>
        <v>-71</v>
      </c>
      <c r="U970" s="272">
        <f t="shared" si="843"/>
        <v>-230</v>
      </c>
      <c r="V970" s="305">
        <f t="shared" si="843"/>
        <v>-64</v>
      </c>
      <c r="W970" s="305">
        <f t="shared" ref="W970:AE970" si="844">W790+W884+W680+W920</f>
        <v>-59</v>
      </c>
      <c r="X970" s="305">
        <f t="shared" si="844"/>
        <v>-99</v>
      </c>
      <c r="Y970" s="305">
        <f t="shared" ca="1" si="844"/>
        <v>-70</v>
      </c>
      <c r="Z970" s="272">
        <f t="shared" ca="1" si="844"/>
        <v>-292</v>
      </c>
      <c r="AA970" s="305">
        <f t="shared" ref="AA970" ca="1" si="845">AA790+AA884+AA680+AA920</f>
        <v>-70</v>
      </c>
      <c r="AB970" s="305">
        <f t="shared" ca="1" si="844"/>
        <v>-57.90191882288174</v>
      </c>
      <c r="AC970" s="305">
        <f t="shared" ca="1" si="844"/>
        <v>-80.676538711776189</v>
      </c>
      <c r="AD970" s="305">
        <f t="shared" ca="1" si="844"/>
        <v>-84.205875581802744</v>
      </c>
      <c r="AE970" s="272">
        <f t="shared" ca="1" si="844"/>
        <v>-280.68625193934241</v>
      </c>
      <c r="AF970" s="272">
        <f t="shared" ref="AF970:AL970" ca="1" si="846">AF790+AF884+AF680+AF920</f>
        <v>-280.68625193934241</v>
      </c>
      <c r="AG970" s="272">
        <f t="shared" ca="1" si="846"/>
        <v>-280.68625193934241</v>
      </c>
      <c r="AH970" s="272">
        <f t="shared" ca="1" si="846"/>
        <v>-280.68625193934241</v>
      </c>
      <c r="AI970" s="272">
        <f t="shared" ca="1" si="846"/>
        <v>-280.68625193934241</v>
      </c>
      <c r="AJ970" s="272">
        <f t="shared" ca="1" si="846"/>
        <v>-280.68625193934241</v>
      </c>
      <c r="AK970" s="272">
        <f t="shared" ca="1" si="846"/>
        <v>-280.68625193934241</v>
      </c>
      <c r="AL970" s="272">
        <f t="shared" ca="1" si="846"/>
        <v>-280.68625193934241</v>
      </c>
      <c r="AM970" s="651"/>
      <c r="AN970" s="264"/>
      <c r="AO970" s="264"/>
    </row>
    <row r="971" spans="2:41" s="262" customFormat="1">
      <c r="B971" s="95" t="s">
        <v>633</v>
      </c>
      <c r="C971" s="96" t="s">
        <v>225</v>
      </c>
      <c r="D971" s="134" t="s">
        <v>645</v>
      </c>
      <c r="E971" s="263"/>
      <c r="F971" s="264"/>
      <c r="G971" s="266">
        <f>SUM(G966:G970)</f>
        <v>-1974</v>
      </c>
      <c r="H971" s="266">
        <f t="shared" ref="H971:V971" si="847">SUM(H966:H970)</f>
        <v>-2023</v>
      </c>
      <c r="I971" s="266">
        <f t="shared" si="847"/>
        <v>-2133</v>
      </c>
      <c r="J971" s="266">
        <f t="shared" si="847"/>
        <v>-2317</v>
      </c>
      <c r="K971" s="266">
        <f t="shared" si="847"/>
        <v>-2529</v>
      </c>
      <c r="L971" s="267">
        <f t="shared" si="847"/>
        <v>-514</v>
      </c>
      <c r="M971" s="267">
        <f t="shared" si="847"/>
        <v>-431</v>
      </c>
      <c r="N971" s="267">
        <f t="shared" si="847"/>
        <v>-666</v>
      </c>
      <c r="O971" s="267">
        <f t="shared" si="847"/>
        <v>-614</v>
      </c>
      <c r="P971" s="266">
        <f t="shared" si="847"/>
        <v>-2225</v>
      </c>
      <c r="Q971" s="267">
        <f t="shared" si="847"/>
        <v>-540</v>
      </c>
      <c r="R971" s="267">
        <f t="shared" si="847"/>
        <v>-456</v>
      </c>
      <c r="S971" s="267">
        <f t="shared" si="847"/>
        <v>-684</v>
      </c>
      <c r="T971" s="267">
        <f t="shared" si="847"/>
        <v>-633</v>
      </c>
      <c r="U971" s="266">
        <f t="shared" si="847"/>
        <v>-2367</v>
      </c>
      <c r="V971" s="267">
        <f t="shared" si="847"/>
        <v>-489</v>
      </c>
      <c r="W971" s="267">
        <f>SUM(W966:W970)</f>
        <v>-406</v>
      </c>
      <c r="X971" s="267">
        <f>SUM(X966:X970)</f>
        <v>-690</v>
      </c>
      <c r="Y971" s="267">
        <f t="shared" ref="Y971:Z971" ca="1" si="848">SUM(Y966:Y970)</f>
        <v>-592</v>
      </c>
      <c r="Z971" s="266">
        <f t="shared" ca="1" si="848"/>
        <v>-2177</v>
      </c>
      <c r="AA971" s="267">
        <f t="shared" ref="AA971" ca="1" si="849">SUM(AA966:AA970)</f>
        <v>-592</v>
      </c>
      <c r="AB971" s="267">
        <f ca="1">SUM(AB966:AB970)</f>
        <v>0</v>
      </c>
      <c r="AC971" s="267" t="e">
        <f t="shared" ref="AC971:AL971" ca="1" si="850">SUM(AC966:AC970)</f>
        <v>#VALUE!</v>
      </c>
      <c r="AD971" s="267" t="e">
        <f t="shared" ca="1" si="850"/>
        <v>#VALUE!</v>
      </c>
      <c r="AE971" s="266" t="e">
        <f t="shared" ca="1" si="850"/>
        <v>#VALUE!</v>
      </c>
      <c r="AF971" s="266" t="e">
        <f t="shared" ca="1" si="850"/>
        <v>#VALUE!</v>
      </c>
      <c r="AG971" s="266" t="e">
        <f t="shared" ca="1" si="850"/>
        <v>#VALUE!</v>
      </c>
      <c r="AH971" s="266" t="e">
        <f t="shared" ca="1" si="850"/>
        <v>#VALUE!</v>
      </c>
      <c r="AI971" s="266" t="e">
        <f t="shared" ca="1" si="850"/>
        <v>#VALUE!</v>
      </c>
      <c r="AJ971" s="266" t="e">
        <f t="shared" ca="1" si="850"/>
        <v>#VALUE!</v>
      </c>
      <c r="AK971" s="266" t="e">
        <f t="shared" ca="1" si="850"/>
        <v>#VALUE!</v>
      </c>
      <c r="AL971" s="266" t="e">
        <f t="shared" ca="1" si="850"/>
        <v>#VALUE!</v>
      </c>
      <c r="AM971" s="651"/>
      <c r="AN971" s="264"/>
      <c r="AO971" s="264"/>
    </row>
    <row r="972" spans="2:41" s="262" customFormat="1">
      <c r="B972" s="95" t="s">
        <v>633</v>
      </c>
      <c r="C972" s="96" t="s">
        <v>225</v>
      </c>
      <c r="D972" s="203" t="s">
        <v>226</v>
      </c>
      <c r="E972" s="263"/>
      <c r="F972" s="264"/>
      <c r="G972" s="266">
        <f>G965+G966+G967+G968+G969</f>
        <v>541</v>
      </c>
      <c r="H972" s="266">
        <f t="shared" ref="H972:V972" si="851">H965+H966+H967+H968+H969</f>
        <v>782</v>
      </c>
      <c r="I972" s="266">
        <f t="shared" si="851"/>
        <v>801</v>
      </c>
      <c r="J972" s="266">
        <f t="shared" si="851"/>
        <v>984</v>
      </c>
      <c r="K972" s="266">
        <f t="shared" si="851"/>
        <v>1173</v>
      </c>
      <c r="L972" s="267">
        <f t="shared" si="851"/>
        <v>292</v>
      </c>
      <c r="M972" s="267">
        <f t="shared" si="851"/>
        <v>234</v>
      </c>
      <c r="N972" s="267">
        <f t="shared" si="851"/>
        <v>281</v>
      </c>
      <c r="O972" s="267">
        <f t="shared" si="851"/>
        <v>278</v>
      </c>
      <c r="P972" s="266">
        <f t="shared" si="851"/>
        <v>1085</v>
      </c>
      <c r="Q972" s="267">
        <f t="shared" si="851"/>
        <v>222</v>
      </c>
      <c r="R972" s="267">
        <f t="shared" si="851"/>
        <v>198</v>
      </c>
      <c r="S972" s="267">
        <f t="shared" si="851"/>
        <v>288</v>
      </c>
      <c r="T972" s="267">
        <f t="shared" si="851"/>
        <v>183</v>
      </c>
      <c r="U972" s="266">
        <f t="shared" si="851"/>
        <v>831</v>
      </c>
      <c r="V972" s="267">
        <f t="shared" si="851"/>
        <v>183</v>
      </c>
      <c r="W972" s="267">
        <f t="shared" ref="W972:AE972" si="852">W965+W966+W967+W968+W969</f>
        <v>132</v>
      </c>
      <c r="X972" s="267">
        <f>X965+X966+X967+X968+X969</f>
        <v>283</v>
      </c>
      <c r="Y972" s="267">
        <f t="shared" si="852"/>
        <v>217</v>
      </c>
      <c r="Z972" s="266">
        <f t="shared" si="852"/>
        <v>815</v>
      </c>
      <c r="AA972" s="267">
        <f t="shared" ref="AA972" si="853">AA965+AA966+AA967+AA968+AA969</f>
        <v>171</v>
      </c>
      <c r="AB972" s="267">
        <f>AB965+AB966+AB967+AB968+AB969</f>
        <v>48</v>
      </c>
      <c r="AC972" s="267">
        <f t="shared" si="852"/>
        <v>238.2594451634335</v>
      </c>
      <c r="AD972" s="267">
        <f t="shared" si="852"/>
        <v>303.206007695099</v>
      </c>
      <c r="AE972" s="266">
        <f t="shared" si="852"/>
        <v>743.15921598000932</v>
      </c>
      <c r="AF972" s="266">
        <f t="shared" ref="AF972:AL972" si="854">AF965+AF966+AF967+AF968+AF969</f>
        <v>689.82094717238033</v>
      </c>
      <c r="AG972" s="266">
        <f t="shared" si="854"/>
        <v>764.26675988903958</v>
      </c>
      <c r="AH972" s="266">
        <f t="shared" si="854"/>
        <v>762.51434912374691</v>
      </c>
      <c r="AI972" s="266">
        <f t="shared" si="854"/>
        <v>694.53834889688665</v>
      </c>
      <c r="AJ972" s="266">
        <f t="shared" si="854"/>
        <v>541.41083649398308</v>
      </c>
      <c r="AK972" s="266">
        <f t="shared" si="854"/>
        <v>541.41083649398308</v>
      </c>
      <c r="AL972" s="266">
        <f t="shared" si="854"/>
        <v>541.41083649398308</v>
      </c>
      <c r="AM972" s="651"/>
      <c r="AN972" s="264"/>
      <c r="AO972" s="264"/>
    </row>
    <row r="973" spans="2:41" s="262" customFormat="1">
      <c r="B973" s="95" t="s">
        <v>633</v>
      </c>
      <c r="C973" s="96" t="s">
        <v>225</v>
      </c>
      <c r="D973" s="183" t="s">
        <v>178</v>
      </c>
      <c r="E973" s="734"/>
      <c r="F973" s="280"/>
      <c r="G973" s="281">
        <f>G972+G970</f>
        <v>436</v>
      </c>
      <c r="H973" s="281">
        <f t="shared" ref="H973:U973" si="855">H972+H970</f>
        <v>652</v>
      </c>
      <c r="I973" s="281">
        <f t="shared" si="855"/>
        <v>651</v>
      </c>
      <c r="J973" s="281">
        <f t="shared" si="855"/>
        <v>830</v>
      </c>
      <c r="K973" s="281">
        <f t="shared" si="855"/>
        <v>967</v>
      </c>
      <c r="L973" s="282">
        <f t="shared" si="855"/>
        <v>251</v>
      </c>
      <c r="M973" s="282">
        <f t="shared" si="855"/>
        <v>194</v>
      </c>
      <c r="N973" s="282">
        <f t="shared" si="855"/>
        <v>218</v>
      </c>
      <c r="O973" s="282">
        <f t="shared" si="855"/>
        <v>206</v>
      </c>
      <c r="P973" s="281">
        <f t="shared" si="855"/>
        <v>869</v>
      </c>
      <c r="Q973" s="282">
        <f t="shared" si="855"/>
        <v>172</v>
      </c>
      <c r="R973" s="282">
        <f t="shared" si="855"/>
        <v>153</v>
      </c>
      <c r="S973" s="282">
        <f t="shared" si="855"/>
        <v>218</v>
      </c>
      <c r="T973" s="282">
        <f t="shared" si="855"/>
        <v>112</v>
      </c>
      <c r="U973" s="281">
        <f t="shared" si="855"/>
        <v>601</v>
      </c>
      <c r="V973" s="282">
        <f t="shared" ref="V973:AL973" si="856">V972+V970</f>
        <v>119</v>
      </c>
      <c r="W973" s="282">
        <f t="shared" si="856"/>
        <v>73</v>
      </c>
      <c r="X973" s="282">
        <f t="shared" si="856"/>
        <v>184</v>
      </c>
      <c r="Y973" s="282">
        <f t="shared" ca="1" si="856"/>
        <v>147</v>
      </c>
      <c r="Z973" s="281">
        <f t="shared" ca="1" si="856"/>
        <v>523</v>
      </c>
      <c r="AA973" s="282">
        <f ca="1">AA972+AA970</f>
        <v>0</v>
      </c>
      <c r="AB973" s="282">
        <f ca="1">AB972+AB970</f>
        <v>0</v>
      </c>
      <c r="AC973" s="282">
        <f t="shared" ca="1" si="856"/>
        <v>125.89293047396983</v>
      </c>
      <c r="AD973" s="282">
        <f t="shared" ca="1" si="856"/>
        <v>105.78667839320626</v>
      </c>
      <c r="AE973" s="281">
        <f t="shared" ca="1" si="856"/>
        <v>303.85603192178513</v>
      </c>
      <c r="AF973" s="281">
        <f t="shared" ca="1" si="856"/>
        <v>303.85603192178479</v>
      </c>
      <c r="AG973" s="281">
        <f t="shared" ca="1" si="856"/>
        <v>303.85603192178479</v>
      </c>
      <c r="AH973" s="281">
        <f t="shared" ca="1" si="856"/>
        <v>321.45068408904575</v>
      </c>
      <c r="AI973" s="281">
        <f t="shared" ca="1" si="856"/>
        <v>321.45068408904575</v>
      </c>
      <c r="AJ973" s="281">
        <f t="shared" ca="1" si="856"/>
        <v>321.45068408904575</v>
      </c>
      <c r="AK973" s="281">
        <f t="shared" ca="1" si="856"/>
        <v>321.45068408904575</v>
      </c>
      <c r="AL973" s="281">
        <f t="shared" ca="1" si="856"/>
        <v>321.45068408904575</v>
      </c>
      <c r="AM973" s="651"/>
      <c r="AN973" s="264"/>
      <c r="AO973" s="264"/>
    </row>
    <row r="974" spans="2:41" s="262" customFormat="1">
      <c r="B974" s="279" t="s">
        <v>64</v>
      </c>
      <c r="C974" s="263" t="s">
        <v>65</v>
      </c>
      <c r="D974" s="269" t="s">
        <v>162</v>
      </c>
      <c r="E974" s="269"/>
      <c r="F974" s="264"/>
      <c r="G974" s="270">
        <v>6</v>
      </c>
      <c r="H974" s="270">
        <v>-50</v>
      </c>
      <c r="I974" s="270">
        <v>-42</v>
      </c>
      <c r="J974" s="270">
        <v>30</v>
      </c>
      <c r="K974" s="270">
        <v>-28</v>
      </c>
      <c r="L974" s="271">
        <v>-9</v>
      </c>
      <c r="M974" s="271">
        <v>3</v>
      </c>
      <c r="N974" s="271">
        <v>854</v>
      </c>
      <c r="O974" s="271">
        <f>P974-L974-M974-N974</f>
        <v>-28</v>
      </c>
      <c r="P974" s="270">
        <v>820</v>
      </c>
      <c r="Q974" s="271">
        <v>14</v>
      </c>
      <c r="R974" s="271">
        <v>-24</v>
      </c>
      <c r="S974" s="271">
        <v>-20</v>
      </c>
      <c r="T974" s="271">
        <v>-33</v>
      </c>
      <c r="U974" s="270">
        <v>-63</v>
      </c>
      <c r="V974" s="271">
        <v>-15</v>
      </c>
      <c r="W974" s="271">
        <v>-27</v>
      </c>
      <c r="X974" s="271">
        <v>-7</v>
      </c>
      <c r="Y974" s="271">
        <v>-49</v>
      </c>
      <c r="Z974" s="270">
        <f>SUM(V974:Y974)</f>
        <v>-98</v>
      </c>
      <c r="AA974" s="215">
        <v>3</v>
      </c>
      <c r="AB974" s="217">
        <f>(AE974-AA974)/3</f>
        <v>-33.666666666666664</v>
      </c>
      <c r="AC974" s="217">
        <f>(AE974-AA974-AB974)/2</f>
        <v>-33.666666666666671</v>
      </c>
      <c r="AD974" s="217">
        <f>AE974-AA974-AB974-AC974</f>
        <v>-33.666666666666671</v>
      </c>
      <c r="AE974" s="312">
        <f>Z974</f>
        <v>-98</v>
      </c>
      <c r="AF974" s="312">
        <f>AE974</f>
        <v>-98</v>
      </c>
      <c r="AG974" s="312">
        <f t="shared" ref="AG974:AL974" si="857">AF974</f>
        <v>-98</v>
      </c>
      <c r="AH974" s="312">
        <f t="shared" si="857"/>
        <v>-98</v>
      </c>
      <c r="AI974" s="312">
        <f t="shared" si="857"/>
        <v>-98</v>
      </c>
      <c r="AJ974" s="312">
        <f t="shared" si="857"/>
        <v>-98</v>
      </c>
      <c r="AK974" s="312">
        <f t="shared" si="857"/>
        <v>-98</v>
      </c>
      <c r="AL974" s="312">
        <f t="shared" si="857"/>
        <v>-98</v>
      </c>
      <c r="AM974" s="651"/>
      <c r="AN974" s="264"/>
      <c r="AO974" s="264"/>
    </row>
    <row r="975" spans="2:41" s="262" customFormat="1">
      <c r="B975" s="279"/>
      <c r="C975" s="263"/>
      <c r="D975" s="269" t="s">
        <v>189</v>
      </c>
      <c r="E975" s="269"/>
      <c r="F975" s="264"/>
      <c r="G975" s="270"/>
      <c r="H975" s="270"/>
      <c r="I975" s="270">
        <v>-31</v>
      </c>
      <c r="J975" s="270">
        <v>-46</v>
      </c>
      <c r="K975" s="270">
        <v>0</v>
      </c>
      <c r="L975" s="271">
        <v>0</v>
      </c>
      <c r="M975" s="271">
        <v>0</v>
      </c>
      <c r="N975" s="271">
        <v>0</v>
      </c>
      <c r="O975" s="271">
        <f>P975-L975-M975-N975</f>
        <v>-31</v>
      </c>
      <c r="P975" s="270">
        <v>-31</v>
      </c>
      <c r="Q975" s="271">
        <v>0</v>
      </c>
      <c r="R975" s="271">
        <f>(U975-Q975)/3</f>
        <v>0</v>
      </c>
      <c r="S975" s="271">
        <f>(U975-Q975-R975)/2</f>
        <v>0</v>
      </c>
      <c r="T975" s="271">
        <v>0</v>
      </c>
      <c r="U975" s="270">
        <v>0</v>
      </c>
      <c r="V975" s="271">
        <v>0</v>
      </c>
      <c r="W975" s="271">
        <f>Z975</f>
        <v>0</v>
      </c>
      <c r="X975" s="271">
        <f>Z975</f>
        <v>0</v>
      </c>
      <c r="Y975" s="271">
        <f>AA975</f>
        <v>0</v>
      </c>
      <c r="Z975" s="270">
        <v>0</v>
      </c>
      <c r="AA975" s="271">
        <f>AE975</f>
        <v>0</v>
      </c>
      <c r="AB975" s="271">
        <f>AE975</f>
        <v>0</v>
      </c>
      <c r="AC975" s="271">
        <f>AE975</f>
        <v>0</v>
      </c>
      <c r="AD975" s="271">
        <f>AE975</f>
        <v>0</v>
      </c>
      <c r="AE975" s="312">
        <v>0</v>
      </c>
      <c r="AF975" s="312">
        <f>AE975</f>
        <v>0</v>
      </c>
      <c r="AG975" s="312">
        <f t="shared" ref="AG975:AL975" si="858">AF975</f>
        <v>0</v>
      </c>
      <c r="AH975" s="312">
        <f t="shared" si="858"/>
        <v>0</v>
      </c>
      <c r="AI975" s="312">
        <f t="shared" si="858"/>
        <v>0</v>
      </c>
      <c r="AJ975" s="312">
        <f t="shared" si="858"/>
        <v>0</v>
      </c>
      <c r="AK975" s="312">
        <f t="shared" si="858"/>
        <v>0</v>
      </c>
      <c r="AL975" s="312">
        <f t="shared" si="858"/>
        <v>0</v>
      </c>
      <c r="AM975" s="651"/>
      <c r="AN975" s="264"/>
      <c r="AO975" s="264"/>
    </row>
    <row r="976" spans="2:41" s="262" customFormat="1">
      <c r="B976" s="279" t="s">
        <v>64</v>
      </c>
      <c r="C976" s="263" t="s">
        <v>65</v>
      </c>
      <c r="D976" s="183" t="s">
        <v>164</v>
      </c>
      <c r="E976" s="734"/>
      <c r="F976" s="280"/>
      <c r="G976" s="281">
        <f>G973+G974+G975</f>
        <v>442</v>
      </c>
      <c r="H976" s="281">
        <f t="shared" ref="H976:U976" si="859">H973+H974+H975</f>
        <v>602</v>
      </c>
      <c r="I976" s="281">
        <f t="shared" si="859"/>
        <v>578</v>
      </c>
      <c r="J976" s="281">
        <f t="shared" si="859"/>
        <v>814</v>
      </c>
      <c r="K976" s="281">
        <f t="shared" si="859"/>
        <v>939</v>
      </c>
      <c r="L976" s="282">
        <f t="shared" si="859"/>
        <v>242</v>
      </c>
      <c r="M976" s="282">
        <f t="shared" si="859"/>
        <v>197</v>
      </c>
      <c r="N976" s="282">
        <f t="shared" si="859"/>
        <v>1072</v>
      </c>
      <c r="O976" s="282">
        <f t="shared" si="859"/>
        <v>147</v>
      </c>
      <c r="P976" s="281">
        <f t="shared" si="859"/>
        <v>1658</v>
      </c>
      <c r="Q976" s="282">
        <f t="shared" si="859"/>
        <v>186</v>
      </c>
      <c r="R976" s="282">
        <f t="shared" si="859"/>
        <v>129</v>
      </c>
      <c r="S976" s="282">
        <f t="shared" si="859"/>
        <v>198</v>
      </c>
      <c r="T976" s="282">
        <f t="shared" si="859"/>
        <v>79</v>
      </c>
      <c r="U976" s="281">
        <f t="shared" si="859"/>
        <v>538</v>
      </c>
      <c r="V976" s="282">
        <f>V973+V974+V975</f>
        <v>104</v>
      </c>
      <c r="W976" s="282">
        <f t="shared" ref="W976:AF976" si="860">W973+W974+W975</f>
        <v>46</v>
      </c>
      <c r="X976" s="282">
        <f t="shared" si="860"/>
        <v>177</v>
      </c>
      <c r="Y976" s="282">
        <f ca="1">Y973+Y974+Y975</f>
        <v>0</v>
      </c>
      <c r="Z976" s="281">
        <f ca="1">Z973+Z974+Z975</f>
        <v>0</v>
      </c>
      <c r="AA976" s="282">
        <f t="shared" ca="1" si="860"/>
        <v>22.264714134137407</v>
      </c>
      <c r="AB976" s="282">
        <f t="shared" ca="1" si="860"/>
        <v>12.41170892047127</v>
      </c>
      <c r="AC976" s="282">
        <f t="shared" ca="1" si="860"/>
        <v>107.14293047396983</v>
      </c>
      <c r="AD976" s="282">
        <f t="shared" ca="1" si="860"/>
        <v>87.036678393206259</v>
      </c>
      <c r="AE976" s="281">
        <f t="shared" ca="1" si="860"/>
        <v>228.85603192178513</v>
      </c>
      <c r="AF976" s="281">
        <f t="shared" ca="1" si="860"/>
        <v>228.85603192178479</v>
      </c>
      <c r="AG976" s="281">
        <f t="shared" ref="AG976:AL976" ca="1" si="861">AG973+AG974+AG975</f>
        <v>228.85603192178479</v>
      </c>
      <c r="AH976" s="281">
        <f t="shared" ca="1" si="861"/>
        <v>246.45068408904575</v>
      </c>
      <c r="AI976" s="281">
        <f t="shared" ca="1" si="861"/>
        <v>246.45068408904575</v>
      </c>
      <c r="AJ976" s="281">
        <f t="shared" ca="1" si="861"/>
        <v>246.45068408904575</v>
      </c>
      <c r="AK976" s="281">
        <f t="shared" ca="1" si="861"/>
        <v>246.45068408904575</v>
      </c>
      <c r="AL976" s="281">
        <f t="shared" ca="1" si="861"/>
        <v>246.45068408904575</v>
      </c>
      <c r="AM976" s="651"/>
      <c r="AN976" s="264"/>
      <c r="AO976" s="264"/>
    </row>
    <row r="977" spans="2:41" s="262" customFormat="1">
      <c r="B977" s="279" t="s">
        <v>64</v>
      </c>
      <c r="C977" s="263" t="s">
        <v>65</v>
      </c>
      <c r="D977" s="262" t="s">
        <v>165</v>
      </c>
      <c r="F977" s="264"/>
      <c r="G977" s="270">
        <v>-35</v>
      </c>
      <c r="H977" s="270">
        <v>-32</v>
      </c>
      <c r="I977" s="270">
        <v>-32</v>
      </c>
      <c r="J977" s="270">
        <v>-27</v>
      </c>
      <c r="K977" s="270">
        <v>-31</v>
      </c>
      <c r="L977" s="271">
        <v>-10</v>
      </c>
      <c r="M977" s="271">
        <v>-8</v>
      </c>
      <c r="N977" s="271">
        <v>-9</v>
      </c>
      <c r="O977" s="271">
        <f>P977-L977-M977-N977</f>
        <v>-10</v>
      </c>
      <c r="P977" s="270">
        <v>-37</v>
      </c>
      <c r="Q977" s="271">
        <v>-11</v>
      </c>
      <c r="R977" s="271">
        <v>-12</v>
      </c>
      <c r="S977" s="271">
        <v>-11</v>
      </c>
      <c r="T977" s="271">
        <v>-13</v>
      </c>
      <c r="U977" s="270">
        <v>-47</v>
      </c>
      <c r="V977" s="271">
        <v>-10</v>
      </c>
      <c r="W977" s="271">
        <v>-11</v>
      </c>
      <c r="X977" s="271">
        <v>-12</v>
      </c>
      <c r="Y977" s="217">
        <v>-11</v>
      </c>
      <c r="Z977" s="270">
        <f>SUM(V977:Y977)</f>
        <v>-44</v>
      </c>
      <c r="AA977" s="761">
        <f>AE977/4</f>
        <v>-11</v>
      </c>
      <c r="AB977" s="217">
        <f>(AE977-AA977)/3</f>
        <v>-11</v>
      </c>
      <c r="AC977" s="217">
        <f>(AE977-AA977-AB977)/2</f>
        <v>-11</v>
      </c>
      <c r="AD977" s="217">
        <f>AE977-AA977-AB977-AC977</f>
        <v>-11</v>
      </c>
      <c r="AE977" s="312">
        <f>Z977</f>
        <v>-44</v>
      </c>
      <c r="AF977" s="312">
        <f>AE977</f>
        <v>-44</v>
      </c>
      <c r="AG977" s="312">
        <f t="shared" ref="AG977:AL977" si="862">AF977</f>
        <v>-44</v>
      </c>
      <c r="AH977" s="312">
        <f t="shared" si="862"/>
        <v>-44</v>
      </c>
      <c r="AI977" s="312">
        <f t="shared" si="862"/>
        <v>-44</v>
      </c>
      <c r="AJ977" s="312">
        <f t="shared" si="862"/>
        <v>-44</v>
      </c>
      <c r="AK977" s="312">
        <f t="shared" si="862"/>
        <v>-44</v>
      </c>
      <c r="AL977" s="312">
        <f t="shared" si="862"/>
        <v>-44</v>
      </c>
      <c r="AM977" s="651"/>
      <c r="AN977" s="264"/>
      <c r="AO977" s="264"/>
    </row>
    <row r="978" spans="2:41" s="262" customFormat="1">
      <c r="B978" s="279" t="s">
        <v>64</v>
      </c>
      <c r="C978" s="263" t="s">
        <v>65</v>
      </c>
      <c r="D978" s="262" t="s">
        <v>175</v>
      </c>
      <c r="F978" s="264"/>
      <c r="G978" s="270">
        <v>7</v>
      </c>
      <c r="H978" s="270">
        <v>12</v>
      </c>
      <c r="I978" s="270">
        <v>34</v>
      </c>
      <c r="J978" s="270">
        <v>-5</v>
      </c>
      <c r="K978" s="270">
        <v>-9</v>
      </c>
      <c r="L978" s="271">
        <v>3</v>
      </c>
      <c r="M978" s="271">
        <v>2</v>
      </c>
      <c r="N978" s="271">
        <v>0</v>
      </c>
      <c r="O978" s="271">
        <f>P978-L978-M978-N978</f>
        <v>6</v>
      </c>
      <c r="P978" s="270">
        <v>11</v>
      </c>
      <c r="Q978" s="271">
        <v>-3</v>
      </c>
      <c r="R978" s="271">
        <v>-2</v>
      </c>
      <c r="S978" s="271">
        <v>-1</v>
      </c>
      <c r="T978" s="271">
        <v>-3</v>
      </c>
      <c r="U978" s="270">
        <v>-9</v>
      </c>
      <c r="V978" s="271">
        <v>11</v>
      </c>
      <c r="W978" s="271">
        <v>-5</v>
      </c>
      <c r="X978" s="271">
        <v>-3</v>
      </c>
      <c r="Y978" s="217">
        <v>-7</v>
      </c>
      <c r="Z978" s="270">
        <f>SUM(V978:Y978)</f>
        <v>-4</v>
      </c>
      <c r="AA978" s="761">
        <f>AE978/4</f>
        <v>-1</v>
      </c>
      <c r="AB978" s="217">
        <f>(AE978-AA978)/3</f>
        <v>-1</v>
      </c>
      <c r="AC978" s="217">
        <f>(AE978-AA978-AB978)/2</f>
        <v>-1</v>
      </c>
      <c r="AD978" s="1118">
        <f>AE978-AA978-AB978-AC978</f>
        <v>-1</v>
      </c>
      <c r="AE978" s="1116">
        <f>Z978</f>
        <v>-4</v>
      </c>
      <c r="AF978" s="1116">
        <f>AE978</f>
        <v>-4</v>
      </c>
      <c r="AG978" s="1116">
        <f t="shared" ref="AG978:AL978" si="863">AF978</f>
        <v>-4</v>
      </c>
      <c r="AH978" s="1116">
        <f t="shared" si="863"/>
        <v>-4</v>
      </c>
      <c r="AI978" s="1116">
        <f t="shared" si="863"/>
        <v>-4</v>
      </c>
      <c r="AJ978" s="1116">
        <f t="shared" si="863"/>
        <v>-4</v>
      </c>
      <c r="AK978" s="1116">
        <f t="shared" si="863"/>
        <v>-4</v>
      </c>
      <c r="AL978" s="1116">
        <f t="shared" si="863"/>
        <v>-4</v>
      </c>
      <c r="AM978" s="651"/>
      <c r="AN978" s="264"/>
      <c r="AO978" s="264"/>
    </row>
    <row r="979" spans="2:41" s="262" customFormat="1">
      <c r="B979" s="279" t="s">
        <v>64</v>
      </c>
      <c r="C979" s="263" t="s">
        <v>65</v>
      </c>
      <c r="D979" s="183" t="s">
        <v>166</v>
      </c>
      <c r="E979" s="734"/>
      <c r="F979" s="280"/>
      <c r="G979" s="281">
        <f>SUM(G976:G978)</f>
        <v>414</v>
      </c>
      <c r="H979" s="281">
        <f t="shared" ref="H979:AD979" si="864">SUM(H976:H978)</f>
        <v>582</v>
      </c>
      <c r="I979" s="281">
        <f t="shared" si="864"/>
        <v>580</v>
      </c>
      <c r="J979" s="281">
        <f t="shared" si="864"/>
        <v>782</v>
      </c>
      <c r="K979" s="281">
        <f t="shared" si="864"/>
        <v>899</v>
      </c>
      <c r="L979" s="282">
        <f t="shared" si="864"/>
        <v>235</v>
      </c>
      <c r="M979" s="282">
        <f t="shared" si="864"/>
        <v>191</v>
      </c>
      <c r="N979" s="282">
        <f t="shared" si="864"/>
        <v>1063</v>
      </c>
      <c r="O979" s="282">
        <f t="shared" si="864"/>
        <v>143</v>
      </c>
      <c r="P979" s="281">
        <f t="shared" si="864"/>
        <v>1632</v>
      </c>
      <c r="Q979" s="282">
        <f t="shared" si="864"/>
        <v>172</v>
      </c>
      <c r="R979" s="282">
        <f t="shared" si="864"/>
        <v>115</v>
      </c>
      <c r="S979" s="282">
        <f t="shared" si="864"/>
        <v>186</v>
      </c>
      <c r="T979" s="282">
        <f t="shared" si="864"/>
        <v>63</v>
      </c>
      <c r="U979" s="281">
        <f t="shared" si="864"/>
        <v>482</v>
      </c>
      <c r="V979" s="282">
        <f t="shared" si="864"/>
        <v>105</v>
      </c>
      <c r="W979" s="282">
        <f t="shared" si="864"/>
        <v>30</v>
      </c>
      <c r="X979" s="282">
        <f t="shared" si="864"/>
        <v>162</v>
      </c>
      <c r="Y979" s="282">
        <f ca="1">SUM(Y976:Y978)</f>
        <v>0</v>
      </c>
      <c r="Z979" s="281">
        <f t="shared" ref="Z979:AF979" ca="1" si="865">SUM(Z976:Z978)</f>
        <v>404</v>
      </c>
      <c r="AA979" s="282">
        <f ca="1">SUM(AA976:AA978)</f>
        <v>11.264714134137407</v>
      </c>
      <c r="AB979" s="282">
        <f t="shared" ca="1" si="864"/>
        <v>1.4117089204712698</v>
      </c>
      <c r="AC979" s="282">
        <f t="shared" ca="1" si="864"/>
        <v>96.142930473969827</v>
      </c>
      <c r="AD979" s="1117">
        <f t="shared" ca="1" si="864"/>
        <v>76.036678393206259</v>
      </c>
      <c r="AE979" s="1025">
        <f t="shared" ca="1" si="865"/>
        <v>184.85603192178513</v>
      </c>
      <c r="AF979" s="1025">
        <f t="shared" ca="1" si="865"/>
        <v>184.85603192178479</v>
      </c>
      <c r="AG979" s="1025">
        <f t="shared" ref="AG979:AL979" ca="1" si="866">SUM(AG976:AG978)</f>
        <v>184.85603192178479</v>
      </c>
      <c r="AH979" s="1025">
        <f t="shared" ca="1" si="866"/>
        <v>202.45068408904575</v>
      </c>
      <c r="AI979" s="1025">
        <f t="shared" ca="1" si="866"/>
        <v>202.45068408904575</v>
      </c>
      <c r="AJ979" s="1025">
        <f t="shared" ca="1" si="866"/>
        <v>202.45068408904575</v>
      </c>
      <c r="AK979" s="1025">
        <f t="shared" ca="1" si="866"/>
        <v>202.45068408904575</v>
      </c>
      <c r="AL979" s="1025">
        <f t="shared" ca="1" si="866"/>
        <v>202.45068408904575</v>
      </c>
      <c r="AM979" s="651"/>
      <c r="AN979" s="264"/>
      <c r="AO979" s="264"/>
    </row>
    <row r="980" spans="2:41" s="262" customFormat="1">
      <c r="B980" s="279" t="s">
        <v>221</v>
      </c>
      <c r="C980" s="263" t="s">
        <v>103</v>
      </c>
      <c r="D980" s="284" t="s">
        <v>173</v>
      </c>
      <c r="E980" s="284"/>
      <c r="F980" s="276"/>
      <c r="G980" s="285">
        <v>0.3</v>
      </c>
      <c r="H980" s="285">
        <v>0.3</v>
      </c>
      <c r="I980" s="285">
        <v>0.3</v>
      </c>
      <c r="J980" s="285">
        <v>0.3</v>
      </c>
      <c r="K980" s="285">
        <v>0.3</v>
      </c>
      <c r="L980" s="286">
        <v>0.3</v>
      </c>
      <c r="M980" s="286">
        <v>0.3</v>
      </c>
      <c r="N980" s="286">
        <v>0.3</v>
      </c>
      <c r="O980" s="286">
        <v>0.3</v>
      </c>
      <c r="P980" s="285">
        <v>0.3</v>
      </c>
      <c r="Q980" s="286">
        <v>0.3</v>
      </c>
      <c r="R980" s="286">
        <v>0.3</v>
      </c>
      <c r="S980" s="286">
        <v>0.3</v>
      </c>
      <c r="T980" s="286">
        <v>0.3</v>
      </c>
      <c r="U980" s="285">
        <v>0.3</v>
      </c>
      <c r="V980" s="286">
        <v>0.3</v>
      </c>
      <c r="W980" s="286">
        <f>Z980</f>
        <v>0.3</v>
      </c>
      <c r="X980" s="286">
        <f>AA980</f>
        <v>0.3</v>
      </c>
      <c r="Y980" s="286">
        <f>AB980</f>
        <v>0.3</v>
      </c>
      <c r="Z980" s="285">
        <v>0.3</v>
      </c>
      <c r="AA980" s="1024">
        <f>AE980</f>
        <v>0.3</v>
      </c>
      <c r="AB980" s="1024">
        <f>AE980</f>
        <v>0.3</v>
      </c>
      <c r="AC980" s="1024">
        <f>AE980</f>
        <v>0.3</v>
      </c>
      <c r="AD980" s="1024">
        <f>AE980</f>
        <v>0.3</v>
      </c>
      <c r="AE980" s="1010">
        <f>Z980</f>
        <v>0.3</v>
      </c>
      <c r="AF980" s="1010">
        <f>AE980</f>
        <v>0.3</v>
      </c>
      <c r="AG980" s="1010">
        <f t="shared" ref="AG980:AL980" si="867">AF980</f>
        <v>0.3</v>
      </c>
      <c r="AH980" s="1010">
        <f t="shared" si="867"/>
        <v>0.3</v>
      </c>
      <c r="AI980" s="1010">
        <f t="shared" si="867"/>
        <v>0.3</v>
      </c>
      <c r="AJ980" s="1010">
        <f t="shared" si="867"/>
        <v>0.3</v>
      </c>
      <c r="AK980" s="1010">
        <f t="shared" si="867"/>
        <v>0.3</v>
      </c>
      <c r="AL980" s="1010">
        <f t="shared" si="867"/>
        <v>0.3</v>
      </c>
      <c r="AM980" s="651"/>
      <c r="AN980" s="264"/>
      <c r="AO980" s="264"/>
    </row>
    <row r="981" spans="2:41" s="262" customFormat="1">
      <c r="D981" s="262" t="s">
        <v>167</v>
      </c>
      <c r="F981" s="264"/>
      <c r="G981" s="266">
        <f>-G979*G980</f>
        <v>-124.19999999999999</v>
      </c>
      <c r="H981" s="266">
        <f t="shared" ref="H981:P981" si="868">-H979*H980</f>
        <v>-174.6</v>
      </c>
      <c r="I981" s="266">
        <f t="shared" si="868"/>
        <v>-174</v>
      </c>
      <c r="J981" s="266">
        <f t="shared" si="868"/>
        <v>-234.6</v>
      </c>
      <c r="K981" s="266">
        <f t="shared" si="868"/>
        <v>-269.7</v>
      </c>
      <c r="L981" s="267">
        <f>-L979*L980</f>
        <v>-70.5</v>
      </c>
      <c r="M981" s="267">
        <f>-M979*M980</f>
        <v>-57.3</v>
      </c>
      <c r="N981" s="267">
        <f>-N979*N980</f>
        <v>-318.89999999999998</v>
      </c>
      <c r="O981" s="267">
        <f>-O979*O980</f>
        <v>-42.9</v>
      </c>
      <c r="P981" s="266">
        <f t="shared" si="868"/>
        <v>-489.59999999999997</v>
      </c>
      <c r="Q981" s="267">
        <f t="shared" ref="Q981:Z981" si="869">-Q979*Q980</f>
        <v>-51.6</v>
      </c>
      <c r="R981" s="267">
        <f t="shared" si="869"/>
        <v>-34.5</v>
      </c>
      <c r="S981" s="267">
        <f t="shared" si="869"/>
        <v>-55.8</v>
      </c>
      <c r="T981" s="267">
        <f t="shared" si="869"/>
        <v>-18.899999999999999</v>
      </c>
      <c r="U981" s="266">
        <f>-U979*U980</f>
        <v>-144.6</v>
      </c>
      <c r="V981" s="267">
        <f>-V979*V980</f>
        <v>-31.5</v>
      </c>
      <c r="W981" s="267">
        <f>-W979*W980</f>
        <v>-9</v>
      </c>
      <c r="X981" s="267">
        <f>-X979*X980</f>
        <v>-48.6</v>
      </c>
      <c r="Y981" s="267">
        <f ca="1">-Y979*Y980</f>
        <v>-32.1</v>
      </c>
      <c r="Z981" s="266">
        <f t="shared" ca="1" si="869"/>
        <v>-121.19999999999999</v>
      </c>
      <c r="AA981" s="267">
        <f t="shared" ref="AA981:AL981" ca="1" si="870">-AA979*AA980</f>
        <v>-3.3794142402412217</v>
      </c>
      <c r="AB981" s="267">
        <f t="shared" ca="1" si="870"/>
        <v>-0.42351267614138094</v>
      </c>
      <c r="AC981" s="267">
        <f t="shared" ca="1" si="870"/>
        <v>-28.842879142190945</v>
      </c>
      <c r="AD981" s="267">
        <f t="shared" ca="1" si="870"/>
        <v>-22.811003517961876</v>
      </c>
      <c r="AE981" s="266">
        <f t="shared" ca="1" si="870"/>
        <v>-55.456809576535541</v>
      </c>
      <c r="AF981" s="266">
        <f t="shared" ca="1" si="870"/>
        <v>-55.456809576535434</v>
      </c>
      <c r="AG981" s="266">
        <f t="shared" ca="1" si="870"/>
        <v>-55.456809576535434</v>
      </c>
      <c r="AH981" s="266">
        <f t="shared" ca="1" si="870"/>
        <v>-60.735205226713724</v>
      </c>
      <c r="AI981" s="266">
        <f t="shared" ca="1" si="870"/>
        <v>-60.735205226713724</v>
      </c>
      <c r="AJ981" s="266">
        <f t="shared" ca="1" si="870"/>
        <v>-60.735205226713724</v>
      </c>
      <c r="AK981" s="266">
        <f t="shared" ca="1" si="870"/>
        <v>-60.735205226713724</v>
      </c>
      <c r="AL981" s="266">
        <f t="shared" ca="1" si="870"/>
        <v>-60.735205226713724</v>
      </c>
      <c r="AM981" s="651"/>
      <c r="AN981" s="264"/>
      <c r="AO981" s="264"/>
    </row>
    <row r="982" spans="2:41" s="262" customFormat="1">
      <c r="B982" s="279" t="s">
        <v>64</v>
      </c>
      <c r="C982" s="263" t="s">
        <v>65</v>
      </c>
      <c r="D982" s="283" t="s">
        <v>262</v>
      </c>
      <c r="E982" s="283"/>
      <c r="F982" s="280"/>
      <c r="G982" s="281">
        <f>G979+G981</f>
        <v>289.8</v>
      </c>
      <c r="H982" s="281">
        <f t="shared" ref="H982:P982" si="871">H979+H981</f>
        <v>407.4</v>
      </c>
      <c r="I982" s="281">
        <f t="shared" si="871"/>
        <v>406</v>
      </c>
      <c r="J982" s="281">
        <f t="shared" si="871"/>
        <v>547.4</v>
      </c>
      <c r="K982" s="281">
        <f t="shared" si="871"/>
        <v>629.29999999999995</v>
      </c>
      <c r="L982" s="282">
        <f>L979+L981</f>
        <v>164.5</v>
      </c>
      <c r="M982" s="282">
        <f>M979+M981</f>
        <v>133.69999999999999</v>
      </c>
      <c r="N982" s="282">
        <f>N979+N981</f>
        <v>744.1</v>
      </c>
      <c r="O982" s="282">
        <f>O979+O981</f>
        <v>100.1</v>
      </c>
      <c r="P982" s="281">
        <f t="shared" si="871"/>
        <v>1142.4000000000001</v>
      </c>
      <c r="Q982" s="282">
        <f t="shared" ref="Q982:AD982" si="872">Q979+Q981</f>
        <v>120.4</v>
      </c>
      <c r="R982" s="282">
        <f t="shared" si="872"/>
        <v>80.5</v>
      </c>
      <c r="S982" s="282">
        <f t="shared" si="872"/>
        <v>130.19999999999999</v>
      </c>
      <c r="T982" s="282">
        <f t="shared" si="872"/>
        <v>44.1</v>
      </c>
      <c r="U982" s="281">
        <f>U979+U981</f>
        <v>337.4</v>
      </c>
      <c r="V982" s="282">
        <f>V979+V981</f>
        <v>73.5</v>
      </c>
      <c r="W982" s="282">
        <f>W979+W981</f>
        <v>21</v>
      </c>
      <c r="X982" s="282">
        <f>X979+X981</f>
        <v>113.4</v>
      </c>
      <c r="Y982" s="282">
        <f ca="1">Y979+Y981</f>
        <v>74.900000000000006</v>
      </c>
      <c r="Z982" s="281">
        <f t="shared" ca="1" si="872"/>
        <v>282.8</v>
      </c>
      <c r="AA982" s="282">
        <f t="shared" ca="1" si="872"/>
        <v>7.8852998938961854</v>
      </c>
      <c r="AB982" s="282">
        <f t="shared" ca="1" si="872"/>
        <v>0.98819624432988884</v>
      </c>
      <c r="AC982" s="282">
        <f t="shared" ca="1" si="872"/>
        <v>67.300051331778889</v>
      </c>
      <c r="AD982" s="282">
        <f t="shared" ca="1" si="872"/>
        <v>53.22567487524438</v>
      </c>
      <c r="AE982" s="281">
        <f ca="1">AE979+AE981</f>
        <v>129.3992223452496</v>
      </c>
      <c r="AF982" s="281">
        <f ca="1">AF979+AF981</f>
        <v>129.39922234524937</v>
      </c>
      <c r="AG982" s="281">
        <f t="shared" ref="AG982:AL982" ca="1" si="873">AG979+AG981</f>
        <v>129.39922234524937</v>
      </c>
      <c r="AH982" s="281">
        <f t="shared" ca="1" si="873"/>
        <v>141.71547886233202</v>
      </c>
      <c r="AI982" s="281">
        <f t="shared" ca="1" si="873"/>
        <v>141.71547886233202</v>
      </c>
      <c r="AJ982" s="281">
        <f t="shared" ca="1" si="873"/>
        <v>141.71547886233202</v>
      </c>
      <c r="AK982" s="281">
        <f t="shared" ca="1" si="873"/>
        <v>141.71547886233202</v>
      </c>
      <c r="AL982" s="281">
        <f t="shared" ca="1" si="873"/>
        <v>141.71547886233202</v>
      </c>
      <c r="AM982" s="651"/>
      <c r="AN982" s="264"/>
      <c r="AO982" s="264"/>
    </row>
    <row r="983" spans="2:41" s="262" customFormat="1">
      <c r="B983" s="266"/>
      <c r="C983" s="268"/>
      <c r="D983" s="269"/>
      <c r="E983" s="269"/>
      <c r="F983" s="264"/>
      <c r="G983" s="266"/>
      <c r="H983" s="266"/>
      <c r="I983" s="266"/>
      <c r="J983" s="266"/>
      <c r="K983" s="266"/>
      <c r="L983" s="267"/>
      <c r="M983" s="267"/>
      <c r="N983" s="267"/>
      <c r="O983" s="267"/>
      <c r="P983" s="266"/>
      <c r="Q983" s="267"/>
      <c r="R983" s="267"/>
      <c r="S983" s="267"/>
      <c r="T983" s="267"/>
      <c r="U983" s="264"/>
      <c r="V983" s="267"/>
      <c r="W983" s="267"/>
      <c r="X983" s="267"/>
      <c r="Y983" s="267"/>
      <c r="Z983" s="264"/>
      <c r="AA983" s="265"/>
      <c r="AB983" s="265"/>
      <c r="AC983" s="265"/>
      <c r="AD983" s="265"/>
      <c r="AE983" s="264"/>
      <c r="AF983" s="264"/>
      <c r="AG983" s="264"/>
      <c r="AH983" s="264"/>
      <c r="AI983" s="264"/>
      <c r="AJ983" s="264"/>
      <c r="AK983" s="264"/>
      <c r="AL983" s="264"/>
      <c r="AM983" s="651"/>
      <c r="AN983" s="264"/>
      <c r="AO983" s="264"/>
    </row>
    <row r="984" spans="2:41" s="262" customFormat="1">
      <c r="B984" s="266"/>
      <c r="C984" s="268"/>
      <c r="D984" s="269"/>
      <c r="E984" s="269"/>
      <c r="F984" s="264"/>
      <c r="G984" s="266"/>
      <c r="H984" s="266"/>
      <c r="I984" s="266"/>
      <c r="J984" s="266"/>
      <c r="K984" s="266"/>
      <c r="L984" s="267"/>
      <c r="M984" s="267"/>
      <c r="N984" s="267"/>
      <c r="O984" s="267"/>
      <c r="P984" s="266"/>
      <c r="Q984" s="267"/>
      <c r="R984" s="267"/>
      <c r="S984" s="267"/>
      <c r="T984" s="267"/>
      <c r="U984" s="264"/>
      <c r="V984" s="267"/>
      <c r="W984" s="267"/>
      <c r="X984" s="267"/>
      <c r="Y984" s="267"/>
      <c r="Z984" s="264"/>
      <c r="AA984" s="265"/>
      <c r="AB984" s="265"/>
      <c r="AC984" s="265"/>
      <c r="AD984" s="265"/>
      <c r="AE984" s="264"/>
      <c r="AF984" s="264"/>
      <c r="AG984" s="264"/>
      <c r="AH984" s="264"/>
      <c r="AI984" s="264"/>
      <c r="AJ984" s="264"/>
      <c r="AK984" s="264"/>
      <c r="AL984" s="264"/>
      <c r="AM984" s="651"/>
      <c r="AN984" s="264"/>
      <c r="AO984" s="264"/>
    </row>
    <row r="985" spans="2:41" s="262" customFormat="1">
      <c r="B985" s="279" t="s">
        <v>64</v>
      </c>
      <c r="C985" s="263" t="s">
        <v>65</v>
      </c>
      <c r="D985" s="288" t="s">
        <v>228</v>
      </c>
      <c r="E985" s="288"/>
      <c r="F985" s="289"/>
      <c r="G985" s="290">
        <f>G976-G970</f>
        <v>547</v>
      </c>
      <c r="H985" s="290">
        <f t="shared" ref="H985:V985" si="874">H976-H970</f>
        <v>732</v>
      </c>
      <c r="I985" s="290">
        <f t="shared" si="874"/>
        <v>728</v>
      </c>
      <c r="J985" s="290">
        <f t="shared" si="874"/>
        <v>968</v>
      </c>
      <c r="K985" s="290">
        <f t="shared" si="874"/>
        <v>1145</v>
      </c>
      <c r="L985" s="291">
        <f t="shared" si="874"/>
        <v>283</v>
      </c>
      <c r="M985" s="291">
        <f t="shared" si="874"/>
        <v>237</v>
      </c>
      <c r="N985" s="291">
        <f t="shared" si="874"/>
        <v>1135</v>
      </c>
      <c r="O985" s="291">
        <f t="shared" si="874"/>
        <v>219</v>
      </c>
      <c r="P985" s="290">
        <f t="shared" si="874"/>
        <v>1874</v>
      </c>
      <c r="Q985" s="291">
        <f t="shared" si="874"/>
        <v>236</v>
      </c>
      <c r="R985" s="291">
        <f t="shared" si="874"/>
        <v>174</v>
      </c>
      <c r="S985" s="291">
        <f t="shared" si="874"/>
        <v>268</v>
      </c>
      <c r="T985" s="291">
        <f t="shared" si="874"/>
        <v>150</v>
      </c>
      <c r="U985" s="290">
        <f t="shared" si="874"/>
        <v>768</v>
      </c>
      <c r="V985" s="291">
        <f t="shared" si="874"/>
        <v>168</v>
      </c>
      <c r="W985" s="291">
        <f t="shared" ref="W985:AF985" si="875">W976-W970</f>
        <v>105</v>
      </c>
      <c r="X985" s="291">
        <f t="shared" si="875"/>
        <v>276</v>
      </c>
      <c r="Y985" s="291">
        <f t="shared" ca="1" si="875"/>
        <v>191</v>
      </c>
      <c r="Z985" s="290">
        <f t="shared" ca="1" si="875"/>
        <v>740</v>
      </c>
      <c r="AA985" s="291">
        <f ca="1">AA976-AA970</f>
        <v>80.166632957019146</v>
      </c>
      <c r="AB985" s="291">
        <f t="shared" ca="1" si="875"/>
        <v>70.31362774335301</v>
      </c>
      <c r="AC985" s="291">
        <f t="shared" ca="1" si="875"/>
        <v>187.81946918574602</v>
      </c>
      <c r="AD985" s="291">
        <f t="shared" ca="1" si="875"/>
        <v>171.242553975009</v>
      </c>
      <c r="AE985" s="290">
        <f t="shared" ca="1" si="875"/>
        <v>509.54228386112754</v>
      </c>
      <c r="AF985" s="290">
        <f t="shared" ca="1" si="875"/>
        <v>509.5422838611272</v>
      </c>
      <c r="AG985" s="290">
        <f t="shared" ref="AG985:AL985" ca="1" si="876">AG976-AG970</f>
        <v>509.5422838611272</v>
      </c>
      <c r="AH985" s="290">
        <f t="shared" ca="1" si="876"/>
        <v>527.13693602838816</v>
      </c>
      <c r="AI985" s="290">
        <f t="shared" ca="1" si="876"/>
        <v>527.13693602838816</v>
      </c>
      <c r="AJ985" s="290">
        <f t="shared" ca="1" si="876"/>
        <v>527.13693602838816</v>
      </c>
      <c r="AK985" s="290">
        <f t="shared" ca="1" si="876"/>
        <v>527.13693602838816</v>
      </c>
      <c r="AL985" s="290">
        <f t="shared" ca="1" si="876"/>
        <v>527.13693602838816</v>
      </c>
      <c r="AM985" s="651"/>
      <c r="AN985" s="264"/>
      <c r="AO985" s="264"/>
    </row>
    <row r="986" spans="2:41" s="262" customFormat="1">
      <c r="B986" s="279" t="s">
        <v>64</v>
      </c>
      <c r="C986" s="263" t="s">
        <v>65</v>
      </c>
      <c r="D986" s="288" t="s">
        <v>236</v>
      </c>
      <c r="E986" s="263"/>
      <c r="F986" s="264"/>
      <c r="G986" s="290">
        <f>G985-G975</f>
        <v>547</v>
      </c>
      <c r="H986" s="290">
        <f t="shared" ref="H986:V986" si="877">H985-H975</f>
        <v>732</v>
      </c>
      <c r="I986" s="290">
        <f t="shared" si="877"/>
        <v>759</v>
      </c>
      <c r="J986" s="290">
        <f t="shared" si="877"/>
        <v>1014</v>
      </c>
      <c r="K986" s="290">
        <f t="shared" si="877"/>
        <v>1145</v>
      </c>
      <c r="L986" s="291">
        <f t="shared" si="877"/>
        <v>283</v>
      </c>
      <c r="M986" s="291">
        <f t="shared" si="877"/>
        <v>237</v>
      </c>
      <c r="N986" s="291">
        <f t="shared" si="877"/>
        <v>1135</v>
      </c>
      <c r="O986" s="291">
        <f t="shared" si="877"/>
        <v>250</v>
      </c>
      <c r="P986" s="290">
        <f t="shared" si="877"/>
        <v>1905</v>
      </c>
      <c r="Q986" s="291">
        <f t="shared" si="877"/>
        <v>236</v>
      </c>
      <c r="R986" s="291">
        <f t="shared" si="877"/>
        <v>174</v>
      </c>
      <c r="S986" s="291">
        <f t="shared" si="877"/>
        <v>268</v>
      </c>
      <c r="T986" s="291">
        <f t="shared" si="877"/>
        <v>150</v>
      </c>
      <c r="U986" s="290">
        <f t="shared" si="877"/>
        <v>768</v>
      </c>
      <c r="V986" s="291">
        <f t="shared" si="877"/>
        <v>168</v>
      </c>
      <c r="W986" s="291">
        <f t="shared" ref="W986:AF986" si="878">W985-W975</f>
        <v>105</v>
      </c>
      <c r="X986" s="291">
        <f t="shared" si="878"/>
        <v>276</v>
      </c>
      <c r="Y986" s="291">
        <f t="shared" ca="1" si="878"/>
        <v>191</v>
      </c>
      <c r="Z986" s="290">
        <f t="shared" ca="1" si="878"/>
        <v>740</v>
      </c>
      <c r="AA986" s="291">
        <f t="shared" ca="1" si="878"/>
        <v>80.166632957019146</v>
      </c>
      <c r="AB986" s="291">
        <f t="shared" ca="1" si="878"/>
        <v>70.31362774335301</v>
      </c>
      <c r="AC986" s="291">
        <f t="shared" ca="1" si="878"/>
        <v>187.81946918574602</v>
      </c>
      <c r="AD986" s="291">
        <f t="shared" ca="1" si="878"/>
        <v>171.242553975009</v>
      </c>
      <c r="AE986" s="290">
        <f t="shared" ca="1" si="878"/>
        <v>509.54228386112754</v>
      </c>
      <c r="AF986" s="290">
        <f t="shared" ca="1" si="878"/>
        <v>509.5422838611272</v>
      </c>
      <c r="AG986" s="290">
        <f t="shared" ref="AG986:AL986" ca="1" si="879">AG985-AG975</f>
        <v>509.5422838611272</v>
      </c>
      <c r="AH986" s="290">
        <f t="shared" ca="1" si="879"/>
        <v>527.13693602838816</v>
      </c>
      <c r="AI986" s="290">
        <f t="shared" ca="1" si="879"/>
        <v>527.13693602838816</v>
      </c>
      <c r="AJ986" s="290">
        <f t="shared" ca="1" si="879"/>
        <v>527.13693602838816</v>
      </c>
      <c r="AK986" s="290">
        <f t="shared" ca="1" si="879"/>
        <v>527.13693602838816</v>
      </c>
      <c r="AL986" s="290">
        <f t="shared" ca="1" si="879"/>
        <v>527.13693602838816</v>
      </c>
      <c r="AM986" s="651"/>
      <c r="AN986" s="264"/>
      <c r="AO986" s="264"/>
    </row>
    <row r="987" spans="2:41" s="262" customFormat="1">
      <c r="C987" s="263"/>
      <c r="D987" s="263"/>
      <c r="E987" s="263"/>
      <c r="F987" s="264"/>
      <c r="G987" s="266"/>
      <c r="H987" s="266"/>
      <c r="I987" s="266"/>
      <c r="J987" s="266"/>
      <c r="K987" s="266"/>
      <c r="L987" s="267"/>
      <c r="M987" s="267"/>
      <c r="N987" s="267"/>
      <c r="O987" s="267"/>
      <c r="P987" s="266"/>
      <c r="Q987" s="267"/>
      <c r="R987" s="267"/>
      <c r="S987" s="267"/>
      <c r="T987" s="267"/>
      <c r="U987" s="264"/>
      <c r="V987" s="267"/>
      <c r="W987" s="267"/>
      <c r="X987" s="267"/>
      <c r="Y987" s="267"/>
      <c r="Z987" s="264"/>
      <c r="AA987" s="265"/>
      <c r="AB987" s="265"/>
      <c r="AC987" s="265"/>
      <c r="AD987" s="265"/>
      <c r="AE987" s="264"/>
      <c r="AF987" s="264"/>
      <c r="AG987" s="264"/>
      <c r="AH987" s="264"/>
      <c r="AI987" s="264"/>
      <c r="AJ987" s="264"/>
      <c r="AK987" s="264"/>
      <c r="AL987" s="264"/>
      <c r="AM987" s="651"/>
      <c r="AN987" s="264"/>
      <c r="AO987" s="264"/>
    </row>
    <row r="988" spans="2:41" s="262" customFormat="1">
      <c r="C988" s="263"/>
      <c r="D988" s="263"/>
      <c r="E988" s="263"/>
      <c r="F988" s="264"/>
      <c r="G988" s="266"/>
      <c r="H988" s="266"/>
      <c r="I988" s="266"/>
      <c r="J988" s="266"/>
      <c r="K988" s="266"/>
      <c r="L988" s="267"/>
      <c r="M988" s="267"/>
      <c r="N988" s="267"/>
      <c r="O988" s="267"/>
      <c r="P988" s="266"/>
      <c r="Q988" s="267"/>
      <c r="R988" s="267"/>
      <c r="S988" s="267"/>
      <c r="T988" s="267"/>
      <c r="U988" s="264"/>
      <c r="V988" s="267"/>
      <c r="W988" s="267"/>
      <c r="X988" s="267"/>
      <c r="Y988" s="267"/>
      <c r="Z988" s="264"/>
      <c r="AA988" s="265"/>
      <c r="AB988" s="265"/>
      <c r="AC988" s="265"/>
      <c r="AD988" s="265"/>
      <c r="AE988" s="264"/>
      <c r="AF988" s="264"/>
      <c r="AG988" s="264"/>
      <c r="AH988" s="264"/>
      <c r="AI988" s="264"/>
      <c r="AJ988" s="264"/>
      <c r="AK988" s="264"/>
      <c r="AL988" s="264"/>
      <c r="AM988" s="651"/>
      <c r="AN988" s="264"/>
      <c r="AO988" s="264"/>
    </row>
    <row r="989" spans="2:41" s="262" customFormat="1">
      <c r="B989" s="266"/>
      <c r="C989" s="268"/>
      <c r="D989" s="554" t="s">
        <v>207</v>
      </c>
      <c r="E989" s="731"/>
      <c r="F989" s="275"/>
      <c r="G989" s="732"/>
      <c r="H989" s="732"/>
      <c r="I989" s="732"/>
      <c r="J989" s="732"/>
      <c r="K989" s="732"/>
      <c r="L989" s="733"/>
      <c r="M989" s="733"/>
      <c r="N989" s="733"/>
      <c r="O989" s="733"/>
      <c r="P989" s="732"/>
      <c r="Q989" s="733"/>
      <c r="R989" s="733"/>
      <c r="S989" s="733"/>
      <c r="T989" s="733"/>
      <c r="U989" s="275"/>
      <c r="V989" s="733"/>
      <c r="W989" s="733"/>
      <c r="X989" s="733"/>
      <c r="Y989" s="733"/>
      <c r="Z989" s="275"/>
      <c r="AA989" s="741"/>
      <c r="AB989" s="741"/>
      <c r="AC989" s="741"/>
      <c r="AD989" s="741"/>
      <c r="AE989" s="275"/>
      <c r="AF989" s="275"/>
      <c r="AG989" s="275"/>
      <c r="AH989" s="275"/>
      <c r="AI989" s="275"/>
      <c r="AJ989" s="275"/>
      <c r="AK989" s="275"/>
      <c r="AL989" s="275"/>
      <c r="AM989" s="651"/>
      <c r="AN989" s="264"/>
      <c r="AO989" s="264"/>
    </row>
    <row r="990" spans="2:41" s="262" customFormat="1">
      <c r="B990" s="266"/>
      <c r="C990" s="268"/>
      <c r="D990" s="83" t="s">
        <v>360</v>
      </c>
      <c r="E990" s="83"/>
      <c r="F990" s="83"/>
      <c r="G990" s="94"/>
      <c r="H990" s="120">
        <f>H941/G941-1</f>
        <v>-4.482758620689653E-2</v>
      </c>
      <c r="I990" s="120">
        <f>I941/H941-1</f>
        <v>0.10830324909747291</v>
      </c>
      <c r="J990" s="120">
        <f>J941/I941-1</f>
        <v>1.6286644951140072E-2</v>
      </c>
      <c r="K990" s="120">
        <f>K941/J941-1</f>
        <v>-6.4102564102563875E-3</v>
      </c>
      <c r="L990" s="121"/>
      <c r="M990" s="121"/>
      <c r="N990" s="121"/>
      <c r="O990" s="121"/>
      <c r="P990" s="120">
        <f>P941/K941-1</f>
        <v>-2.2903225806451655E-2</v>
      </c>
      <c r="Q990" s="121"/>
      <c r="R990" s="121"/>
      <c r="S990" s="121"/>
      <c r="T990" s="121"/>
      <c r="U990" s="120">
        <f>U941/P941-1</f>
        <v>-5.1172003961703516E-2</v>
      </c>
      <c r="V990" s="121"/>
      <c r="W990" s="121"/>
      <c r="X990" s="121"/>
      <c r="Y990" s="121"/>
      <c r="Z990" s="120">
        <f>Z941/U941-1</f>
        <v>6.1586638830897877E-2</v>
      </c>
      <c r="AA990" s="121"/>
      <c r="AB990" s="121"/>
      <c r="AC990" s="121"/>
      <c r="AD990" s="121"/>
      <c r="AE990" s="120">
        <f>AE941/Z941-1</f>
        <v>0</v>
      </c>
      <c r="AF990" s="120">
        <f>AF941/AE941-1</f>
        <v>0</v>
      </c>
      <c r="AG990" s="264"/>
      <c r="AH990" s="264"/>
      <c r="AI990" s="264"/>
      <c r="AJ990" s="264"/>
      <c r="AK990" s="264"/>
      <c r="AL990" s="264"/>
      <c r="AM990" s="651"/>
      <c r="AN990" s="264"/>
      <c r="AO990" s="264"/>
    </row>
    <row r="991" spans="2:41" s="262" customFormat="1">
      <c r="B991" s="266"/>
      <c r="C991" s="268"/>
      <c r="D991" s="83" t="s">
        <v>361</v>
      </c>
      <c r="E991" s="83"/>
      <c r="F991" s="83"/>
      <c r="G991" s="94"/>
      <c r="H991" s="120">
        <f>H938/G938-1</f>
        <v>8.166969147005454E-2</v>
      </c>
      <c r="I991" s="120">
        <f>I938/H938-1</f>
        <v>3.3557046979866278E-3</v>
      </c>
      <c r="J991" s="120">
        <f>J938/I938-1</f>
        <v>3.177257525083621E-2</v>
      </c>
      <c r="K991" s="120">
        <f>K938/J938-1</f>
        <v>-6.8071312803889783E-2</v>
      </c>
      <c r="L991" s="121"/>
      <c r="M991" s="121"/>
      <c r="N991" s="121"/>
      <c r="O991" s="121"/>
      <c r="P991" s="120">
        <f>P938/K938-1</f>
        <v>6.6086956521739237E-2</v>
      </c>
      <c r="Q991" s="121"/>
      <c r="R991" s="121"/>
      <c r="S991" s="121"/>
      <c r="T991" s="121"/>
      <c r="U991" s="120">
        <f>U938/P938-1</f>
        <v>-6.7210440456770049E-2</v>
      </c>
      <c r="V991" s="121"/>
      <c r="W991" s="121"/>
      <c r="X991" s="121"/>
      <c r="Y991" s="121"/>
      <c r="Z991" s="120">
        <f>Z938/U938-1</f>
        <v>-0.14183280867436154</v>
      </c>
      <c r="AA991" s="121"/>
      <c r="AB991" s="121"/>
      <c r="AC991" s="121"/>
      <c r="AD991" s="121"/>
      <c r="AE991" s="120">
        <f>AE938/Z938-1</f>
        <v>1.8952516812716258E-2</v>
      </c>
      <c r="AF991" s="120">
        <f>AF938/AE938-1</f>
        <v>0</v>
      </c>
      <c r="AG991" s="264"/>
      <c r="AH991" s="264"/>
      <c r="AI991" s="264"/>
      <c r="AJ991" s="264"/>
      <c r="AK991" s="264"/>
      <c r="AL991" s="264"/>
      <c r="AM991" s="651"/>
      <c r="AN991" s="264"/>
      <c r="AO991" s="264"/>
    </row>
    <row r="992" spans="2:41" s="262" customFormat="1">
      <c r="B992" s="266"/>
      <c r="C992" s="268"/>
      <c r="D992" s="83" t="s">
        <v>362</v>
      </c>
      <c r="E992" s="83"/>
      <c r="F992" s="83"/>
      <c r="G992" s="94"/>
      <c r="H992" s="120">
        <f>AVERAGE(H990:H991)</f>
        <v>1.8421052631579005E-2</v>
      </c>
      <c r="I992" s="120">
        <f>AVERAGE(I990:I991)</f>
        <v>5.5829476897729768E-2</v>
      </c>
      <c r="J992" s="120">
        <f>AVERAGE(J990:J991)</f>
        <v>2.4029610100988141E-2</v>
      </c>
      <c r="K992" s="120">
        <f>AVERAGE(K990:K991)</f>
        <v>-3.7240784607073085E-2</v>
      </c>
      <c r="L992" s="121"/>
      <c r="M992" s="121"/>
      <c r="N992" s="121"/>
      <c r="O992" s="121"/>
      <c r="P992" s="120">
        <f>AVERAGE(P990:P991)</f>
        <v>2.1591865357643791E-2</v>
      </c>
      <c r="Q992" s="121"/>
      <c r="R992" s="121"/>
      <c r="S992" s="121"/>
      <c r="T992" s="121"/>
      <c r="U992" s="120">
        <f>AVERAGE(U990:U991)</f>
        <v>-5.9191222209236782E-2</v>
      </c>
      <c r="V992" s="121"/>
      <c r="W992" s="121"/>
      <c r="X992" s="121"/>
      <c r="Y992" s="121"/>
      <c r="Z992" s="120">
        <f>AVERAGE(Z990:Z991)</f>
        <v>-4.0123084921731833E-2</v>
      </c>
      <c r="AA992" s="121"/>
      <c r="AB992" s="121"/>
      <c r="AC992" s="121"/>
      <c r="AD992" s="121"/>
      <c r="AE992" s="120">
        <f>AVERAGE(AE990:AE991)</f>
        <v>9.476258406358129E-3</v>
      </c>
      <c r="AF992" s="120">
        <f>AVERAGE(AF990:AF991)</f>
        <v>0</v>
      </c>
      <c r="AG992" s="264"/>
      <c r="AH992" s="264"/>
      <c r="AI992" s="264"/>
      <c r="AJ992" s="264"/>
      <c r="AK992" s="264"/>
      <c r="AL992" s="264"/>
      <c r="AM992" s="651"/>
      <c r="AN992" s="264"/>
      <c r="AO992" s="264"/>
    </row>
    <row r="993" spans="2:41" s="262" customFormat="1">
      <c r="B993" s="266"/>
      <c r="C993" s="268"/>
      <c r="D993" s="83" t="s">
        <v>363</v>
      </c>
      <c r="E993" s="83"/>
      <c r="F993" s="83"/>
      <c r="G993" s="94"/>
      <c r="H993" s="120">
        <f>H965/G965-1</f>
        <v>0.10995850622406644</v>
      </c>
      <c r="I993" s="120">
        <f>I965/H965-1</f>
        <v>4.0747663551401914E-2</v>
      </c>
      <c r="J993" s="120">
        <f>J965/I965-1</f>
        <v>0.13038793103448265</v>
      </c>
      <c r="K993" s="120">
        <f>K965/J965-1</f>
        <v>0.11089926914521775</v>
      </c>
      <c r="L993" s="121"/>
      <c r="M993" s="121"/>
      <c r="N993" s="121"/>
      <c r="O993" s="121"/>
      <c r="P993" s="120">
        <f>P965/K965-1</f>
        <v>-0.11498855835240274</v>
      </c>
      <c r="Q993" s="121"/>
      <c r="R993" s="121"/>
      <c r="S993" s="121"/>
      <c r="T993" s="121"/>
      <c r="U993" s="120">
        <f>U965/P965-1</f>
        <v>-4.0723981900452455E-2</v>
      </c>
      <c r="V993" s="121"/>
      <c r="W993" s="121"/>
      <c r="X993" s="121"/>
      <c r="Y993" s="121"/>
      <c r="Z993" s="120">
        <f>Z967/U965-1</f>
        <v>-1.2725741239892183</v>
      </c>
      <c r="AA993" s="121"/>
      <c r="AB993" s="121"/>
      <c r="AC993" s="121"/>
      <c r="AD993" s="121"/>
      <c r="AE993" s="120">
        <f>AE967/Z967-1</f>
        <v>-1.8216390459867005E-2</v>
      </c>
      <c r="AF993" s="120">
        <f>AF967/AE967-1</f>
        <v>9.4834271580767515E-2</v>
      </c>
      <c r="AG993" s="264"/>
      <c r="AH993" s="264"/>
      <c r="AI993" s="264"/>
      <c r="AJ993" s="264"/>
      <c r="AK993" s="264"/>
      <c r="AL993" s="264"/>
      <c r="AM993" s="651"/>
      <c r="AN993" s="264"/>
      <c r="AO993" s="264"/>
    </row>
    <row r="994" spans="2:41" s="262" customFormat="1">
      <c r="B994" s="266"/>
      <c r="C994" s="268"/>
      <c r="D994" s="269"/>
      <c r="E994" s="269"/>
      <c r="F994" s="264"/>
      <c r="G994" s="266"/>
      <c r="H994" s="266"/>
      <c r="I994" s="266"/>
      <c r="J994" s="266"/>
      <c r="K994" s="266"/>
      <c r="L994" s="267"/>
      <c r="M994" s="267"/>
      <c r="N994" s="267"/>
      <c r="O994" s="267"/>
      <c r="P994" s="266"/>
      <c r="Q994" s="267"/>
      <c r="R994" s="267"/>
      <c r="S994" s="267"/>
      <c r="T994" s="267"/>
      <c r="U994" s="264"/>
      <c r="V994" s="267"/>
      <c r="W994" s="265"/>
      <c r="X994" s="265"/>
      <c r="Y994" s="265"/>
      <c r="Z994" s="264"/>
      <c r="AA994" s="265"/>
      <c r="AB994" s="265"/>
      <c r="AC994" s="265"/>
      <c r="AD994" s="265"/>
      <c r="AE994" s="264"/>
      <c r="AF994" s="264"/>
      <c r="AG994" s="264"/>
      <c r="AH994" s="264"/>
      <c r="AI994" s="264"/>
      <c r="AJ994" s="264"/>
      <c r="AK994" s="264"/>
      <c r="AL994" s="264"/>
      <c r="AM994" s="651"/>
      <c r="AN994" s="264"/>
      <c r="AO994" s="264"/>
    </row>
    <row r="995" spans="2:41" s="262" customFormat="1">
      <c r="B995" s="266"/>
      <c r="C995" s="268"/>
      <c r="D995" s="269"/>
      <c r="E995" s="269"/>
      <c r="F995" s="264"/>
      <c r="G995" s="266"/>
      <c r="H995" s="266"/>
      <c r="I995" s="266"/>
      <c r="J995" s="266"/>
      <c r="K995" s="266"/>
      <c r="L995" s="267"/>
      <c r="M995" s="267"/>
      <c r="N995" s="267"/>
      <c r="O995" s="267"/>
      <c r="P995" s="266"/>
      <c r="Q995" s="267"/>
      <c r="R995" s="267"/>
      <c r="S995" s="267"/>
      <c r="T995" s="267"/>
      <c r="U995" s="264"/>
      <c r="V995" s="267"/>
      <c r="W995" s="265"/>
      <c r="X995" s="265"/>
      <c r="Y995" s="265"/>
      <c r="Z995" s="264"/>
      <c r="AA995" s="265"/>
      <c r="AB995" s="265"/>
      <c r="AC995" s="265"/>
      <c r="AD995" s="265"/>
      <c r="AE995" s="264"/>
      <c r="AF995" s="264"/>
      <c r="AG995" s="264"/>
      <c r="AH995" s="264"/>
      <c r="AI995" s="264"/>
      <c r="AJ995" s="264"/>
      <c r="AK995" s="264"/>
      <c r="AL995" s="264"/>
      <c r="AM995" s="651"/>
      <c r="AN995" s="264"/>
      <c r="AO995" s="264"/>
    </row>
    <row r="996" spans="2:41" s="262" customFormat="1">
      <c r="B996" s="266"/>
      <c r="C996" s="268"/>
      <c r="D996" s="269"/>
      <c r="E996" s="269"/>
      <c r="F996" s="264"/>
      <c r="G996" s="266"/>
      <c r="H996" s="266"/>
      <c r="I996" s="266"/>
      <c r="J996" s="266"/>
      <c r="K996" s="266"/>
      <c r="L996" s="267"/>
      <c r="M996" s="267"/>
      <c r="N996" s="267"/>
      <c r="O996" s="267"/>
      <c r="P996" s="94">
        <f>(P986*(1-P980))+(-P970*(P980))-P1004</f>
        <v>1028.3</v>
      </c>
      <c r="Q996" s="267"/>
      <c r="R996" s="267"/>
      <c r="S996" s="267"/>
      <c r="T996" s="267"/>
      <c r="U996" s="94">
        <f>(U986*(1-U980))+(-U970*(U980))-U1004</f>
        <v>346.59999999999991</v>
      </c>
      <c r="V996" s="267"/>
      <c r="W996" s="265"/>
      <c r="X996" s="265"/>
      <c r="Y996" s="265"/>
      <c r="Z996" s="94">
        <f ca="1">(Z986*(1-Z980))+(-Z970*(Z980))-Z1004</f>
        <v>391.6</v>
      </c>
      <c r="AA996" s="265"/>
      <c r="AB996" s="265"/>
      <c r="AC996" s="265"/>
      <c r="AD996" s="265"/>
      <c r="AE996" s="94">
        <f ca="1">(AE986*(1-AE980))+(-AE970*(AE980))-AE1004</f>
        <v>226.88547428459196</v>
      </c>
      <c r="AF996" s="94">
        <f ca="1">(AF986*(1-AF980))+(-AF970*(AF980))-AF1004</f>
        <v>226.88547428459174</v>
      </c>
      <c r="AG996" s="264"/>
      <c r="AH996" s="264"/>
      <c r="AI996" s="264"/>
      <c r="AJ996" s="264"/>
      <c r="AK996" s="264"/>
      <c r="AL996" s="264"/>
      <c r="AM996" s="651"/>
      <c r="AN996" s="264"/>
      <c r="AO996" s="264"/>
    </row>
    <row r="997" spans="2:41" s="262" customFormat="1">
      <c r="B997" s="266"/>
      <c r="C997" s="268"/>
      <c r="D997" s="269"/>
      <c r="E997" s="269"/>
      <c r="F997" s="264"/>
      <c r="G997" s="266"/>
      <c r="H997" s="266"/>
      <c r="I997" s="266"/>
      <c r="J997" s="266"/>
      <c r="K997" s="266"/>
      <c r="L997" s="267"/>
      <c r="M997" s="267"/>
      <c r="N997" s="267"/>
      <c r="O997" s="267"/>
      <c r="P997" s="266"/>
      <c r="Q997" s="267"/>
      <c r="R997" s="267"/>
      <c r="S997" s="267"/>
      <c r="T997" s="267"/>
      <c r="U997" s="264"/>
      <c r="V997" s="267"/>
      <c r="W997" s="265"/>
      <c r="X997" s="265"/>
      <c r="Y997" s="265"/>
      <c r="Z997" s="264"/>
      <c r="AA997" s="265"/>
      <c r="AB997" s="265"/>
      <c r="AC997" s="265"/>
      <c r="AD997" s="265"/>
      <c r="AE997" s="264"/>
      <c r="AF997" s="264"/>
      <c r="AG997" s="264"/>
      <c r="AH997" s="264"/>
      <c r="AI997" s="264"/>
      <c r="AJ997" s="264"/>
      <c r="AK997" s="264"/>
      <c r="AL997" s="264"/>
      <c r="AM997" s="651"/>
      <c r="AN997" s="264"/>
      <c r="AO997" s="264"/>
    </row>
    <row r="998" spans="2:41" s="262" customFormat="1">
      <c r="B998" s="266"/>
      <c r="C998" s="268"/>
      <c r="D998" s="269"/>
      <c r="E998" s="269"/>
      <c r="F998" s="264"/>
      <c r="G998" s="266"/>
      <c r="H998" s="266"/>
      <c r="I998" s="266"/>
      <c r="J998" s="266"/>
      <c r="K998" s="266"/>
      <c r="L998" s="267"/>
      <c r="M998" s="267"/>
      <c r="N998" s="267"/>
      <c r="O998" s="267"/>
      <c r="P998" s="266"/>
      <c r="Q998" s="267"/>
      <c r="R998" s="267"/>
      <c r="S998" s="267"/>
      <c r="T998" s="267"/>
      <c r="U998" s="264">
        <f>U986/U965</f>
        <v>0.2587601078167116</v>
      </c>
      <c r="V998" s="267"/>
      <c r="W998" s="265"/>
      <c r="X998" s="265"/>
      <c r="Y998" s="265"/>
      <c r="Z998" s="264">
        <f ca="1">Z986/Z965</f>
        <v>0.27407407407407408</v>
      </c>
      <c r="AA998" s="265"/>
      <c r="AB998" s="265"/>
      <c r="AC998" s="265"/>
      <c r="AD998" s="265"/>
      <c r="AE998" s="264"/>
      <c r="AF998" s="264"/>
      <c r="AG998" s="264"/>
      <c r="AH998" s="264"/>
      <c r="AI998" s="264"/>
      <c r="AJ998" s="264"/>
      <c r="AK998" s="264"/>
      <c r="AL998" s="264"/>
      <c r="AM998" s="651"/>
      <c r="AN998" s="264"/>
      <c r="AO998" s="264"/>
    </row>
    <row r="999" spans="2:41" s="262" customFormat="1">
      <c r="B999" s="266"/>
      <c r="C999" s="268"/>
      <c r="D999" s="269"/>
      <c r="E999" s="269"/>
      <c r="F999" s="264"/>
      <c r="G999" s="266"/>
      <c r="H999" s="266"/>
      <c r="I999" s="266"/>
      <c r="J999" s="266"/>
      <c r="K999" s="266"/>
      <c r="L999" s="267"/>
      <c r="M999" s="267"/>
      <c r="N999" s="267"/>
      <c r="O999" s="267"/>
      <c r="P999" s="266"/>
      <c r="Q999" s="267"/>
      <c r="R999" s="267"/>
      <c r="S999" s="267"/>
      <c r="T999" s="267"/>
      <c r="U999" s="264"/>
      <c r="V999" s="267"/>
      <c r="W999" s="265"/>
      <c r="X999" s="265"/>
      <c r="Y999" s="265"/>
      <c r="Z999" s="264"/>
      <c r="AA999" s="265"/>
      <c r="AB999" s="265"/>
      <c r="AC999" s="265"/>
      <c r="AD999" s="265"/>
      <c r="AE999" s="264"/>
      <c r="AF999" s="264"/>
      <c r="AG999" s="264"/>
      <c r="AH999" s="264"/>
      <c r="AI999" s="264"/>
      <c r="AJ999" s="264"/>
      <c r="AK999" s="264"/>
      <c r="AL999" s="264"/>
      <c r="AM999" s="651"/>
      <c r="AN999" s="264"/>
      <c r="AO999" s="264"/>
    </row>
    <row r="1000" spans="2:41" s="262" customFormat="1">
      <c r="B1000" s="266"/>
      <c r="C1000" s="268"/>
      <c r="D1000" s="554" t="s">
        <v>218</v>
      </c>
      <c r="E1000" s="731"/>
      <c r="F1000" s="275"/>
      <c r="G1000" s="732"/>
      <c r="H1000" s="732"/>
      <c r="I1000" s="732"/>
      <c r="J1000" s="732"/>
      <c r="K1000" s="732"/>
      <c r="L1000" s="733"/>
      <c r="M1000" s="733"/>
      <c r="N1000" s="733"/>
      <c r="O1000" s="733"/>
      <c r="P1000" s="732"/>
      <c r="Q1000" s="733"/>
      <c r="R1000" s="733"/>
      <c r="S1000" s="733"/>
      <c r="T1000" s="733"/>
      <c r="U1000" s="275"/>
      <c r="V1000" s="733"/>
      <c r="W1000" s="741"/>
      <c r="X1000" s="741"/>
      <c r="Y1000" s="741"/>
      <c r="Z1000" s="275"/>
      <c r="AA1000" s="1119"/>
      <c r="AB1000" s="1119"/>
      <c r="AC1000" s="1119"/>
      <c r="AD1000" s="1119"/>
      <c r="AE1000" s="1023"/>
      <c r="AF1000" s="1023"/>
      <c r="AG1000" s="275"/>
      <c r="AH1000" s="275"/>
      <c r="AI1000" s="275"/>
      <c r="AJ1000" s="275"/>
      <c r="AK1000" s="275"/>
      <c r="AL1000" s="275"/>
      <c r="AM1000" s="651"/>
      <c r="AN1000" s="264"/>
      <c r="AO1000" s="264"/>
    </row>
    <row r="1001" spans="2:41" s="262" customFormat="1">
      <c r="B1001" s="266"/>
      <c r="C1001" s="268"/>
      <c r="D1001" s="269" t="s">
        <v>253</v>
      </c>
      <c r="E1001" s="269"/>
      <c r="F1001" s="264"/>
      <c r="G1001" s="266"/>
      <c r="H1001" s="266"/>
      <c r="I1001" s="266"/>
      <c r="J1001" s="270">
        <v>142</v>
      </c>
      <c r="K1001" s="270">
        <v>168</v>
      </c>
      <c r="L1001" s="271">
        <v>39</v>
      </c>
      <c r="M1001" s="271">
        <v>44</v>
      </c>
      <c r="N1001" s="271">
        <v>55</v>
      </c>
      <c r="O1001" s="91">
        <v>87</v>
      </c>
      <c r="P1001" s="270">
        <v>225</v>
      </c>
      <c r="Q1001" s="271">
        <v>19</v>
      </c>
      <c r="R1001" s="91">
        <v>34</v>
      </c>
      <c r="S1001" s="271">
        <v>43</v>
      </c>
      <c r="T1001" s="91">
        <v>42</v>
      </c>
      <c r="U1001" s="270">
        <v>138</v>
      </c>
      <c r="V1001" s="271">
        <v>21</v>
      </c>
      <c r="W1001" s="271">
        <v>51</v>
      </c>
      <c r="X1001" s="1163">
        <f>(Z1001-V1001-W1001)/2</f>
        <v>58</v>
      </c>
      <c r="Y1001" s="1163">
        <f>Z1001-V1001-W1001-X1001</f>
        <v>58</v>
      </c>
      <c r="Z1001" s="270">
        <v>188</v>
      </c>
      <c r="AA1001" s="761">
        <f>AE1001/4</f>
        <v>47</v>
      </c>
      <c r="AB1001" s="217">
        <f>(AE1001-AA1001)/3</f>
        <v>47</v>
      </c>
      <c r="AC1001" s="217">
        <f>(AE1001-AA1001-AB1001)/2</f>
        <v>47</v>
      </c>
      <c r="AD1001" s="217">
        <f>AE1001-AA1001-AB1001-AC1001</f>
        <v>47</v>
      </c>
      <c r="AE1001" s="312">
        <f>Z1001</f>
        <v>188</v>
      </c>
      <c r="AF1001" s="312">
        <f>AE1001</f>
        <v>188</v>
      </c>
      <c r="AG1001" s="312">
        <f t="shared" ref="AG1001:AL1003" si="880">AF1001</f>
        <v>188</v>
      </c>
      <c r="AH1001" s="312">
        <f t="shared" si="880"/>
        <v>188</v>
      </c>
      <c r="AI1001" s="312">
        <f t="shared" si="880"/>
        <v>188</v>
      </c>
      <c r="AJ1001" s="312">
        <f t="shared" si="880"/>
        <v>188</v>
      </c>
      <c r="AK1001" s="312">
        <f t="shared" si="880"/>
        <v>188</v>
      </c>
      <c r="AL1001" s="312">
        <f t="shared" si="880"/>
        <v>188</v>
      </c>
      <c r="AM1001" s="651"/>
      <c r="AN1001" s="264"/>
      <c r="AO1001" s="264"/>
    </row>
    <row r="1002" spans="2:41" s="262" customFormat="1">
      <c r="B1002" s="266"/>
      <c r="C1002" s="268"/>
      <c r="D1002" s="269" t="s">
        <v>254</v>
      </c>
      <c r="E1002" s="269"/>
      <c r="F1002" s="264"/>
      <c r="G1002" s="266"/>
      <c r="H1002" s="266"/>
      <c r="I1002" s="266"/>
      <c r="J1002" s="270">
        <v>0</v>
      </c>
      <c r="K1002" s="270">
        <v>15</v>
      </c>
      <c r="L1002" s="271">
        <v>11</v>
      </c>
      <c r="M1002" s="271">
        <v>36</v>
      </c>
      <c r="N1002" s="271">
        <v>34</v>
      </c>
      <c r="O1002" s="91">
        <v>26</v>
      </c>
      <c r="P1002" s="270">
        <v>107</v>
      </c>
      <c r="Q1002" s="271">
        <v>18</v>
      </c>
      <c r="R1002" s="91">
        <v>19</v>
      </c>
      <c r="S1002" s="271">
        <v>27</v>
      </c>
      <c r="T1002" s="91">
        <v>26</v>
      </c>
      <c r="U1002" s="270">
        <v>90</v>
      </c>
      <c r="V1002" s="271">
        <v>19</v>
      </c>
      <c r="W1002" s="271">
        <v>0</v>
      </c>
      <c r="X1002" s="1163"/>
      <c r="Y1002" s="1163"/>
      <c r="Z1002" s="270"/>
      <c r="AA1002" s="761">
        <f>AE1002/4</f>
        <v>0</v>
      </c>
      <c r="AB1002" s="217">
        <f>(AE1002-AA1002)/3</f>
        <v>0</v>
      </c>
      <c r="AC1002" s="217">
        <f>(AE1002-AA1002-AB1002)/2</f>
        <v>0</v>
      </c>
      <c r="AD1002" s="217">
        <f>AE1002-AA1002-AB1002-AC1002</f>
        <v>0</v>
      </c>
      <c r="AE1002" s="312">
        <f>Z1002</f>
        <v>0</v>
      </c>
      <c r="AF1002" s="312">
        <f>AE1002</f>
        <v>0</v>
      </c>
      <c r="AG1002" s="312">
        <f t="shared" si="880"/>
        <v>0</v>
      </c>
      <c r="AH1002" s="312">
        <f t="shared" si="880"/>
        <v>0</v>
      </c>
      <c r="AI1002" s="312">
        <f t="shared" si="880"/>
        <v>0</v>
      </c>
      <c r="AJ1002" s="312">
        <f t="shared" si="880"/>
        <v>0</v>
      </c>
      <c r="AK1002" s="312">
        <f t="shared" si="880"/>
        <v>0</v>
      </c>
      <c r="AL1002" s="312">
        <f t="shared" si="880"/>
        <v>0</v>
      </c>
      <c r="AM1002" s="651"/>
      <c r="AN1002" s="264"/>
      <c r="AO1002" s="264"/>
    </row>
    <row r="1003" spans="2:41" s="262" customFormat="1">
      <c r="B1003" s="266"/>
      <c r="C1003" s="268"/>
      <c r="D1003" s="269" t="s">
        <v>905</v>
      </c>
      <c r="E1003" s="269"/>
      <c r="F1003" s="264"/>
      <c r="G1003" s="266"/>
      <c r="H1003" s="266"/>
      <c r="I1003" s="266"/>
      <c r="J1003" s="270">
        <v>4</v>
      </c>
      <c r="K1003" s="270">
        <v>36</v>
      </c>
      <c r="L1003" s="271">
        <v>1</v>
      </c>
      <c r="M1003" s="271">
        <v>5</v>
      </c>
      <c r="N1003" s="271">
        <v>20</v>
      </c>
      <c r="O1003" s="91">
        <v>12</v>
      </c>
      <c r="P1003" s="270">
        <v>38</v>
      </c>
      <c r="Q1003" s="271">
        <v>3</v>
      </c>
      <c r="R1003" s="91">
        <v>8</v>
      </c>
      <c r="S1003" s="271">
        <v>13</v>
      </c>
      <c r="T1003" s="91">
        <v>8</v>
      </c>
      <c r="U1003" s="270">
        <v>32</v>
      </c>
      <c r="V1003" s="271">
        <v>1</v>
      </c>
      <c r="W1003" s="271">
        <v>2</v>
      </c>
      <c r="X1003" s="1163">
        <f>(Z1003-V1003-W1003)/2</f>
        <v>2</v>
      </c>
      <c r="Y1003" s="1163">
        <f>Z1003-V1003-W1003-X1003</f>
        <v>2</v>
      </c>
      <c r="Z1003" s="270">
        <v>7</v>
      </c>
      <c r="AA1003" s="761">
        <f>AE1003/4</f>
        <v>1.75</v>
      </c>
      <c r="AB1003" s="217">
        <f>(AE1003-AA1003)/3</f>
        <v>1.75</v>
      </c>
      <c r="AC1003" s="217">
        <f>(AE1003-AA1003-AB1003)/2</f>
        <v>1.75</v>
      </c>
      <c r="AD1003" s="217">
        <f>AE1003-AA1003-AB1003-AC1003</f>
        <v>1.75</v>
      </c>
      <c r="AE1003" s="312">
        <f>Z1003</f>
        <v>7</v>
      </c>
      <c r="AF1003" s="312">
        <f>AE1003</f>
        <v>7</v>
      </c>
      <c r="AG1003" s="312">
        <f t="shared" si="880"/>
        <v>7</v>
      </c>
      <c r="AH1003" s="312">
        <f t="shared" si="880"/>
        <v>7</v>
      </c>
      <c r="AI1003" s="312">
        <f t="shared" si="880"/>
        <v>7</v>
      </c>
      <c r="AJ1003" s="312">
        <f t="shared" si="880"/>
        <v>7</v>
      </c>
      <c r="AK1003" s="312">
        <f t="shared" si="880"/>
        <v>7</v>
      </c>
      <c r="AL1003" s="312">
        <f t="shared" si="880"/>
        <v>7</v>
      </c>
      <c r="AM1003" s="651"/>
      <c r="AN1003" s="264"/>
      <c r="AO1003" s="264"/>
    </row>
    <row r="1004" spans="2:41" s="262" customFormat="1">
      <c r="B1004" s="266" t="s">
        <v>64</v>
      </c>
      <c r="C1004" s="268" t="s">
        <v>65</v>
      </c>
      <c r="D1004" s="269" t="s">
        <v>159</v>
      </c>
      <c r="E1004" s="269"/>
      <c r="F1004" s="264"/>
      <c r="G1004" s="270">
        <v>192</v>
      </c>
      <c r="H1004" s="270">
        <v>192</v>
      </c>
      <c r="I1004" s="270">
        <v>145</v>
      </c>
      <c r="J1004" s="270">
        <v>146</v>
      </c>
      <c r="K1004" s="270">
        <v>219</v>
      </c>
      <c r="L1004" s="271">
        <v>51</v>
      </c>
      <c r="M1004" s="271">
        <v>85</v>
      </c>
      <c r="N1004" s="271">
        <v>109</v>
      </c>
      <c r="O1004" s="91">
        <v>125</v>
      </c>
      <c r="P1004" s="270">
        <v>370</v>
      </c>
      <c r="Q1004" s="271">
        <v>40</v>
      </c>
      <c r="R1004" s="91">
        <v>61</v>
      </c>
      <c r="S1004" s="271">
        <v>83</v>
      </c>
      <c r="T1004" s="91">
        <v>76</v>
      </c>
      <c r="U1004" s="270">
        <v>260</v>
      </c>
      <c r="V1004" s="271">
        <v>41</v>
      </c>
      <c r="W1004" s="271">
        <f t="shared" ref="W1004:AF1004" si="881">SUM(W1001:W1003)</f>
        <v>53</v>
      </c>
      <c r="X1004" s="1165">
        <f t="shared" si="881"/>
        <v>60</v>
      </c>
      <c r="Y1004" s="1165">
        <f t="shared" si="881"/>
        <v>60</v>
      </c>
      <c r="Z1004" s="270">
        <f t="shared" si="881"/>
        <v>195</v>
      </c>
      <c r="AA1004" s="267">
        <f t="shared" si="881"/>
        <v>48.75</v>
      </c>
      <c r="AB1004" s="267">
        <f t="shared" si="881"/>
        <v>48.75</v>
      </c>
      <c r="AC1004" s="267">
        <f t="shared" si="881"/>
        <v>48.75</v>
      </c>
      <c r="AD1004" s="267">
        <f t="shared" si="881"/>
        <v>48.75</v>
      </c>
      <c r="AE1004" s="1027">
        <f t="shared" si="881"/>
        <v>195</v>
      </c>
      <c r="AF1004" s="1027">
        <f t="shared" si="881"/>
        <v>195</v>
      </c>
      <c r="AG1004" s="1027">
        <f t="shared" ref="AG1004:AL1004" si="882">SUM(AG1001:AG1003)</f>
        <v>195</v>
      </c>
      <c r="AH1004" s="1027">
        <f t="shared" si="882"/>
        <v>195</v>
      </c>
      <c r="AI1004" s="1027">
        <f t="shared" si="882"/>
        <v>195</v>
      </c>
      <c r="AJ1004" s="1027">
        <f t="shared" si="882"/>
        <v>195</v>
      </c>
      <c r="AK1004" s="1027">
        <f t="shared" si="882"/>
        <v>195</v>
      </c>
      <c r="AL1004" s="1027">
        <f t="shared" si="882"/>
        <v>195</v>
      </c>
      <c r="AM1004" s="651"/>
      <c r="AN1004" s="264"/>
      <c r="AO1004" s="264"/>
    </row>
    <row r="1005" spans="2:41" s="262" customFormat="1">
      <c r="B1005" s="292" t="s">
        <v>64</v>
      </c>
      <c r="C1005" s="269" t="s">
        <v>65</v>
      </c>
      <c r="D1005" s="269" t="s">
        <v>158</v>
      </c>
      <c r="E1005" s="269"/>
      <c r="F1005" s="264"/>
      <c r="G1005" s="270">
        <v>42</v>
      </c>
      <c r="H1005" s="270">
        <v>47</v>
      </c>
      <c r="I1005" s="270">
        <v>66</v>
      </c>
      <c r="J1005" s="270">
        <v>44</v>
      </c>
      <c r="K1005" s="270">
        <v>25</v>
      </c>
      <c r="L1005" s="271">
        <v>5</v>
      </c>
      <c r="M1005" s="271">
        <v>4</v>
      </c>
      <c r="N1005" s="271">
        <v>6</v>
      </c>
      <c r="O1005" s="91">
        <v>24</v>
      </c>
      <c r="P1005" s="270">
        <v>39</v>
      </c>
      <c r="Q1005" s="271">
        <v>8</v>
      </c>
      <c r="R1005" s="91">
        <v>3</v>
      </c>
      <c r="S1005" s="271">
        <v>8</v>
      </c>
      <c r="T1005" s="91">
        <v>26</v>
      </c>
      <c r="U1005" s="270">
        <v>45</v>
      </c>
      <c r="V1005" s="271">
        <v>9</v>
      </c>
      <c r="W1005" s="271">
        <v>13</v>
      </c>
      <c r="X1005" s="1163">
        <f>(Z1005-V1005-W1005)/2</f>
        <v>15</v>
      </c>
      <c r="Y1005" s="1163">
        <f>Z1005-V1005-W1005-X1005</f>
        <v>15</v>
      </c>
      <c r="Z1005" s="270">
        <v>52</v>
      </c>
      <c r="AA1005" s="761">
        <f>AE1005/4</f>
        <v>13</v>
      </c>
      <c r="AB1005" s="217">
        <f>(AE1005-AA1005)/3</f>
        <v>13</v>
      </c>
      <c r="AC1005" s="217">
        <f>(AE1005-AA1005-AB1005)/2</f>
        <v>13</v>
      </c>
      <c r="AD1005" s="217">
        <f>AE1005-AA1005-AB1005-AC1005</f>
        <v>13</v>
      </c>
      <c r="AE1005" s="312">
        <f>Z1005</f>
        <v>52</v>
      </c>
      <c r="AF1005" s="312">
        <f>AE1005</f>
        <v>52</v>
      </c>
      <c r="AG1005" s="312">
        <f t="shared" ref="AG1005:AL1005" si="883">AF1005</f>
        <v>52</v>
      </c>
      <c r="AH1005" s="312">
        <f t="shared" si="883"/>
        <v>52</v>
      </c>
      <c r="AI1005" s="312">
        <f t="shared" si="883"/>
        <v>52</v>
      </c>
      <c r="AJ1005" s="312">
        <f t="shared" si="883"/>
        <v>52</v>
      </c>
      <c r="AK1005" s="312">
        <f t="shared" si="883"/>
        <v>52</v>
      </c>
      <c r="AL1005" s="312">
        <f t="shared" si="883"/>
        <v>52</v>
      </c>
      <c r="AM1005" s="651"/>
      <c r="AN1005" s="264"/>
      <c r="AO1005" s="264"/>
    </row>
    <row r="1006" spans="2:41" s="262" customFormat="1">
      <c r="B1006" s="292" t="s">
        <v>64</v>
      </c>
      <c r="C1006" s="269" t="s">
        <v>65</v>
      </c>
      <c r="D1006" s="283" t="s">
        <v>181</v>
      </c>
      <c r="E1006" s="283"/>
      <c r="F1006" s="280"/>
      <c r="G1006" s="293">
        <f>SUM(G1004:G1005)</f>
        <v>234</v>
      </c>
      <c r="H1006" s="293">
        <f t="shared" ref="H1006:Q1006" si="884">SUM(H1004:H1005)</f>
        <v>239</v>
      </c>
      <c r="I1006" s="293">
        <f t="shared" si="884"/>
        <v>211</v>
      </c>
      <c r="J1006" s="293">
        <f>SUM(J1004:J1005)</f>
        <v>190</v>
      </c>
      <c r="K1006" s="293">
        <f t="shared" si="884"/>
        <v>244</v>
      </c>
      <c r="L1006" s="294">
        <f t="shared" si="884"/>
        <v>56</v>
      </c>
      <c r="M1006" s="294">
        <f>SUM(M1004:M1005)</f>
        <v>89</v>
      </c>
      <c r="N1006" s="294">
        <f>SUM(N1004:N1005)</f>
        <v>115</v>
      </c>
      <c r="O1006" s="294">
        <f>SUM(O1004:O1005)</f>
        <v>149</v>
      </c>
      <c r="P1006" s="293">
        <f t="shared" si="884"/>
        <v>409</v>
      </c>
      <c r="Q1006" s="294">
        <f t="shared" si="884"/>
        <v>48</v>
      </c>
      <c r="R1006" s="294">
        <f>SUM(R1004:R1005)</f>
        <v>64</v>
      </c>
      <c r="S1006" s="294">
        <f>SUM(S1004:S1005)</f>
        <v>91</v>
      </c>
      <c r="T1006" s="294">
        <f>SUM(T1004:T1005)</f>
        <v>102</v>
      </c>
      <c r="U1006" s="293">
        <f>SUM(U1004:U1005)</f>
        <v>305</v>
      </c>
      <c r="V1006" s="294">
        <f>V1004+V1005</f>
        <v>50</v>
      </c>
      <c r="W1006" s="294">
        <f>W1004+W1005</f>
        <v>66</v>
      </c>
      <c r="X1006" s="294">
        <f>X1004+X1005</f>
        <v>75</v>
      </c>
      <c r="Y1006" s="1182">
        <v>53</v>
      </c>
      <c r="Z1006" s="293">
        <v>247</v>
      </c>
      <c r="AA1006" s="294">
        <f>AA1004+AA1005</f>
        <v>61.75</v>
      </c>
      <c r="AB1006" s="294">
        <f>AB1004+AB1005</f>
        <v>61.75</v>
      </c>
      <c r="AC1006" s="294">
        <f>AC1004+AC1005</f>
        <v>61.75</v>
      </c>
      <c r="AD1006" s="294">
        <f>AD1004+AD1005</f>
        <v>61.75</v>
      </c>
      <c r="AE1006" s="1026">
        <f>SUM(AE1004:AE1005)</f>
        <v>247</v>
      </c>
      <c r="AF1006" s="1026">
        <f>SUM(AF1004:AF1005)</f>
        <v>247</v>
      </c>
      <c r="AG1006" s="1026">
        <f t="shared" ref="AG1006:AL1006" si="885">SUM(AG1004:AG1005)</f>
        <v>247</v>
      </c>
      <c r="AH1006" s="1026">
        <f t="shared" si="885"/>
        <v>247</v>
      </c>
      <c r="AI1006" s="1026">
        <f t="shared" si="885"/>
        <v>247</v>
      </c>
      <c r="AJ1006" s="1026">
        <f t="shared" si="885"/>
        <v>247</v>
      </c>
      <c r="AK1006" s="1026">
        <f t="shared" si="885"/>
        <v>247</v>
      </c>
      <c r="AL1006" s="1026">
        <f t="shared" si="885"/>
        <v>247</v>
      </c>
      <c r="AM1006" s="651"/>
      <c r="AN1006" s="264"/>
      <c r="AO1006" s="264"/>
    </row>
    <row r="1007" spans="2:41" s="262" customFormat="1">
      <c r="B1007" s="266"/>
      <c r="C1007" s="268"/>
      <c r="D1007" s="269"/>
      <c r="E1007" s="269"/>
      <c r="F1007" s="264"/>
      <c r="G1007" s="266"/>
      <c r="H1007" s="266"/>
      <c r="I1007" s="266"/>
      <c r="J1007" s="266"/>
      <c r="K1007" s="266"/>
      <c r="L1007" s="267"/>
      <c r="M1007" s="267"/>
      <c r="N1007" s="267"/>
      <c r="O1007" s="267"/>
      <c r="P1007" s="266"/>
      <c r="Q1007" s="267"/>
      <c r="R1007" s="267"/>
      <c r="S1007" s="267"/>
      <c r="T1007" s="267"/>
      <c r="U1007" s="264"/>
      <c r="V1007" s="267"/>
      <c r="W1007" s="265"/>
      <c r="X1007" s="265"/>
      <c r="Y1007" s="265"/>
      <c r="Z1007" s="264"/>
      <c r="AA1007" s="1028"/>
      <c r="AB1007" s="1028"/>
      <c r="AC1007" s="1028"/>
      <c r="AD1007" s="1028"/>
      <c r="AE1007" s="264"/>
      <c r="AF1007" s="264"/>
      <c r="AG1007" s="264"/>
      <c r="AH1007" s="264"/>
      <c r="AI1007" s="264"/>
      <c r="AJ1007" s="264"/>
      <c r="AK1007" s="264"/>
      <c r="AL1007" s="264"/>
      <c r="AM1007" s="651"/>
      <c r="AN1007" s="264"/>
      <c r="AO1007" s="264"/>
    </row>
    <row r="1008" spans="2:41" s="262" customFormat="1">
      <c r="B1008" s="266"/>
      <c r="C1008" s="268"/>
      <c r="D1008" s="269"/>
      <c r="E1008" s="269"/>
      <c r="F1008" s="264"/>
      <c r="G1008" s="266"/>
      <c r="H1008" s="266"/>
      <c r="I1008" s="266"/>
      <c r="J1008" s="266"/>
      <c r="K1008" s="266"/>
      <c r="L1008" s="267"/>
      <c r="M1008" s="267"/>
      <c r="N1008" s="267"/>
      <c r="O1008" s="267"/>
      <c r="P1008" s="266"/>
      <c r="Q1008" s="267"/>
      <c r="R1008" s="267"/>
      <c r="S1008" s="267"/>
      <c r="T1008" s="267"/>
      <c r="U1008" s="264"/>
      <c r="V1008" s="267"/>
      <c r="W1008" s="265"/>
      <c r="X1008" s="265"/>
      <c r="Y1008" s="265"/>
      <c r="Z1008" s="264"/>
      <c r="AA1008" s="265"/>
      <c r="AB1008" s="265"/>
      <c r="AC1008" s="265"/>
      <c r="AD1008" s="265"/>
      <c r="AE1008" s="264"/>
      <c r="AF1008" s="264"/>
      <c r="AG1008" s="264"/>
      <c r="AH1008" s="264"/>
      <c r="AI1008" s="264"/>
      <c r="AJ1008" s="264"/>
      <c r="AK1008" s="264"/>
      <c r="AL1008" s="264"/>
      <c r="AM1008" s="651"/>
      <c r="AN1008" s="264"/>
      <c r="AO1008" s="264"/>
    </row>
    <row r="1009" spans="2:41" s="262" customFormat="1">
      <c r="B1009" s="266"/>
      <c r="C1009" s="268"/>
      <c r="D1009" s="269"/>
      <c r="E1009" s="269"/>
      <c r="F1009" s="264"/>
      <c r="G1009" s="266"/>
      <c r="H1009" s="266"/>
      <c r="I1009" s="266"/>
      <c r="J1009" s="266"/>
      <c r="K1009" s="266"/>
      <c r="L1009" s="267"/>
      <c r="M1009" s="267"/>
      <c r="N1009" s="267"/>
      <c r="O1009" s="267"/>
      <c r="P1009" s="266"/>
      <c r="Q1009" s="267"/>
      <c r="R1009" s="267"/>
      <c r="S1009" s="267"/>
      <c r="T1009" s="267"/>
      <c r="U1009" s="264"/>
      <c r="V1009" s="267"/>
      <c r="W1009" s="265"/>
      <c r="X1009" s="265"/>
      <c r="Y1009" s="265"/>
      <c r="Z1009" s="264"/>
      <c r="AA1009" s="265"/>
      <c r="AB1009" s="265"/>
      <c r="AC1009" s="265"/>
      <c r="AD1009" s="265"/>
      <c r="AE1009" s="264"/>
      <c r="AF1009" s="264"/>
      <c r="AG1009" s="264"/>
      <c r="AH1009" s="264"/>
      <c r="AI1009" s="264"/>
      <c r="AJ1009" s="264"/>
      <c r="AK1009" s="264"/>
      <c r="AL1009" s="264"/>
      <c r="AM1009" s="651"/>
      <c r="AN1009" s="264"/>
      <c r="AO1009" s="264"/>
    </row>
    <row r="1010" spans="2:41" s="262" customFormat="1">
      <c r="B1010" s="266"/>
      <c r="C1010" s="268"/>
      <c r="D1010" s="288" t="s">
        <v>232</v>
      </c>
      <c r="E1010" s="288"/>
      <c r="F1010" s="264"/>
      <c r="G1010" s="266"/>
      <c r="H1010" s="266"/>
      <c r="I1010" s="266"/>
      <c r="J1010" s="266"/>
      <c r="K1010" s="266"/>
      <c r="L1010" s="267"/>
      <c r="M1010" s="267"/>
      <c r="N1010" s="267"/>
      <c r="O1010" s="267"/>
      <c r="P1010" s="266"/>
      <c r="Q1010" s="267"/>
      <c r="R1010" s="267"/>
      <c r="S1010" s="267"/>
      <c r="T1010" s="267"/>
      <c r="U1010" s="264"/>
      <c r="V1010" s="267"/>
      <c r="W1010" s="265"/>
      <c r="X1010" s="265"/>
      <c r="Y1010" s="265"/>
      <c r="Z1010" s="264"/>
      <c r="AA1010" s="265"/>
      <c r="AB1010" s="265"/>
      <c r="AC1010" s="265"/>
      <c r="AD1010" s="265"/>
      <c r="AE1010" s="264"/>
      <c r="AF1010" s="264"/>
      <c r="AG1010" s="264"/>
      <c r="AH1010" s="264"/>
      <c r="AI1010" s="264"/>
      <c r="AJ1010" s="264"/>
      <c r="AK1010" s="264"/>
      <c r="AL1010" s="264"/>
      <c r="AM1010" s="651"/>
      <c r="AN1010" s="264"/>
      <c r="AO1010" s="264"/>
    </row>
    <row r="1011" spans="2:41" s="262" customFormat="1">
      <c r="B1011" s="266"/>
      <c r="C1011" s="268"/>
      <c r="D1011" s="262" t="s">
        <v>230</v>
      </c>
      <c r="F1011" s="264"/>
      <c r="G1011" s="295" t="e">
        <f>G976/#REF!</f>
        <v>#REF!</v>
      </c>
      <c r="H1011" s="295" t="e">
        <f>H976/#REF!</f>
        <v>#REF!</v>
      </c>
      <c r="I1011" s="295" t="e">
        <f>I976/#REF!</f>
        <v>#REF!</v>
      </c>
      <c r="J1011" s="295" t="e">
        <f>J976/#REF!</f>
        <v>#REF!</v>
      </c>
      <c r="K1011" s="295" t="e">
        <f>K976/#REF!</f>
        <v>#REF!</v>
      </c>
      <c r="L1011" s="296" t="e">
        <f>L976/#REF!</f>
        <v>#REF!</v>
      </c>
      <c r="M1011" s="296" t="e">
        <f>M976/#REF!</f>
        <v>#REF!</v>
      </c>
      <c r="N1011" s="296" t="e">
        <f>N976/#REF!</f>
        <v>#REF!</v>
      </c>
      <c r="O1011" s="296" t="e">
        <f>O976/#REF!</f>
        <v>#REF!</v>
      </c>
      <c r="P1011" s="295" t="e">
        <f>P976/#REF!</f>
        <v>#REF!</v>
      </c>
      <c r="Q1011" s="296" t="e">
        <f>Q976/#REF!</f>
        <v>#REF!</v>
      </c>
      <c r="R1011" s="296" t="e">
        <f>R976/#REF!</f>
        <v>#REF!</v>
      </c>
      <c r="S1011" s="296" t="e">
        <f>S976/#REF!</f>
        <v>#REF!</v>
      </c>
      <c r="T1011" s="296" t="e">
        <f>T976/#REF!</f>
        <v>#REF!</v>
      </c>
      <c r="U1011" s="295" t="e">
        <f>U976/#REF!</f>
        <v>#REF!</v>
      </c>
      <c r="V1011" s="296" t="e">
        <f>V976/#REF!</f>
        <v>#REF!</v>
      </c>
      <c r="W1011" s="296"/>
      <c r="X1011" s="296"/>
      <c r="Y1011" s="296"/>
      <c r="Z1011" s="295">
        <f ca="1">Z976/#REF!</f>
        <v>0</v>
      </c>
      <c r="AA1011" s="296"/>
      <c r="AB1011" s="296"/>
      <c r="AC1011" s="296"/>
      <c r="AD1011" s="296"/>
      <c r="AE1011" s="295" t="e">
        <f ca="1">AE976/#REF!</f>
        <v>#REF!</v>
      </c>
      <c r="AF1011" s="295" t="e">
        <f ca="1">AF976/#REF!</f>
        <v>#REF!</v>
      </c>
      <c r="AG1011" s="264"/>
      <c r="AH1011" s="264"/>
      <c r="AI1011" s="264"/>
      <c r="AJ1011" s="264"/>
      <c r="AK1011" s="264"/>
      <c r="AL1011" s="264"/>
      <c r="AM1011" s="651"/>
      <c r="AN1011" s="264"/>
      <c r="AO1011" s="264"/>
    </row>
    <row r="1012" spans="2:41" s="262" customFormat="1">
      <c r="B1012" s="266"/>
      <c r="C1012" s="268"/>
      <c r="D1012" s="262" t="s">
        <v>183</v>
      </c>
      <c r="F1012" s="264"/>
      <c r="G1012" s="297">
        <f t="shared" ref="G1012:V1012" si="886">(G1004/G1545)/(G1018/G1493)</f>
        <v>0.79486390896509307</v>
      </c>
      <c r="H1012" s="297">
        <f t="shared" si="886"/>
        <v>1.4103009508496396</v>
      </c>
      <c r="I1012" s="297">
        <f t="shared" si="886"/>
        <v>0.93405134296250658</v>
      </c>
      <c r="J1012" s="297">
        <f t="shared" si="886"/>
        <v>0.98172409992541532</v>
      </c>
      <c r="K1012" s="297">
        <f t="shared" si="886"/>
        <v>1.3447712483333667</v>
      </c>
      <c r="L1012" s="298">
        <f t="shared" si="886"/>
        <v>1.1357911068796502</v>
      </c>
      <c r="M1012" s="298">
        <f t="shared" si="886"/>
        <v>2.490425494802845</v>
      </c>
      <c r="N1012" s="298" t="e">
        <f t="shared" si="886"/>
        <v>#DIV/0!</v>
      </c>
      <c r="O1012" s="298">
        <f t="shared" si="886"/>
        <v>1.9403812404023943</v>
      </c>
      <c r="P1012" s="297">
        <f t="shared" si="886"/>
        <v>2.0491077443242074</v>
      </c>
      <c r="Q1012" s="298">
        <f t="shared" si="886"/>
        <v>0.89827091488975874</v>
      </c>
      <c r="R1012" s="298">
        <f t="shared" si="886"/>
        <v>1.0742736059117384</v>
      </c>
      <c r="S1012" s="298">
        <f t="shared" si="886"/>
        <v>1.0776238822652757</v>
      </c>
      <c r="T1012" s="298">
        <f t="shared" si="886"/>
        <v>0.8744689909424358</v>
      </c>
      <c r="U1012" s="297">
        <f t="shared" si="886"/>
        <v>0.94200053623410451</v>
      </c>
      <c r="V1012" s="298">
        <f t="shared" si="886"/>
        <v>0.51604888417406025</v>
      </c>
      <c r="W1012" s="298"/>
      <c r="X1012" s="298"/>
      <c r="Y1012" s="298"/>
      <c r="Z1012" s="297">
        <f ca="1">(Z1004/Z1545)/(Z1018/Z1493)</f>
        <v>0.73319003641431835</v>
      </c>
      <c r="AA1012" s="298"/>
      <c r="AB1012" s="298"/>
      <c r="AC1012" s="298"/>
      <c r="AD1012" s="298"/>
      <c r="AE1012" s="297">
        <f ca="1">(AE1004/AE1545)/(AE1018/AE1493)</f>
        <v>0.74501212599926769</v>
      </c>
      <c r="AF1012" s="297">
        <f ca="1">(AF1004/AF1545)/(AF1018/AF1493)</f>
        <v>1.5242616919151941</v>
      </c>
      <c r="AG1012" s="264"/>
      <c r="AH1012" s="264"/>
      <c r="AI1012" s="264"/>
      <c r="AJ1012" s="264"/>
      <c r="AK1012" s="264"/>
      <c r="AL1012" s="264"/>
      <c r="AM1012" s="651"/>
      <c r="AN1012" s="264"/>
      <c r="AO1012" s="264"/>
    </row>
    <row r="1013" spans="2:41" s="262" customFormat="1">
      <c r="B1013" s="266"/>
      <c r="C1013" s="268"/>
      <c r="D1013" s="183" t="s">
        <v>220</v>
      </c>
      <c r="E1013" s="734"/>
      <c r="F1013" s="280"/>
      <c r="G1013" s="281" t="e">
        <f>G1011/G1012</f>
        <v>#REF!</v>
      </c>
      <c r="H1013" s="281" t="e">
        <f t="shared" ref="H1013:P1013" si="887">H1011/H1012</f>
        <v>#REF!</v>
      </c>
      <c r="I1013" s="281" t="e">
        <f t="shared" si="887"/>
        <v>#REF!</v>
      </c>
      <c r="J1013" s="281" t="e">
        <f t="shared" si="887"/>
        <v>#REF!</v>
      </c>
      <c r="K1013" s="281" t="e">
        <f t="shared" si="887"/>
        <v>#REF!</v>
      </c>
      <c r="L1013" s="282" t="e">
        <f>L1011/L1012</f>
        <v>#REF!</v>
      </c>
      <c r="M1013" s="282" t="e">
        <f>M1011/M1012</f>
        <v>#REF!</v>
      </c>
      <c r="N1013" s="282" t="e">
        <f>N1011/N1012</f>
        <v>#REF!</v>
      </c>
      <c r="O1013" s="282" t="e">
        <f>O1011/O1012</f>
        <v>#REF!</v>
      </c>
      <c r="P1013" s="281" t="e">
        <f t="shared" si="887"/>
        <v>#REF!</v>
      </c>
      <c r="Q1013" s="282" t="e">
        <f t="shared" ref="Q1013:AF1013" si="888">Q1011/Q1012</f>
        <v>#REF!</v>
      </c>
      <c r="R1013" s="282" t="e">
        <f t="shared" si="888"/>
        <v>#REF!</v>
      </c>
      <c r="S1013" s="282" t="e">
        <f t="shared" si="888"/>
        <v>#REF!</v>
      </c>
      <c r="T1013" s="282" t="e">
        <f t="shared" si="888"/>
        <v>#REF!</v>
      </c>
      <c r="U1013" s="281" t="e">
        <f t="shared" si="888"/>
        <v>#REF!</v>
      </c>
      <c r="V1013" s="282" t="e">
        <f>V1011/V1012</f>
        <v>#REF!</v>
      </c>
      <c r="W1013" s="1029"/>
      <c r="X1013" s="1029"/>
      <c r="Y1013" s="1029"/>
      <c r="Z1013" s="280" t="e">
        <f t="shared" ca="1" si="888"/>
        <v>#REF!</v>
      </c>
      <c r="AA1013" s="1029"/>
      <c r="AB1013" s="1029"/>
      <c r="AC1013" s="1029"/>
      <c r="AD1013" s="1029"/>
      <c r="AE1013" s="280" t="e">
        <f t="shared" ca="1" si="888"/>
        <v>#REF!</v>
      </c>
      <c r="AF1013" s="280" t="e">
        <f t="shared" ca="1" si="888"/>
        <v>#REF!</v>
      </c>
      <c r="AG1013" s="280"/>
      <c r="AH1013" s="280"/>
      <c r="AI1013" s="280"/>
      <c r="AJ1013" s="280"/>
      <c r="AK1013" s="280"/>
      <c r="AL1013" s="280"/>
      <c r="AM1013" s="651"/>
      <c r="AN1013" s="264"/>
      <c r="AO1013" s="264"/>
    </row>
    <row r="1014" spans="2:41" s="262" customFormat="1">
      <c r="B1014" s="266"/>
      <c r="C1014" s="268"/>
      <c r="D1014" s="269"/>
      <c r="E1014" s="269"/>
      <c r="F1014" s="264"/>
      <c r="G1014" s="266"/>
      <c r="H1014" s="266"/>
      <c r="I1014" s="266"/>
      <c r="J1014" s="266"/>
      <c r="K1014" s="266"/>
      <c r="L1014" s="267"/>
      <c r="M1014" s="267"/>
      <c r="N1014" s="267"/>
      <c r="O1014" s="267"/>
      <c r="P1014" s="266"/>
      <c r="Q1014" s="267"/>
      <c r="R1014" s="267"/>
      <c r="S1014" s="267"/>
      <c r="T1014" s="267"/>
      <c r="U1014" s="264"/>
      <c r="V1014" s="267"/>
      <c r="W1014" s="265"/>
      <c r="X1014" s="265"/>
      <c r="Y1014" s="265"/>
      <c r="Z1014" s="264"/>
      <c r="AA1014" s="265"/>
      <c r="AB1014" s="265"/>
      <c r="AC1014" s="265"/>
      <c r="AD1014" s="265"/>
      <c r="AE1014" s="264"/>
      <c r="AF1014" s="264"/>
      <c r="AG1014" s="264"/>
      <c r="AH1014" s="264"/>
      <c r="AI1014" s="264"/>
      <c r="AJ1014" s="264"/>
      <c r="AK1014" s="264"/>
      <c r="AL1014" s="264"/>
      <c r="AM1014" s="651"/>
      <c r="AN1014" s="264"/>
      <c r="AO1014" s="264"/>
    </row>
    <row r="1015" spans="2:41" s="262" customFormat="1">
      <c r="L1015" s="274"/>
      <c r="M1015" s="274"/>
      <c r="N1015" s="274"/>
      <c r="O1015" s="274"/>
      <c r="Q1015" s="274"/>
      <c r="R1015" s="274"/>
      <c r="S1015" s="274"/>
      <c r="T1015" s="274"/>
      <c r="U1015" s="264"/>
      <c r="V1015" s="274"/>
      <c r="W1015" s="265"/>
      <c r="X1015" s="265"/>
      <c r="Y1015" s="265"/>
      <c r="Z1015" s="264"/>
      <c r="AA1015" s="265"/>
      <c r="AB1015" s="265"/>
      <c r="AC1015" s="265"/>
      <c r="AD1015" s="265"/>
      <c r="AE1015" s="264"/>
      <c r="AF1015" s="264"/>
      <c r="AG1015" s="264"/>
      <c r="AH1015" s="264"/>
      <c r="AI1015" s="264"/>
      <c r="AJ1015" s="264"/>
      <c r="AK1015" s="264"/>
      <c r="AL1015" s="264"/>
      <c r="AM1015" s="651"/>
      <c r="AN1015" s="264"/>
      <c r="AO1015" s="264"/>
    </row>
    <row r="1016" spans="2:41" s="262" customFormat="1">
      <c r="L1016" s="274"/>
      <c r="M1016" s="274"/>
      <c r="N1016" s="274"/>
      <c r="O1016" s="274"/>
      <c r="Q1016" s="274"/>
      <c r="R1016" s="274"/>
      <c r="S1016" s="274"/>
      <c r="T1016" s="274"/>
      <c r="U1016" s="264"/>
      <c r="V1016" s="274"/>
      <c r="W1016" s="265"/>
      <c r="X1016" s="265"/>
      <c r="Y1016" s="265"/>
      <c r="Z1016" s="264"/>
      <c r="AA1016" s="265"/>
      <c r="AB1016" s="265"/>
      <c r="AC1016" s="265"/>
      <c r="AD1016" s="265"/>
      <c r="AE1016" s="264"/>
      <c r="AF1016" s="264"/>
      <c r="AG1016" s="264"/>
      <c r="AH1016" s="264"/>
      <c r="AI1016" s="264"/>
      <c r="AJ1016" s="264"/>
      <c r="AK1016" s="264"/>
      <c r="AL1016" s="264"/>
      <c r="AM1016" s="651"/>
      <c r="AN1016" s="264"/>
      <c r="AO1016" s="264"/>
    </row>
    <row r="1017" spans="2:41" s="262" customFormat="1">
      <c r="D1017" s="739" t="s">
        <v>756</v>
      </c>
      <c r="L1017" s="274"/>
      <c r="M1017" s="274"/>
      <c r="N1017" s="274"/>
      <c r="O1017" s="274"/>
      <c r="Q1017" s="274"/>
      <c r="R1017" s="274"/>
      <c r="S1017" s="274"/>
      <c r="T1017" s="274"/>
      <c r="U1017" s="264"/>
      <c r="V1017" s="274"/>
      <c r="W1017" s="1028"/>
      <c r="X1017" s="1028"/>
      <c r="Y1017" s="1028"/>
      <c r="Z1017" s="264"/>
      <c r="AA1017" s="265"/>
      <c r="AB1017" s="265"/>
      <c r="AC1017" s="265"/>
      <c r="AD1017" s="265"/>
      <c r="AE1017" s="264"/>
      <c r="AF1017" s="264"/>
      <c r="AG1017" s="264"/>
      <c r="AH1017" s="264"/>
      <c r="AI1017" s="264"/>
      <c r="AJ1017" s="264"/>
      <c r="AK1017" s="264"/>
      <c r="AL1017" s="264"/>
      <c r="AM1017" s="651"/>
      <c r="AN1017" s="264"/>
      <c r="AO1017" s="264"/>
    </row>
    <row r="1018" spans="2:41" s="262" customFormat="1">
      <c r="B1018" s="266" t="s">
        <v>64</v>
      </c>
      <c r="C1018" s="268" t="s">
        <v>65</v>
      </c>
      <c r="D1018" s="262" t="s">
        <v>182</v>
      </c>
      <c r="F1018" s="264"/>
      <c r="G1018" s="299">
        <v>4704</v>
      </c>
      <c r="H1018" s="299">
        <v>3348</v>
      </c>
      <c r="I1018" s="299">
        <v>3406</v>
      </c>
      <c r="J1018" s="299">
        <v>3742</v>
      </c>
      <c r="K1018" s="299">
        <v>3720</v>
      </c>
      <c r="L1018" s="300">
        <v>3699</v>
      </c>
      <c r="M1018" s="300">
        <v>3811</v>
      </c>
      <c r="N1018" s="300"/>
      <c r="O1018" s="300">
        <f>P1018</f>
        <v>3754</v>
      </c>
      <c r="P1018" s="299">
        <v>3754</v>
      </c>
      <c r="Q1018" s="300">
        <v>3890</v>
      </c>
      <c r="R1018" s="300">
        <v>3907</v>
      </c>
      <c r="S1018" s="300">
        <f>U1018</f>
        <v>3904</v>
      </c>
      <c r="T1018" s="300">
        <f>U1018</f>
        <v>3904</v>
      </c>
      <c r="U1018" s="299">
        <v>3904</v>
      </c>
      <c r="V1018" s="300">
        <v>3766</v>
      </c>
      <c r="W1018" s="300">
        <v>3814</v>
      </c>
      <c r="X1018" s="1013">
        <f>Z1018</f>
        <v>4006</v>
      </c>
      <c r="Y1018" s="300">
        <f>Z1018</f>
        <v>4006</v>
      </c>
      <c r="Z1018" s="299">
        <v>4006</v>
      </c>
      <c r="AA1018" s="761">
        <f>AE1018</f>
        <v>4006</v>
      </c>
      <c r="AB1018" s="761">
        <f>AE1018</f>
        <v>4006</v>
      </c>
      <c r="AC1018" s="761">
        <f>AE1018</f>
        <v>4006</v>
      </c>
      <c r="AD1018" s="761">
        <f>AE1018</f>
        <v>4006</v>
      </c>
      <c r="AE1018" s="312">
        <f>Z1018</f>
        <v>4006</v>
      </c>
      <c r="AF1018" s="312">
        <f>AE1018</f>
        <v>4006</v>
      </c>
      <c r="AG1018" s="312">
        <f t="shared" ref="AG1018:AL1018" si="889">AF1018</f>
        <v>4006</v>
      </c>
      <c r="AH1018" s="312">
        <f t="shared" si="889"/>
        <v>4006</v>
      </c>
      <c r="AI1018" s="312">
        <f t="shared" si="889"/>
        <v>4006</v>
      </c>
      <c r="AJ1018" s="312">
        <f t="shared" si="889"/>
        <v>4006</v>
      </c>
      <c r="AK1018" s="312">
        <f t="shared" si="889"/>
        <v>4006</v>
      </c>
      <c r="AL1018" s="312">
        <f t="shared" si="889"/>
        <v>4006</v>
      </c>
      <c r="AM1018" s="651"/>
      <c r="AN1018" s="264"/>
      <c r="AO1018" s="264"/>
    </row>
    <row r="1019" spans="2:41" s="262" customFormat="1">
      <c r="B1019" s="292" t="s">
        <v>64</v>
      </c>
      <c r="C1019" s="269" t="s">
        <v>65</v>
      </c>
      <c r="D1019" s="262" t="s">
        <v>185</v>
      </c>
      <c r="F1019" s="264"/>
      <c r="G1019" s="299"/>
      <c r="H1019" s="299">
        <v>2350</v>
      </c>
      <c r="I1019" s="299">
        <v>2590</v>
      </c>
      <c r="J1019" s="299">
        <v>2464</v>
      </c>
      <c r="K1019" s="299"/>
      <c r="L1019" s="300"/>
      <c r="M1019" s="300"/>
      <c r="N1019" s="300"/>
      <c r="O1019" s="300"/>
      <c r="P1019" s="299"/>
      <c r="Q1019" s="300"/>
      <c r="R1019" s="300"/>
      <c r="S1019" s="300"/>
      <c r="T1019" s="300"/>
      <c r="U1019" s="264"/>
      <c r="V1019" s="300"/>
      <c r="W1019" s="1028"/>
      <c r="X1019" s="1166"/>
      <c r="Y1019" s="1028"/>
      <c r="Z1019" s="264"/>
      <c r="AA1019" s="265"/>
      <c r="AB1019" s="265"/>
      <c r="AC1019" s="265"/>
      <c r="AD1019" s="265"/>
      <c r="AE1019" s="264"/>
      <c r="AF1019" s="264"/>
      <c r="AG1019" s="264"/>
      <c r="AH1019" s="264"/>
      <c r="AI1019" s="264"/>
      <c r="AJ1019" s="264"/>
      <c r="AK1019" s="264"/>
      <c r="AL1019" s="264"/>
      <c r="AM1019" s="651"/>
      <c r="AN1019" s="264"/>
      <c r="AO1019" s="264"/>
    </row>
    <row r="1020" spans="2:41" s="262" customFormat="1">
      <c r="B1020" s="292" t="s">
        <v>64</v>
      </c>
      <c r="C1020" s="269" t="s">
        <v>65</v>
      </c>
      <c r="D1020" s="262" t="s">
        <v>53</v>
      </c>
      <c r="F1020" s="264"/>
      <c r="G1020" s="299">
        <v>0</v>
      </c>
      <c r="H1020" s="299">
        <v>0</v>
      </c>
      <c r="I1020" s="299">
        <v>0</v>
      </c>
      <c r="J1020" s="299">
        <v>0</v>
      </c>
      <c r="K1020" s="299">
        <v>0</v>
      </c>
      <c r="L1020" s="300">
        <v>0</v>
      </c>
      <c r="M1020" s="300">
        <v>0</v>
      </c>
      <c r="N1020" s="300"/>
      <c r="O1020" s="300">
        <v>0</v>
      </c>
      <c r="P1020" s="299">
        <v>0</v>
      </c>
      <c r="Q1020" s="300">
        <v>0</v>
      </c>
      <c r="R1020" s="300">
        <v>0</v>
      </c>
      <c r="S1020" s="300">
        <v>0</v>
      </c>
      <c r="T1020" s="300">
        <v>0</v>
      </c>
      <c r="U1020" s="299">
        <v>0</v>
      </c>
      <c r="V1020" s="300">
        <v>0</v>
      </c>
      <c r="W1020" s="300">
        <v>0</v>
      </c>
      <c r="X1020" s="300">
        <v>0</v>
      </c>
      <c r="Y1020" s="300">
        <v>0</v>
      </c>
      <c r="Z1020" s="299">
        <v>0</v>
      </c>
      <c r="AA1020" s="265"/>
      <c r="AB1020" s="265"/>
      <c r="AC1020" s="265"/>
      <c r="AD1020" s="265"/>
      <c r="AE1020" s="264"/>
      <c r="AF1020" s="264"/>
      <c r="AG1020" s="264"/>
      <c r="AH1020" s="264"/>
      <c r="AI1020" s="264"/>
      <c r="AJ1020" s="264"/>
      <c r="AK1020" s="264"/>
      <c r="AL1020" s="264"/>
      <c r="AM1020" s="651"/>
      <c r="AN1020" s="264"/>
      <c r="AO1020" s="264"/>
    </row>
    <row r="1021" spans="2:41" s="262" customFormat="1">
      <c r="B1021" s="292"/>
      <c r="C1021" s="269"/>
      <c r="L1021" s="274"/>
      <c r="M1021" s="274"/>
      <c r="N1021" s="274"/>
      <c r="O1021" s="274"/>
      <c r="Q1021" s="274"/>
      <c r="R1021" s="274"/>
      <c r="S1021" s="274"/>
      <c r="T1021" s="274"/>
      <c r="V1021" s="274"/>
      <c r="W1021" s="274"/>
      <c r="X1021" s="274"/>
      <c r="Y1021" s="274"/>
      <c r="Z1021" s="264"/>
      <c r="AA1021" s="265"/>
      <c r="AB1021" s="265"/>
      <c r="AC1021" s="265"/>
      <c r="AD1021" s="265"/>
      <c r="AE1021" s="264"/>
      <c r="AF1021" s="264"/>
      <c r="AG1021" s="264"/>
      <c r="AH1021" s="264"/>
      <c r="AI1021" s="264"/>
      <c r="AJ1021" s="264"/>
      <c r="AK1021" s="264"/>
      <c r="AL1021" s="264"/>
      <c r="AM1021" s="651"/>
      <c r="AN1021" s="264"/>
      <c r="AO1021" s="264"/>
    </row>
    <row r="1022" spans="2:41" s="262" customFormat="1">
      <c r="B1022" s="292"/>
      <c r="C1022" s="269"/>
      <c r="L1022" s="274"/>
      <c r="M1022" s="274"/>
      <c r="N1022" s="274"/>
      <c r="O1022" s="274"/>
      <c r="Q1022" s="274"/>
      <c r="R1022" s="274"/>
      <c r="S1022" s="274"/>
      <c r="T1022" s="274"/>
      <c r="V1022" s="274"/>
      <c r="W1022" s="274"/>
      <c r="X1022" s="274"/>
      <c r="Y1022" s="274"/>
      <c r="Z1022" s="264"/>
      <c r="AA1022" s="265"/>
      <c r="AB1022" s="265"/>
      <c r="AC1022" s="265"/>
      <c r="AD1022" s="265"/>
      <c r="AE1022" s="264"/>
      <c r="AF1022" s="264"/>
      <c r="AG1022" s="264"/>
      <c r="AH1022" s="264"/>
      <c r="AI1022" s="264"/>
      <c r="AJ1022" s="264"/>
      <c r="AK1022" s="264"/>
      <c r="AL1022" s="264"/>
      <c r="AM1022" s="651"/>
      <c r="AN1022" s="264"/>
      <c r="AO1022" s="264"/>
    </row>
    <row r="1023" spans="2:41" s="262" customFormat="1">
      <c r="C1023" s="263"/>
      <c r="D1023" s="263"/>
      <c r="E1023" s="263"/>
      <c r="F1023" s="264"/>
      <c r="G1023" s="266"/>
      <c r="H1023" s="266"/>
      <c r="I1023" s="266"/>
      <c r="J1023" s="266"/>
      <c r="K1023" s="266"/>
      <c r="L1023" s="267"/>
      <c r="M1023" s="267"/>
      <c r="N1023" s="267"/>
      <c r="O1023" s="267"/>
      <c r="P1023" s="266"/>
      <c r="Q1023" s="267"/>
      <c r="R1023" s="267"/>
      <c r="S1023" s="267"/>
      <c r="T1023" s="267"/>
      <c r="U1023" s="264"/>
      <c r="V1023" s="267"/>
      <c r="W1023" s="265"/>
      <c r="X1023" s="265"/>
      <c r="Y1023" s="265"/>
      <c r="Z1023" s="264"/>
      <c r="AA1023" s="265"/>
      <c r="AB1023" s="265"/>
      <c r="AC1023" s="265"/>
      <c r="AD1023" s="265"/>
      <c r="AE1023" s="264"/>
      <c r="AF1023" s="264"/>
      <c r="AG1023" s="264"/>
      <c r="AH1023" s="264"/>
      <c r="AI1023" s="264"/>
      <c r="AJ1023" s="264"/>
      <c r="AK1023" s="264"/>
      <c r="AL1023" s="264"/>
      <c r="AM1023" s="651"/>
      <c r="AN1023" s="264"/>
      <c r="AO1023" s="264"/>
    </row>
    <row r="1024" spans="2:41" s="262" customFormat="1">
      <c r="C1024" s="263"/>
      <c r="D1024" s="263"/>
      <c r="E1024" s="263"/>
      <c r="F1024" s="264"/>
      <c r="G1024" s="266"/>
      <c r="H1024" s="266"/>
      <c r="I1024" s="266"/>
      <c r="J1024" s="266"/>
      <c r="K1024" s="266"/>
      <c r="L1024" s="267"/>
      <c r="M1024" s="267"/>
      <c r="N1024" s="267"/>
      <c r="O1024" s="267"/>
      <c r="P1024" s="266"/>
      <c r="Q1024" s="267"/>
      <c r="R1024" s="267"/>
      <c r="S1024" s="267"/>
      <c r="T1024" s="267"/>
      <c r="U1024" s="264"/>
      <c r="V1024" s="267"/>
      <c r="W1024" s="265"/>
      <c r="X1024" s="265"/>
      <c r="Y1024" s="265"/>
      <c r="Z1024" s="264"/>
      <c r="AA1024" s="265"/>
      <c r="AB1024" s="265"/>
      <c r="AC1024" s="265"/>
      <c r="AD1024" s="265"/>
      <c r="AE1024" s="264"/>
      <c r="AF1024" s="264"/>
      <c r="AG1024" s="264"/>
      <c r="AH1024" s="264"/>
      <c r="AI1024" s="264"/>
      <c r="AJ1024" s="264"/>
      <c r="AK1024" s="264"/>
      <c r="AL1024" s="264"/>
      <c r="AM1024" s="651"/>
      <c r="AN1024" s="264"/>
      <c r="AO1024" s="264"/>
    </row>
    <row r="1025" spans="2:41" s="262" customFormat="1">
      <c r="C1025" s="263"/>
      <c r="D1025" s="263"/>
      <c r="E1025" s="263"/>
      <c r="F1025" s="264"/>
      <c r="G1025" s="266"/>
      <c r="H1025" s="266"/>
      <c r="I1025" s="266"/>
      <c r="J1025" s="266"/>
      <c r="K1025" s="266"/>
      <c r="L1025" s="267"/>
      <c r="M1025" s="267"/>
      <c r="N1025" s="267"/>
      <c r="O1025" s="267"/>
      <c r="P1025" s="266"/>
      <c r="Q1025" s="267"/>
      <c r="R1025" s="267"/>
      <c r="S1025" s="267"/>
      <c r="T1025" s="267"/>
      <c r="U1025" s="264"/>
      <c r="V1025" s="267"/>
      <c r="W1025" s="265"/>
      <c r="X1025" s="265"/>
      <c r="Y1025" s="265"/>
      <c r="Z1025" s="264"/>
      <c r="AA1025" s="265"/>
      <c r="AB1025" s="265"/>
      <c r="AC1025" s="265"/>
      <c r="AD1025" s="265"/>
      <c r="AE1025" s="264"/>
      <c r="AF1025" s="264"/>
      <c r="AG1025" s="264"/>
      <c r="AH1025" s="264"/>
      <c r="AI1025" s="264"/>
      <c r="AJ1025" s="264"/>
      <c r="AK1025" s="264"/>
      <c r="AL1025" s="264"/>
      <c r="AM1025" s="651"/>
      <c r="AN1025" s="264"/>
      <c r="AO1025" s="264"/>
    </row>
    <row r="1026" spans="2:41" s="262" customFormat="1">
      <c r="B1026" s="218"/>
      <c r="C1026" s="219"/>
      <c r="D1026" s="554" t="s">
        <v>506</v>
      </c>
      <c r="E1026" s="731"/>
      <c r="F1026" s="275"/>
      <c r="G1026" s="732"/>
      <c r="H1026" s="732"/>
      <c r="I1026" s="732"/>
      <c r="J1026" s="732"/>
      <c r="K1026" s="732"/>
      <c r="L1026" s="733"/>
      <c r="M1026" s="733"/>
      <c r="N1026" s="733"/>
      <c r="O1026" s="733"/>
      <c r="P1026" s="732"/>
      <c r="Q1026" s="733"/>
      <c r="R1026" s="733"/>
      <c r="S1026" s="733"/>
      <c r="T1026" s="733"/>
      <c r="U1026" s="275"/>
      <c r="V1026" s="733"/>
      <c r="W1026" s="741"/>
      <c r="X1026" s="741"/>
      <c r="Y1026" s="741"/>
      <c r="Z1026" s="275"/>
      <c r="AA1026" s="741"/>
      <c r="AB1026" s="741"/>
      <c r="AC1026" s="741"/>
      <c r="AD1026" s="741"/>
      <c r="AE1026" s="275"/>
      <c r="AF1026" s="275"/>
      <c r="AG1026" s="275"/>
      <c r="AH1026" s="275"/>
      <c r="AI1026" s="275"/>
      <c r="AJ1026" s="275"/>
      <c r="AK1026" s="275"/>
      <c r="AL1026" s="275"/>
      <c r="AM1026" s="651"/>
      <c r="AN1026" s="264"/>
      <c r="AO1026" s="264"/>
    </row>
    <row r="1027" spans="2:41" s="262" customFormat="1">
      <c r="B1027" s="224" t="s">
        <v>64</v>
      </c>
      <c r="C1027" s="225" t="s">
        <v>65</v>
      </c>
      <c r="D1027" s="163" t="s">
        <v>504</v>
      </c>
      <c r="E1027" s="163"/>
      <c r="G1027" s="272"/>
      <c r="H1027" s="272"/>
      <c r="I1027" s="272"/>
      <c r="J1027" s="272"/>
      <c r="K1027" s="272">
        <f t="shared" ref="K1027:V1027" si="890">K965</f>
        <v>3496</v>
      </c>
      <c r="L1027" s="305">
        <f t="shared" si="890"/>
        <v>765</v>
      </c>
      <c r="M1027" s="305">
        <f t="shared" si="890"/>
        <v>625</v>
      </c>
      <c r="N1027" s="305">
        <f t="shared" si="890"/>
        <v>884</v>
      </c>
      <c r="O1027" s="305">
        <f t="shared" si="890"/>
        <v>820</v>
      </c>
      <c r="P1027" s="272">
        <f t="shared" si="890"/>
        <v>3094</v>
      </c>
      <c r="Q1027" s="305">
        <f t="shared" si="890"/>
        <v>712</v>
      </c>
      <c r="R1027" s="305">
        <f t="shared" si="890"/>
        <v>609</v>
      </c>
      <c r="S1027" s="305">
        <f t="shared" si="890"/>
        <v>902</v>
      </c>
      <c r="T1027" s="305">
        <f t="shared" si="890"/>
        <v>745</v>
      </c>
      <c r="U1027" s="272">
        <f t="shared" si="890"/>
        <v>2968</v>
      </c>
      <c r="V1027" s="305">
        <f t="shared" si="890"/>
        <v>608</v>
      </c>
      <c r="W1027" s="305">
        <f>W965</f>
        <v>479</v>
      </c>
      <c r="X1027" s="305">
        <f>X965</f>
        <v>874</v>
      </c>
      <c r="Y1027" s="305">
        <f>Y965</f>
        <v>739</v>
      </c>
      <c r="Z1027" s="272">
        <f>SUM(V1027:Y1027)</f>
        <v>2700</v>
      </c>
      <c r="AA1027" s="305">
        <f>AA965</f>
        <v>570</v>
      </c>
      <c r="AB1027" s="305">
        <f>AB965</f>
        <v>461</v>
      </c>
      <c r="AC1027" s="305">
        <f>AC965</f>
        <v>836.49865866140601</v>
      </c>
      <c r="AD1027" s="305">
        <f>AD965</f>
        <v>951.88036129660759</v>
      </c>
      <c r="AE1027" s="272">
        <f>SUM(AA1027:AD1027)</f>
        <v>2819.3790199580135</v>
      </c>
      <c r="AF1027" s="264"/>
      <c r="AG1027" s="264"/>
      <c r="AH1027" s="264"/>
      <c r="AI1027" s="264"/>
      <c r="AJ1027" s="264"/>
      <c r="AK1027" s="264"/>
      <c r="AL1027" s="264"/>
      <c r="AM1027" s="651"/>
      <c r="AN1027" s="264"/>
      <c r="AO1027" s="264"/>
    </row>
    <row r="1028" spans="2:41" s="262" customFormat="1">
      <c r="B1028" s="224"/>
      <c r="C1028" s="225"/>
      <c r="D1028" s="163" t="s">
        <v>520</v>
      </c>
      <c r="E1028" s="163"/>
      <c r="G1028" s="272"/>
      <c r="H1028" s="272"/>
      <c r="I1028" s="272"/>
      <c r="J1028" s="272"/>
      <c r="K1028" s="272"/>
      <c r="L1028" s="305"/>
      <c r="M1028" s="305"/>
      <c r="N1028" s="305"/>
      <c r="O1028" s="305"/>
      <c r="P1028" s="272"/>
      <c r="Q1028" s="305"/>
      <c r="R1028" s="305"/>
      <c r="S1028" s="305"/>
      <c r="T1028" s="305"/>
      <c r="U1028" s="272"/>
      <c r="V1028" s="305"/>
      <c r="W1028" s="305"/>
      <c r="X1028" s="305"/>
      <c r="Y1028" s="305"/>
      <c r="Z1028" s="264"/>
      <c r="AA1028" s="305"/>
      <c r="AB1028" s="305"/>
      <c r="AC1028" s="305"/>
      <c r="AD1028" s="305"/>
      <c r="AE1028" s="264"/>
      <c r="AF1028" s="264"/>
      <c r="AG1028" s="264"/>
      <c r="AH1028" s="264"/>
      <c r="AI1028" s="264"/>
      <c r="AJ1028" s="264"/>
      <c r="AK1028" s="264"/>
      <c r="AL1028" s="264"/>
      <c r="AM1028" s="651"/>
      <c r="AN1028" s="264"/>
      <c r="AO1028" s="264"/>
    </row>
    <row r="1029" spans="2:41" s="262" customFormat="1">
      <c r="B1029" s="228" t="s">
        <v>64</v>
      </c>
      <c r="C1029" s="229" t="s">
        <v>65</v>
      </c>
      <c r="D1029" s="450" t="s">
        <v>521</v>
      </c>
      <c r="E1029" s="450"/>
      <c r="G1029" s="272"/>
      <c r="H1029" s="272"/>
      <c r="I1029" s="272"/>
      <c r="J1029" s="272"/>
      <c r="K1029" s="272">
        <f t="shared" ref="K1029:V1029" si="891">-K636</f>
        <v>-2266</v>
      </c>
      <c r="L1029" s="305">
        <f t="shared" si="891"/>
        <v>-585</v>
      </c>
      <c r="M1029" s="305">
        <f t="shared" si="891"/>
        <v>-521</v>
      </c>
      <c r="N1029" s="305">
        <f t="shared" si="891"/>
        <v>-443</v>
      </c>
      <c r="O1029" s="305">
        <f t="shared" si="891"/>
        <v>-393</v>
      </c>
      <c r="P1029" s="272">
        <f t="shared" si="891"/>
        <v>-1942</v>
      </c>
      <c r="Q1029" s="305">
        <f t="shared" si="891"/>
        <v>-471</v>
      </c>
      <c r="R1029" s="305">
        <f t="shared" si="891"/>
        <v>-496</v>
      </c>
      <c r="S1029" s="305">
        <f t="shared" si="891"/>
        <v>-456</v>
      </c>
      <c r="T1029" s="305">
        <f t="shared" si="891"/>
        <v>-406</v>
      </c>
      <c r="U1029" s="272">
        <f t="shared" si="891"/>
        <v>-1829</v>
      </c>
      <c r="V1029" s="305">
        <f t="shared" si="891"/>
        <v>-452</v>
      </c>
      <c r="W1029" s="305">
        <f>-W636</f>
        <v>-395</v>
      </c>
      <c r="X1029" s="305">
        <f>-X636</f>
        <v>-441</v>
      </c>
      <c r="Y1029" s="305">
        <f>-Y636</f>
        <v>-473</v>
      </c>
      <c r="Z1029" s="272">
        <f>SUM(V1029:Y1029)</f>
        <v>-1761</v>
      </c>
      <c r="AA1029" s="305">
        <f>-AA636</f>
        <v>-461</v>
      </c>
      <c r="AB1029" s="305">
        <f>-AB636</f>
        <v>-465</v>
      </c>
      <c r="AC1029" s="305">
        <f>-AC636</f>
        <v>-535.90473189372915</v>
      </c>
      <c r="AD1029" s="305">
        <f>-AD636</f>
        <v>-574.6943989733752</v>
      </c>
      <c r="AE1029" s="272">
        <f>SUM(AA1029:AD1029)</f>
        <v>-2036.5991308671043</v>
      </c>
      <c r="AF1029" s="264"/>
      <c r="AG1029" s="264"/>
      <c r="AH1029" s="264"/>
      <c r="AI1029" s="264"/>
      <c r="AJ1029" s="264"/>
      <c r="AK1029" s="264"/>
      <c r="AL1029" s="264"/>
      <c r="AM1029" s="651"/>
      <c r="AN1029" s="264"/>
      <c r="AO1029" s="264"/>
    </row>
    <row r="1030" spans="2:41" s="262" customFormat="1">
      <c r="B1030" s="224" t="s">
        <v>64</v>
      </c>
      <c r="C1030" s="225" t="s">
        <v>65</v>
      </c>
      <c r="D1030" s="450" t="s">
        <v>522</v>
      </c>
      <c r="E1030" s="450"/>
      <c r="G1030" s="272"/>
      <c r="H1030" s="272"/>
      <c r="I1030" s="272"/>
      <c r="J1030" s="272"/>
      <c r="K1030" s="272">
        <f t="shared" ref="K1030:V1030" si="892">-K916</f>
        <v>-8</v>
      </c>
      <c r="L1030" s="305">
        <f t="shared" si="892"/>
        <v>-2</v>
      </c>
      <c r="M1030" s="305">
        <f t="shared" si="892"/>
        <v>-2</v>
      </c>
      <c r="N1030" s="305">
        <f t="shared" si="892"/>
        <v>-2</v>
      </c>
      <c r="O1030" s="305">
        <f t="shared" si="892"/>
        <v>-2</v>
      </c>
      <c r="P1030" s="272">
        <f t="shared" si="892"/>
        <v>-8</v>
      </c>
      <c r="Q1030" s="305">
        <f t="shared" si="892"/>
        <v>-2</v>
      </c>
      <c r="R1030" s="305">
        <f t="shared" si="892"/>
        <v>-2</v>
      </c>
      <c r="S1030" s="305">
        <f t="shared" si="892"/>
        <v>-2</v>
      </c>
      <c r="T1030" s="305">
        <f t="shared" si="892"/>
        <v>-2</v>
      </c>
      <c r="U1030" s="272">
        <f t="shared" si="892"/>
        <v>-8</v>
      </c>
      <c r="V1030" s="305">
        <f t="shared" si="892"/>
        <v>-2</v>
      </c>
      <c r="W1030" s="305">
        <f>-W916</f>
        <v>-2</v>
      </c>
      <c r="X1030" s="305">
        <f>-X916</f>
        <v>-3</v>
      </c>
      <c r="Y1030" s="305">
        <f>-Y916</f>
        <v>-2</v>
      </c>
      <c r="Z1030" s="272">
        <f>SUM(V1030:Y1030)</f>
        <v>-9</v>
      </c>
      <c r="AA1030" s="305">
        <f>-AA916</f>
        <v>-2</v>
      </c>
      <c r="AB1030" s="305">
        <f>-AB916</f>
        <v>-3</v>
      </c>
      <c r="AC1030" s="305">
        <f>-AC916</f>
        <v>-2</v>
      </c>
      <c r="AD1030" s="305">
        <f>-AD916</f>
        <v>-2</v>
      </c>
      <c r="AE1030" s="272">
        <f>SUM(AA1030:AD1030)</f>
        <v>-9</v>
      </c>
      <c r="AF1030" s="264"/>
      <c r="AG1030" s="264"/>
      <c r="AH1030" s="264"/>
      <c r="AI1030" s="264"/>
      <c r="AJ1030" s="264"/>
      <c r="AK1030" s="264"/>
      <c r="AL1030" s="264"/>
      <c r="AM1030" s="651"/>
      <c r="AN1030" s="264"/>
      <c r="AO1030" s="264"/>
    </row>
    <row r="1031" spans="2:41" s="262" customFormat="1">
      <c r="B1031" s="224" t="s">
        <v>64</v>
      </c>
      <c r="C1031" s="225" t="s">
        <v>65</v>
      </c>
      <c r="D1031" s="163" t="s">
        <v>523</v>
      </c>
      <c r="E1031" s="163"/>
      <c r="G1031" s="272"/>
      <c r="H1031" s="272"/>
      <c r="I1031" s="272"/>
      <c r="J1031" s="272"/>
      <c r="K1031" s="272">
        <f t="shared" ref="K1031:V1031" si="893">-K964</f>
        <v>635</v>
      </c>
      <c r="L1031" s="305">
        <f t="shared" si="893"/>
        <v>185</v>
      </c>
      <c r="M1031" s="305">
        <f t="shared" si="893"/>
        <v>162</v>
      </c>
      <c r="N1031" s="305">
        <f t="shared" si="893"/>
        <v>154</v>
      </c>
      <c r="O1031" s="305">
        <f t="shared" si="893"/>
        <v>149</v>
      </c>
      <c r="P1031" s="272">
        <f t="shared" si="893"/>
        <v>650</v>
      </c>
      <c r="Q1031" s="305">
        <f t="shared" si="893"/>
        <v>132</v>
      </c>
      <c r="R1031" s="305">
        <f t="shared" si="893"/>
        <v>140</v>
      </c>
      <c r="S1031" s="305">
        <f t="shared" si="893"/>
        <v>136</v>
      </c>
      <c r="T1031" s="305">
        <f t="shared" si="893"/>
        <v>111</v>
      </c>
      <c r="U1031" s="272">
        <f t="shared" si="893"/>
        <v>519</v>
      </c>
      <c r="V1031" s="305">
        <f t="shared" si="893"/>
        <v>96</v>
      </c>
      <c r="W1031" s="305">
        <f>-W964</f>
        <v>89</v>
      </c>
      <c r="X1031" s="305">
        <f>-X964</f>
        <v>139</v>
      </c>
      <c r="Y1031" s="305">
        <f>-Y964</f>
        <v>140</v>
      </c>
      <c r="Z1031" s="272">
        <f>SUM(V1031:Y1031)</f>
        <v>464</v>
      </c>
      <c r="AA1031" s="305">
        <f>-AA964</f>
        <v>130</v>
      </c>
      <c r="AB1031" s="305">
        <f>-AB964</f>
        <v>106</v>
      </c>
      <c r="AC1031" s="305">
        <f>-AC964</f>
        <v>126</v>
      </c>
      <c r="AD1031" s="305">
        <f>-AD964</f>
        <v>173.376</v>
      </c>
      <c r="AE1031" s="272">
        <f>SUM(AA1031:AD1031)</f>
        <v>535.37599999999998</v>
      </c>
      <c r="AF1031" s="264"/>
      <c r="AG1031" s="264"/>
      <c r="AH1031" s="264"/>
      <c r="AI1031" s="264"/>
      <c r="AJ1031" s="264"/>
      <c r="AK1031" s="264"/>
      <c r="AL1031" s="264"/>
      <c r="AM1031" s="651"/>
      <c r="AN1031" s="264"/>
      <c r="AO1031" s="264"/>
    </row>
    <row r="1032" spans="2:41" s="262" customFormat="1">
      <c r="B1032" s="224" t="s">
        <v>64</v>
      </c>
      <c r="C1032" s="225" t="s">
        <v>65</v>
      </c>
      <c r="D1032" s="163" t="s">
        <v>515</v>
      </c>
      <c r="E1032" s="163"/>
      <c r="K1032" s="299">
        <v>-400</v>
      </c>
      <c r="L1032" s="300">
        <v>-4</v>
      </c>
      <c r="M1032" s="300">
        <v>-6</v>
      </c>
      <c r="N1032" s="300">
        <v>-209</v>
      </c>
      <c r="O1032" s="300">
        <f>P1032-L1032-M1032-N1032</f>
        <v>-97</v>
      </c>
      <c r="P1032" s="299">
        <v>-316</v>
      </c>
      <c r="Q1032" s="300">
        <v>-10</v>
      </c>
      <c r="R1032" s="300">
        <v>-6</v>
      </c>
      <c r="S1032" s="300">
        <v>-215</v>
      </c>
      <c r="T1032" s="300">
        <f>U1032-Q1032-R1032-S1032</f>
        <v>-86</v>
      </c>
      <c r="U1032" s="299">
        <v>-317</v>
      </c>
      <c r="V1032" s="300">
        <v>-2</v>
      </c>
      <c r="W1032" s="300">
        <v>-10</v>
      </c>
      <c r="X1032" s="300">
        <v>-230</v>
      </c>
      <c r="Y1032" s="300">
        <v>-74</v>
      </c>
      <c r="Z1032" s="299">
        <v>-316</v>
      </c>
      <c r="AA1032" s="265"/>
      <c r="AB1032" s="265"/>
      <c r="AC1032" s="265"/>
      <c r="AD1032" s="265"/>
      <c r="AE1032" s="272">
        <f>Z1032</f>
        <v>-316</v>
      </c>
      <c r="AF1032" s="264"/>
      <c r="AG1032" s="264"/>
      <c r="AH1032" s="264"/>
      <c r="AI1032" s="264"/>
      <c r="AJ1032" s="264"/>
      <c r="AK1032" s="264"/>
      <c r="AL1032" s="264"/>
      <c r="AM1032" s="651"/>
      <c r="AN1032" s="264"/>
      <c r="AO1032" s="264"/>
    </row>
    <row r="1033" spans="2:41" s="262" customFormat="1">
      <c r="B1033" s="228" t="s">
        <v>64</v>
      </c>
      <c r="C1033" s="229" t="s">
        <v>65</v>
      </c>
      <c r="D1033" s="163" t="s">
        <v>516</v>
      </c>
      <c r="E1033" s="163"/>
      <c r="K1033" s="287">
        <v>339</v>
      </c>
      <c r="L1033" s="461">
        <v>72</v>
      </c>
      <c r="M1033" s="461">
        <v>51</v>
      </c>
      <c r="N1033" s="461">
        <v>59</v>
      </c>
      <c r="O1033" s="461">
        <f>P1033-L1033-M1033-N1033</f>
        <v>73</v>
      </c>
      <c r="P1033" s="287">
        <v>255</v>
      </c>
      <c r="Q1033" s="461">
        <v>57</v>
      </c>
      <c r="R1033" s="461">
        <v>47</v>
      </c>
      <c r="S1033" s="461">
        <v>105</v>
      </c>
      <c r="T1033" s="461">
        <f>U1033-Q1033-R1033-S1033</f>
        <v>99</v>
      </c>
      <c r="U1033" s="287">
        <v>308</v>
      </c>
      <c r="V1033" s="461">
        <v>77</v>
      </c>
      <c r="W1033" s="461">
        <v>53</v>
      </c>
      <c r="X1033" s="461">
        <v>129</v>
      </c>
      <c r="Y1033" s="461">
        <v>111</v>
      </c>
      <c r="Z1033" s="287">
        <v>370</v>
      </c>
      <c r="AA1033" s="265"/>
      <c r="AB1033" s="265"/>
      <c r="AC1033" s="265"/>
      <c r="AD1033" s="265"/>
      <c r="AE1033" s="272">
        <f>Z1033</f>
        <v>370</v>
      </c>
      <c r="AF1033" s="264"/>
      <c r="AG1033" s="264"/>
      <c r="AH1033" s="264"/>
      <c r="AI1033" s="264"/>
      <c r="AJ1033" s="264"/>
      <c r="AK1033" s="264"/>
      <c r="AL1033" s="264"/>
      <c r="AM1033" s="651"/>
      <c r="AN1033" s="264"/>
      <c r="AO1033" s="264"/>
    </row>
    <row r="1034" spans="2:41" s="262" customFormat="1">
      <c r="B1034" s="224" t="s">
        <v>64</v>
      </c>
      <c r="C1034" s="225" t="s">
        <v>65</v>
      </c>
      <c r="D1034" s="183" t="s">
        <v>505</v>
      </c>
      <c r="E1034" s="183"/>
      <c r="F1034" s="283"/>
      <c r="G1034" s="736"/>
      <c r="H1034" s="736"/>
      <c r="I1034" s="736"/>
      <c r="J1034" s="736"/>
      <c r="K1034" s="736">
        <f>K1027+K1029+K1030+K1031+K1032+K1033</f>
        <v>1796</v>
      </c>
      <c r="L1034" s="737">
        <f t="shared" ref="L1034:V1034" si="894">L1027+L1029+L1030+L1031+L1032+L1033</f>
        <v>431</v>
      </c>
      <c r="M1034" s="737">
        <f t="shared" si="894"/>
        <v>309</v>
      </c>
      <c r="N1034" s="737">
        <f t="shared" si="894"/>
        <v>443</v>
      </c>
      <c r="O1034" s="737">
        <f t="shared" si="894"/>
        <v>550</v>
      </c>
      <c r="P1034" s="736">
        <f t="shared" si="894"/>
        <v>1733</v>
      </c>
      <c r="Q1034" s="737">
        <f t="shared" si="894"/>
        <v>418</v>
      </c>
      <c r="R1034" s="737">
        <f t="shared" si="894"/>
        <v>292</v>
      </c>
      <c r="S1034" s="737">
        <f t="shared" si="894"/>
        <v>470</v>
      </c>
      <c r="T1034" s="737">
        <f t="shared" si="894"/>
        <v>461</v>
      </c>
      <c r="U1034" s="736">
        <f t="shared" si="894"/>
        <v>1641</v>
      </c>
      <c r="V1034" s="737">
        <f t="shared" si="894"/>
        <v>325</v>
      </c>
      <c r="W1034" s="737">
        <f>W1027+W1029+W1030+W1031+W1032+W1033</f>
        <v>214</v>
      </c>
      <c r="X1034" s="737">
        <f>X1027+X1029+X1030+X1031+X1032+X1033</f>
        <v>468</v>
      </c>
      <c r="Y1034" s="737">
        <f>Y1027+Y1029+Y1030+Y1031+Y1032+Y1033</f>
        <v>441</v>
      </c>
      <c r="Z1034" s="1144">
        <f>SUM(V1034:Y1034)</f>
        <v>1448</v>
      </c>
      <c r="AA1034" s="737">
        <f>AA1027+AA1029+AA1030+AA1031+AA1032+AA1033</f>
        <v>237</v>
      </c>
      <c r="AB1034" s="737">
        <f>AB1027+AB1029+AB1030+AB1031+AB1032+AB1033</f>
        <v>99</v>
      </c>
      <c r="AC1034" s="737">
        <f>AC1027+AC1029+AC1030+AC1031+AC1032+AC1033</f>
        <v>424.59392676767686</v>
      </c>
      <c r="AD1034" s="737">
        <f>AD1027+AD1029+AD1030+AD1031+AD1032+AD1033</f>
        <v>548.56196232323236</v>
      </c>
      <c r="AE1034" s="737">
        <f>AE1027+AE1029+AE1030+AE1031+AE1032+AE1033</f>
        <v>1363.1558890909091</v>
      </c>
      <c r="AF1034" s="735"/>
      <c r="AG1034" s="735"/>
      <c r="AH1034" s="735"/>
      <c r="AI1034" s="735"/>
      <c r="AJ1034" s="735"/>
      <c r="AK1034" s="735"/>
      <c r="AL1034" s="735"/>
      <c r="AM1034" s="651"/>
      <c r="AN1034" s="264"/>
      <c r="AO1034" s="264"/>
    </row>
    <row r="1035" spans="2:41" s="262" customFormat="1">
      <c r="B1035" s="224"/>
      <c r="C1035" s="225"/>
      <c r="D1035" s="163"/>
      <c r="E1035" s="163"/>
      <c r="L1035" s="274"/>
      <c r="M1035" s="274"/>
      <c r="N1035" s="274"/>
      <c r="O1035" s="265"/>
      <c r="P1035" s="264"/>
      <c r="Q1035" s="265"/>
      <c r="R1035" s="265"/>
      <c r="S1035" s="265"/>
      <c r="T1035" s="265"/>
      <c r="U1035" s="264"/>
      <c r="V1035" s="265"/>
      <c r="W1035" s="265"/>
      <c r="X1035" s="265"/>
      <c r="Y1035" s="265"/>
      <c r="Z1035" s="264"/>
      <c r="AA1035" s="265"/>
      <c r="AB1035" s="265"/>
      <c r="AC1035" s="265"/>
      <c r="AD1035" s="265"/>
      <c r="AE1035" s="264"/>
      <c r="AF1035" s="264"/>
      <c r="AG1035" s="264"/>
      <c r="AH1035" s="264"/>
      <c r="AI1035" s="264"/>
      <c r="AJ1035" s="264"/>
      <c r="AK1035" s="264"/>
      <c r="AL1035" s="264"/>
      <c r="AM1035" s="651"/>
      <c r="AN1035" s="264"/>
      <c r="AO1035" s="264"/>
    </row>
    <row r="1036" spans="2:41" s="262" customFormat="1">
      <c r="B1036" s="228" t="s">
        <v>64</v>
      </c>
      <c r="C1036" s="229" t="s">
        <v>65</v>
      </c>
      <c r="D1036" s="163" t="s">
        <v>507</v>
      </c>
      <c r="E1036" s="163"/>
      <c r="G1036" s="272"/>
      <c r="H1036" s="272"/>
      <c r="I1036" s="272"/>
      <c r="J1036" s="272"/>
      <c r="K1036" s="272">
        <f t="shared" ref="K1036:V1036" si="895">-K971</f>
        <v>2529</v>
      </c>
      <c r="L1036" s="305">
        <f t="shared" si="895"/>
        <v>514</v>
      </c>
      <c r="M1036" s="305">
        <f t="shared" si="895"/>
        <v>431</v>
      </c>
      <c r="N1036" s="305">
        <f t="shared" si="895"/>
        <v>666</v>
      </c>
      <c r="O1036" s="305">
        <f t="shared" si="895"/>
        <v>614</v>
      </c>
      <c r="P1036" s="272">
        <f t="shared" si="895"/>
        <v>2225</v>
      </c>
      <c r="Q1036" s="305">
        <f t="shared" si="895"/>
        <v>540</v>
      </c>
      <c r="R1036" s="305">
        <f t="shared" si="895"/>
        <v>456</v>
      </c>
      <c r="S1036" s="305">
        <f t="shared" si="895"/>
        <v>684</v>
      </c>
      <c r="T1036" s="305">
        <f t="shared" si="895"/>
        <v>633</v>
      </c>
      <c r="U1036" s="272">
        <f t="shared" si="895"/>
        <v>2367</v>
      </c>
      <c r="V1036" s="305">
        <f t="shared" si="895"/>
        <v>489</v>
      </c>
      <c r="W1036" s="305">
        <f>-W971</f>
        <v>406</v>
      </c>
      <c r="X1036" s="305">
        <f>-X971</f>
        <v>690</v>
      </c>
      <c r="Y1036" s="305">
        <f ca="1">-Y971</f>
        <v>592</v>
      </c>
      <c r="Z1036" s="272">
        <f ca="1">SUM(V1036:Y1036)</f>
        <v>2177</v>
      </c>
      <c r="AA1036" s="305" t="e">
        <f ca="1">-AA971</f>
        <v>#VALUE!</v>
      </c>
      <c r="AB1036" s="305" t="e">
        <f ca="1">-AB971</f>
        <v>#VALUE!</v>
      </c>
      <c r="AC1036" s="305" t="e">
        <f ca="1">-AC971</f>
        <v>#VALUE!</v>
      </c>
      <c r="AD1036" s="305" t="e">
        <f ca="1">-AD971</f>
        <v>#VALUE!</v>
      </c>
      <c r="AE1036" s="272" t="e">
        <f ca="1">SUM(AA1036:AD1036)</f>
        <v>#VALUE!</v>
      </c>
      <c r="AF1036" s="264"/>
      <c r="AG1036" s="264"/>
      <c r="AH1036" s="264"/>
      <c r="AI1036" s="264"/>
      <c r="AJ1036" s="264"/>
      <c r="AK1036" s="264"/>
      <c r="AL1036" s="264"/>
      <c r="AM1036" s="651"/>
      <c r="AN1036" s="264"/>
      <c r="AO1036" s="264"/>
    </row>
    <row r="1037" spans="2:41" s="262" customFormat="1">
      <c r="B1037" s="224" t="s">
        <v>64</v>
      </c>
      <c r="C1037" s="225" t="s">
        <v>65</v>
      </c>
      <c r="D1037" s="163" t="s">
        <v>520</v>
      </c>
      <c r="E1037" s="163"/>
      <c r="K1037" s="264"/>
      <c r="L1037" s="265"/>
      <c r="M1037" s="265"/>
      <c r="N1037" s="265"/>
      <c r="O1037" s="265"/>
      <c r="P1037" s="264"/>
      <c r="Q1037" s="265"/>
      <c r="R1037" s="265"/>
      <c r="S1037" s="265"/>
      <c r="T1037" s="265"/>
      <c r="U1037" s="264"/>
      <c r="V1037" s="265"/>
      <c r="W1037" s="265"/>
      <c r="X1037" s="265"/>
      <c r="Y1037" s="265"/>
      <c r="Z1037" s="264"/>
      <c r="AA1037" s="265"/>
      <c r="AB1037" s="265"/>
      <c r="AC1037" s="265"/>
      <c r="AD1037" s="265"/>
      <c r="AE1037" s="264"/>
      <c r="AF1037" s="264"/>
      <c r="AG1037" s="264"/>
      <c r="AH1037" s="264"/>
      <c r="AI1037" s="264"/>
      <c r="AJ1037" s="264"/>
      <c r="AK1037" s="264"/>
      <c r="AL1037" s="264"/>
      <c r="AM1037" s="651"/>
      <c r="AN1037" s="264"/>
      <c r="AO1037" s="264"/>
    </row>
    <row r="1038" spans="2:41" s="262" customFormat="1">
      <c r="B1038" s="228" t="s">
        <v>64</v>
      </c>
      <c r="C1038" s="229" t="s">
        <v>65</v>
      </c>
      <c r="D1038" s="450" t="s">
        <v>524</v>
      </c>
      <c r="E1038" s="450"/>
      <c r="G1038" s="272"/>
      <c r="H1038" s="272"/>
      <c r="I1038" s="272"/>
      <c r="J1038" s="272"/>
      <c r="K1038" s="272">
        <f t="shared" ref="K1038:V1038" si="896">K681</f>
        <v>-2135</v>
      </c>
      <c r="L1038" s="305">
        <f t="shared" si="896"/>
        <v>-516</v>
      </c>
      <c r="M1038" s="305">
        <f t="shared" si="896"/>
        <v>-491</v>
      </c>
      <c r="N1038" s="305">
        <f t="shared" si="896"/>
        <v>-479</v>
      </c>
      <c r="O1038" s="305">
        <f t="shared" si="896"/>
        <v>-440</v>
      </c>
      <c r="P1038" s="272">
        <f t="shared" si="896"/>
        <v>-1926</v>
      </c>
      <c r="Q1038" s="305">
        <f t="shared" si="896"/>
        <v>-482</v>
      </c>
      <c r="R1038" s="305">
        <f t="shared" si="896"/>
        <v>-518</v>
      </c>
      <c r="S1038" s="305">
        <f t="shared" si="896"/>
        <v>-476</v>
      </c>
      <c r="T1038" s="305">
        <f t="shared" si="896"/>
        <v>-441</v>
      </c>
      <c r="U1038" s="272">
        <f t="shared" si="896"/>
        <v>-1915</v>
      </c>
      <c r="V1038" s="305">
        <f t="shared" si="896"/>
        <v>-463</v>
      </c>
      <c r="W1038" s="305">
        <f>W681</f>
        <v>-405</v>
      </c>
      <c r="X1038" s="305">
        <f>X681</f>
        <v>-448</v>
      </c>
      <c r="Y1038" s="305">
        <f>Y681</f>
        <v>-468</v>
      </c>
      <c r="Z1038" s="272">
        <f>SUM(V1038:Y1038)</f>
        <v>-1784</v>
      </c>
      <c r="AA1038" s="305">
        <f>AA681</f>
        <v>-439</v>
      </c>
      <c r="AB1038" s="305">
        <f>AB681</f>
        <v>-489</v>
      </c>
      <c r="AC1038" s="305">
        <f>AC681</f>
        <v>-550.85562862068957</v>
      </c>
      <c r="AD1038" s="305">
        <f>AD681</f>
        <v>-611.60349236238585</v>
      </c>
      <c r="AE1038" s="272">
        <f>SUM(AA1038:AD1038)</f>
        <v>-2090.4591209830751</v>
      </c>
      <c r="AF1038" s="264"/>
      <c r="AG1038" s="264"/>
      <c r="AH1038" s="264"/>
      <c r="AI1038" s="264"/>
      <c r="AJ1038" s="264"/>
      <c r="AK1038" s="264"/>
      <c r="AL1038" s="264"/>
      <c r="AM1038" s="651"/>
      <c r="AN1038" s="264"/>
      <c r="AO1038" s="264"/>
    </row>
    <row r="1039" spans="2:41" s="262" customFormat="1">
      <c r="B1039" s="224" t="s">
        <v>64</v>
      </c>
      <c r="C1039" s="225" t="s">
        <v>65</v>
      </c>
      <c r="D1039" s="450" t="s">
        <v>754</v>
      </c>
      <c r="E1039" s="450"/>
      <c r="K1039" s="272">
        <f t="shared" ref="K1039:V1039" si="897">K917</f>
        <v>-34</v>
      </c>
      <c r="L1039" s="305">
        <f t="shared" si="897"/>
        <v>-2</v>
      </c>
      <c r="M1039" s="305">
        <f t="shared" si="897"/>
        <v>10</v>
      </c>
      <c r="N1039" s="305">
        <f t="shared" si="897"/>
        <v>-1</v>
      </c>
      <c r="O1039" s="305">
        <f t="shared" si="897"/>
        <v>-6</v>
      </c>
      <c r="P1039" s="272">
        <f t="shared" si="897"/>
        <v>1</v>
      </c>
      <c r="Q1039" s="305">
        <f t="shared" si="897"/>
        <v>9</v>
      </c>
      <c r="R1039" s="305">
        <f t="shared" si="897"/>
        <v>6</v>
      </c>
      <c r="S1039" s="305">
        <f t="shared" si="897"/>
        <v>-8</v>
      </c>
      <c r="T1039" s="305">
        <f t="shared" si="897"/>
        <v>-17</v>
      </c>
      <c r="U1039" s="272">
        <f t="shared" si="897"/>
        <v>-10</v>
      </c>
      <c r="V1039" s="305">
        <f t="shared" si="897"/>
        <v>12</v>
      </c>
      <c r="W1039" s="305">
        <f>W917</f>
        <v>1</v>
      </c>
      <c r="X1039" s="305">
        <f>X917</f>
        <v>11</v>
      </c>
      <c r="Y1039" s="305">
        <f>Y917</f>
        <v>0</v>
      </c>
      <c r="Z1039" s="272">
        <f>SUM(V1039:Y1039)</f>
        <v>24</v>
      </c>
      <c r="AA1039" s="305">
        <f>AA917</f>
        <v>1</v>
      </c>
      <c r="AB1039" s="305">
        <f>AB917</f>
        <v>-5</v>
      </c>
      <c r="AC1039" s="305">
        <f>AC917</f>
        <v>14</v>
      </c>
      <c r="AD1039" s="305">
        <f>AD917</f>
        <v>14</v>
      </c>
      <c r="AE1039" s="272">
        <f>SUM(AA1039:AD1039)</f>
        <v>24</v>
      </c>
      <c r="AF1039" s="264"/>
      <c r="AG1039" s="264"/>
      <c r="AH1039" s="264"/>
      <c r="AI1039" s="264"/>
      <c r="AJ1039" s="264"/>
      <c r="AK1039" s="264"/>
      <c r="AL1039" s="264"/>
      <c r="AM1039" s="651"/>
      <c r="AN1039" s="264"/>
      <c r="AO1039" s="264"/>
    </row>
    <row r="1040" spans="2:41" s="262" customFormat="1">
      <c r="B1040" s="224" t="s">
        <v>64</v>
      </c>
      <c r="C1040" s="225" t="s">
        <v>65</v>
      </c>
      <c r="D1040" s="163" t="s">
        <v>523</v>
      </c>
      <c r="E1040" s="163"/>
      <c r="K1040" s="272">
        <f t="shared" ref="K1040:V1040" si="898">-K964</f>
        <v>635</v>
      </c>
      <c r="L1040" s="305">
        <f t="shared" si="898"/>
        <v>185</v>
      </c>
      <c r="M1040" s="305">
        <f t="shared" si="898"/>
        <v>162</v>
      </c>
      <c r="N1040" s="305">
        <f t="shared" si="898"/>
        <v>154</v>
      </c>
      <c r="O1040" s="305">
        <f t="shared" si="898"/>
        <v>149</v>
      </c>
      <c r="P1040" s="272">
        <f t="shared" si="898"/>
        <v>650</v>
      </c>
      <c r="Q1040" s="305">
        <f t="shared" si="898"/>
        <v>132</v>
      </c>
      <c r="R1040" s="305">
        <f t="shared" si="898"/>
        <v>140</v>
      </c>
      <c r="S1040" s="305">
        <f t="shared" si="898"/>
        <v>136</v>
      </c>
      <c r="T1040" s="305">
        <f t="shared" si="898"/>
        <v>111</v>
      </c>
      <c r="U1040" s="272">
        <f t="shared" si="898"/>
        <v>519</v>
      </c>
      <c r="V1040" s="305">
        <f t="shared" si="898"/>
        <v>96</v>
      </c>
      <c r="W1040" s="305">
        <f>-W964</f>
        <v>89</v>
      </c>
      <c r="X1040" s="305">
        <f>-X964</f>
        <v>139</v>
      </c>
      <c r="Y1040" s="305">
        <f>-Y964</f>
        <v>140</v>
      </c>
      <c r="Z1040" s="272">
        <f>SUM(V1040:Y1040)</f>
        <v>464</v>
      </c>
      <c r="AA1040" s="305">
        <f>-AA964</f>
        <v>130</v>
      </c>
      <c r="AB1040" s="305">
        <f>-AB964</f>
        <v>106</v>
      </c>
      <c r="AC1040" s="305">
        <f>-AC964</f>
        <v>126</v>
      </c>
      <c r="AD1040" s="305">
        <f>-AD964</f>
        <v>173.376</v>
      </c>
      <c r="AE1040" s="272">
        <f>SUM(AA1040:AD1040)</f>
        <v>535.37599999999998</v>
      </c>
      <c r="AF1040" s="264"/>
      <c r="AG1040" s="264"/>
      <c r="AH1040" s="264"/>
      <c r="AI1040" s="264"/>
      <c r="AJ1040" s="264"/>
      <c r="AK1040" s="264"/>
      <c r="AL1040" s="264"/>
      <c r="AM1040" s="651"/>
      <c r="AN1040" s="264"/>
      <c r="AO1040" s="264"/>
    </row>
    <row r="1041" spans="2:41" s="262" customFormat="1">
      <c r="B1041" s="224"/>
      <c r="C1041" s="225"/>
      <c r="D1041" s="163"/>
      <c r="E1041" s="163"/>
      <c r="K1041" s="272">
        <f>K1036+K1038+K1039+K1040</f>
        <v>995</v>
      </c>
      <c r="L1041" s="305">
        <f>L1036+L1038+L1039+L1040</f>
        <v>181</v>
      </c>
      <c r="M1041" s="305">
        <f>M1036+M1038+M1039+M1040</f>
        <v>112</v>
      </c>
      <c r="N1041" s="305">
        <f>N1036+N1038+N1039+N1040</f>
        <v>340</v>
      </c>
      <c r="O1041" s="305">
        <f t="shared" ref="O1041:V1041" si="899">O1036+O1038+O1039+O1040</f>
        <v>317</v>
      </c>
      <c r="P1041" s="272">
        <f t="shared" si="899"/>
        <v>950</v>
      </c>
      <c r="Q1041" s="305">
        <f t="shared" si="899"/>
        <v>199</v>
      </c>
      <c r="R1041" s="305">
        <f t="shared" si="899"/>
        <v>84</v>
      </c>
      <c r="S1041" s="305">
        <f t="shared" si="899"/>
        <v>336</v>
      </c>
      <c r="T1041" s="305">
        <f t="shared" si="899"/>
        <v>286</v>
      </c>
      <c r="U1041" s="272">
        <f t="shared" si="899"/>
        <v>961</v>
      </c>
      <c r="V1041" s="305">
        <f t="shared" si="899"/>
        <v>134</v>
      </c>
      <c r="W1041" s="305">
        <f>W1036+W1038+W1039+W1040</f>
        <v>91</v>
      </c>
      <c r="X1041" s="305">
        <f>X1036+X1038+X1039+X1040</f>
        <v>392</v>
      </c>
      <c r="Y1041" s="305">
        <f ca="1">Y1036+Y1038+Y1039+Y1040</f>
        <v>264</v>
      </c>
      <c r="Z1041" s="272">
        <f ca="1">SUM(V1041:Y1041)</f>
        <v>881</v>
      </c>
      <c r="AA1041" s="305" t="e">
        <f ca="1">AA1036+AA1038+AA1039+AA1040</f>
        <v>#VALUE!</v>
      </c>
      <c r="AB1041" s="305" t="e">
        <f ca="1">AB1036+AB1038+AB1039+AB1040</f>
        <v>#VALUE!</v>
      </c>
      <c r="AC1041" s="305" t="e">
        <f ca="1">AC1036+AC1038+AC1039+AC1040</f>
        <v>#VALUE!</v>
      </c>
      <c r="AD1041" s="305" t="e">
        <f ca="1">AD1036+AD1038+AD1039+AD1040</f>
        <v>#VALUE!</v>
      </c>
      <c r="AE1041" s="272" t="e">
        <f ca="1">SUM(AA1041:AD1041)</f>
        <v>#VALUE!</v>
      </c>
      <c r="AF1041" s="264"/>
      <c r="AG1041" s="264"/>
      <c r="AH1041" s="264"/>
      <c r="AI1041" s="264"/>
      <c r="AJ1041" s="264"/>
      <c r="AK1041" s="264"/>
      <c r="AL1041" s="264"/>
      <c r="AM1041" s="651"/>
      <c r="AN1041" s="264"/>
      <c r="AO1041" s="264"/>
    </row>
    <row r="1042" spans="2:41" s="262" customFormat="1">
      <c r="B1042" s="224"/>
      <c r="C1042" s="225"/>
      <c r="D1042" s="163" t="s">
        <v>525</v>
      </c>
      <c r="E1042" s="163"/>
      <c r="L1042" s="274"/>
      <c r="M1042" s="274"/>
      <c r="N1042" s="274"/>
      <c r="O1042" s="305"/>
      <c r="P1042" s="264"/>
      <c r="Q1042" s="265"/>
      <c r="R1042" s="305"/>
      <c r="S1042" s="305"/>
      <c r="T1042" s="305"/>
      <c r="U1042" s="264"/>
      <c r="V1042" s="265"/>
      <c r="W1042" s="265"/>
      <c r="X1042" s="265"/>
      <c r="Y1042" s="265"/>
      <c r="Z1042" s="264"/>
      <c r="AA1042" s="265"/>
      <c r="AB1042" s="265"/>
      <c r="AC1042" s="265"/>
      <c r="AD1042" s="265"/>
      <c r="AE1042" s="264"/>
      <c r="AF1042" s="264"/>
      <c r="AG1042" s="264"/>
      <c r="AH1042" s="264"/>
      <c r="AI1042" s="264"/>
      <c r="AJ1042" s="264"/>
      <c r="AK1042" s="264"/>
      <c r="AL1042" s="264"/>
      <c r="AM1042" s="651"/>
      <c r="AN1042" s="264"/>
      <c r="AO1042" s="264"/>
    </row>
    <row r="1043" spans="2:41" s="262" customFormat="1">
      <c r="B1043" s="224" t="s">
        <v>64</v>
      </c>
      <c r="C1043" s="225" t="s">
        <v>65</v>
      </c>
      <c r="D1043" s="450" t="s">
        <v>386</v>
      </c>
      <c r="E1043" s="450"/>
      <c r="K1043" s="299">
        <v>-128</v>
      </c>
      <c r="L1043" s="300">
        <v>-22</v>
      </c>
      <c r="M1043" s="300">
        <v>-22</v>
      </c>
      <c r="N1043" s="300">
        <v>-44</v>
      </c>
      <c r="O1043" s="300">
        <f>P1043-L1043-M1043-N1043</f>
        <v>-53</v>
      </c>
      <c r="P1043" s="299">
        <v>-141</v>
      </c>
      <c r="Q1043" s="300">
        <v>-30</v>
      </c>
      <c r="R1043" s="300">
        <v>-24</v>
      </c>
      <c r="S1043" s="300">
        <v>-48</v>
      </c>
      <c r="T1043" s="300">
        <f>U1043-Q1043-R1043-S1043</f>
        <v>-42</v>
      </c>
      <c r="U1043" s="299">
        <v>-144</v>
      </c>
      <c r="V1043" s="300">
        <v>-42</v>
      </c>
      <c r="W1043" s="300">
        <v>-36</v>
      </c>
      <c r="X1043" s="300">
        <v>-78</v>
      </c>
      <c r="Y1043" s="300">
        <v>-48</v>
      </c>
      <c r="Z1043" s="299">
        <v>-204</v>
      </c>
      <c r="AA1043" s="738">
        <f ca="1">AA970</f>
        <v>-57.90191882288174</v>
      </c>
      <c r="AB1043" s="738">
        <f ca="1">AB970</f>
        <v>-57.90191882288174</v>
      </c>
      <c r="AC1043" s="738">
        <f ca="1">AC970</f>
        <v>-80.676538711776189</v>
      </c>
      <c r="AD1043" s="738">
        <f ca="1">AD970</f>
        <v>-84.205875581802744</v>
      </c>
      <c r="AE1043" s="272">
        <f ca="1">SUM(AA1043:AD1043)</f>
        <v>-280.68625193934241</v>
      </c>
      <c r="AF1043" s="264"/>
      <c r="AG1043" s="264"/>
      <c r="AH1043" s="264"/>
      <c r="AI1043" s="264"/>
      <c r="AJ1043" s="264"/>
      <c r="AK1043" s="264"/>
      <c r="AL1043" s="264"/>
      <c r="AM1043" s="651"/>
      <c r="AN1043" s="264"/>
      <c r="AO1043" s="264"/>
    </row>
    <row r="1044" spans="2:41" s="262" customFormat="1">
      <c r="B1044" s="224" t="s">
        <v>64</v>
      </c>
      <c r="C1044" s="225" t="s">
        <v>65</v>
      </c>
      <c r="D1044" s="450" t="s">
        <v>526</v>
      </c>
      <c r="E1044" s="450"/>
      <c r="K1044" s="299">
        <v>0</v>
      </c>
      <c r="L1044" s="300">
        <v>0</v>
      </c>
      <c r="M1044" s="300">
        <v>0</v>
      </c>
      <c r="N1044" s="300">
        <v>0</v>
      </c>
      <c r="O1044" s="300">
        <f>P1044-L1044-M1044-N1044</f>
        <v>0</v>
      </c>
      <c r="P1044" s="299">
        <v>0</v>
      </c>
      <c r="Q1044" s="300">
        <v>0</v>
      </c>
      <c r="R1044" s="300">
        <v>-4</v>
      </c>
      <c r="S1044" s="300">
        <v>0</v>
      </c>
      <c r="T1044" s="300">
        <f>U1044-Q1044-R1044-S1044</f>
        <v>0</v>
      </c>
      <c r="U1044" s="299">
        <v>-4</v>
      </c>
      <c r="V1044" s="300"/>
      <c r="W1044" s="300"/>
      <c r="X1044" s="300"/>
      <c r="Y1044" s="300"/>
      <c r="Z1044" s="299"/>
      <c r="AA1044" s="265"/>
      <c r="AB1044" s="265"/>
      <c r="AC1044" s="265"/>
      <c r="AD1044" s="265"/>
      <c r="AE1044" s="264"/>
      <c r="AF1044" s="264"/>
      <c r="AG1044" s="264"/>
      <c r="AH1044" s="264"/>
      <c r="AI1044" s="264"/>
      <c r="AJ1044" s="264"/>
      <c r="AK1044" s="264"/>
      <c r="AL1044" s="264"/>
      <c r="AM1044" s="651"/>
      <c r="AN1044" s="264"/>
      <c r="AO1044" s="264"/>
    </row>
    <row r="1045" spans="2:41" s="262" customFormat="1">
      <c r="B1045" s="224" t="s">
        <v>64</v>
      </c>
      <c r="C1045" s="225" t="s">
        <v>65</v>
      </c>
      <c r="D1045" s="450" t="s">
        <v>527</v>
      </c>
      <c r="E1045" s="450"/>
      <c r="K1045" s="299">
        <v>-412</v>
      </c>
      <c r="L1045" s="300">
        <v>-74</v>
      </c>
      <c r="M1045" s="300">
        <v>-22</v>
      </c>
      <c r="N1045" s="300">
        <v>-119</v>
      </c>
      <c r="O1045" s="300">
        <f>P1045-L1045-M1045-N1045</f>
        <v>-113</v>
      </c>
      <c r="P1045" s="299">
        <v>-328</v>
      </c>
      <c r="Q1045" s="300">
        <v>-84</v>
      </c>
      <c r="R1045" s="300">
        <v>-10</v>
      </c>
      <c r="S1045" s="300">
        <v>-117</v>
      </c>
      <c r="T1045" s="300">
        <f>U1045-Q1045-R1045-S1045</f>
        <v>-96</v>
      </c>
      <c r="U1045" s="299">
        <v>-307</v>
      </c>
      <c r="V1045" s="300">
        <v>-13</v>
      </c>
      <c r="W1045" s="300">
        <v>6</v>
      </c>
      <c r="X1045" s="300">
        <v>-131</v>
      </c>
      <c r="Y1045" s="300">
        <v>-93</v>
      </c>
      <c r="Z1045" s="299">
        <v>-231</v>
      </c>
      <c r="AA1045" s="738">
        <f t="shared" ref="AA1045:AD1045" si="900">AA969</f>
        <v>-36</v>
      </c>
      <c r="AB1045" s="738">
        <f t="shared" si="900"/>
        <v>-19</v>
      </c>
      <c r="AC1045" s="738">
        <f t="shared" si="900"/>
        <v>-85.483145331078859</v>
      </c>
      <c r="AD1045" s="738">
        <f t="shared" si="900"/>
        <v>-119.67607252814008</v>
      </c>
      <c r="AE1045" s="305">
        <f>AE969</f>
        <v>-260.15921785921893</v>
      </c>
      <c r="AF1045" s="264"/>
      <c r="AG1045" s="264"/>
      <c r="AH1045" s="264"/>
      <c r="AI1045" s="264"/>
      <c r="AJ1045" s="264"/>
      <c r="AK1045" s="264"/>
      <c r="AL1045" s="264"/>
      <c r="AM1045" s="651"/>
      <c r="AN1045" s="264"/>
      <c r="AO1045" s="264"/>
    </row>
    <row r="1046" spans="2:41" s="262" customFormat="1">
      <c r="B1046" s="224" t="s">
        <v>64</v>
      </c>
      <c r="C1046" s="225" t="s">
        <v>65</v>
      </c>
      <c r="D1046" s="450" t="s">
        <v>612</v>
      </c>
      <c r="E1046" s="450"/>
      <c r="K1046" s="299"/>
      <c r="L1046" s="300"/>
      <c r="M1046" s="300"/>
      <c r="N1046" s="300"/>
      <c r="O1046" s="300"/>
      <c r="P1046" s="299"/>
      <c r="Q1046" s="300"/>
      <c r="R1046" s="300"/>
      <c r="S1046" s="300"/>
      <c r="T1046" s="300"/>
      <c r="U1046" s="299"/>
      <c r="V1046" s="300">
        <v>-1</v>
      </c>
      <c r="W1046" s="300"/>
      <c r="X1046" s="300"/>
      <c r="Y1046" s="300"/>
      <c r="Z1046" s="299"/>
      <c r="AA1046" s="265"/>
      <c r="AB1046" s="265"/>
      <c r="AC1046" s="265"/>
      <c r="AD1046" s="265"/>
      <c r="AE1046" s="264"/>
      <c r="AF1046" s="264"/>
      <c r="AG1046" s="264"/>
      <c r="AH1046" s="264"/>
      <c r="AI1046" s="264"/>
      <c r="AJ1046" s="264"/>
      <c r="AK1046" s="264"/>
      <c r="AL1046" s="264"/>
      <c r="AM1046" s="651"/>
      <c r="AN1046" s="264"/>
      <c r="AO1046" s="264"/>
    </row>
    <row r="1047" spans="2:41" s="262" customFormat="1">
      <c r="B1047" s="224" t="s">
        <v>64</v>
      </c>
      <c r="C1047" s="225" t="s">
        <v>65</v>
      </c>
      <c r="D1047" s="450" t="s">
        <v>509</v>
      </c>
      <c r="E1047" s="450"/>
      <c r="K1047" s="299">
        <v>-77</v>
      </c>
      <c r="L1047" s="300">
        <v>0</v>
      </c>
      <c r="M1047" s="300">
        <v>0</v>
      </c>
      <c r="N1047" s="300">
        <v>-50</v>
      </c>
      <c r="O1047" s="300">
        <f>P1047-L1047-M1047-N1047</f>
        <v>-20</v>
      </c>
      <c r="P1047" s="299">
        <v>-70</v>
      </c>
      <c r="Q1047" s="300">
        <v>0</v>
      </c>
      <c r="R1047" s="300">
        <v>0</v>
      </c>
      <c r="S1047" s="300">
        <v>-51</v>
      </c>
      <c r="T1047" s="300">
        <f>U1047-Q1047-R1047-S1047</f>
        <v>-24</v>
      </c>
      <c r="U1047" s="299">
        <v>-75</v>
      </c>
      <c r="V1047" s="300">
        <v>0</v>
      </c>
      <c r="W1047" s="300">
        <v>-2</v>
      </c>
      <c r="X1047" s="300">
        <v>-59</v>
      </c>
      <c r="Y1047" s="300">
        <v>-17</v>
      </c>
      <c r="Z1047" s="299">
        <v>-78</v>
      </c>
      <c r="AA1047" s="265"/>
      <c r="AB1047" s="265"/>
      <c r="AC1047" s="265"/>
      <c r="AD1047" s="265"/>
      <c r="AE1047" s="264"/>
      <c r="AF1047" s="264"/>
      <c r="AG1047" s="264"/>
      <c r="AH1047" s="264"/>
      <c r="AI1047" s="264"/>
      <c r="AJ1047" s="264"/>
      <c r="AK1047" s="264"/>
      <c r="AL1047" s="264"/>
      <c r="AM1047" s="651"/>
      <c r="AN1047" s="264"/>
      <c r="AO1047" s="264"/>
    </row>
    <row r="1048" spans="2:41" s="262" customFormat="1">
      <c r="B1048" s="224" t="s">
        <v>64</v>
      </c>
      <c r="C1048" s="225" t="s">
        <v>65</v>
      </c>
      <c r="D1048" s="183" t="s">
        <v>528</v>
      </c>
      <c r="E1048" s="183"/>
      <c r="F1048" s="283"/>
      <c r="G1048" s="283"/>
      <c r="H1048" s="283"/>
      <c r="I1048" s="283"/>
      <c r="J1048" s="283"/>
      <c r="K1048" s="736">
        <f>K1041+K1043+K1044+K1045+K1047</f>
        <v>378</v>
      </c>
      <c r="L1048" s="737">
        <f t="shared" ref="L1048:T1048" si="901">L1041+L1043+L1044+L1045+L1047</f>
        <v>85</v>
      </c>
      <c r="M1048" s="737">
        <f t="shared" si="901"/>
        <v>68</v>
      </c>
      <c r="N1048" s="737">
        <f t="shared" si="901"/>
        <v>127</v>
      </c>
      <c r="O1048" s="737">
        <f t="shared" si="901"/>
        <v>131</v>
      </c>
      <c r="P1048" s="736">
        <f t="shared" si="901"/>
        <v>411</v>
      </c>
      <c r="Q1048" s="737">
        <f t="shared" si="901"/>
        <v>85</v>
      </c>
      <c r="R1048" s="737">
        <f t="shared" si="901"/>
        <v>46</v>
      </c>
      <c r="S1048" s="737">
        <f t="shared" si="901"/>
        <v>120</v>
      </c>
      <c r="T1048" s="737">
        <f t="shared" si="901"/>
        <v>124</v>
      </c>
      <c r="U1048" s="736">
        <f>U1041+U1043+U1044+U1045+U1047</f>
        <v>431</v>
      </c>
      <c r="V1048" s="737">
        <f>V1041+V1043+V1044+V1045+V1047</f>
        <v>79</v>
      </c>
      <c r="W1048" s="737">
        <f>W1041+W1043+W1044+W1045+W1047+W1046</f>
        <v>59</v>
      </c>
      <c r="X1048" s="1145">
        <f>X1041+X1043+X1044+X1045+X1047+X1046</f>
        <v>124</v>
      </c>
      <c r="Y1048" s="1145">
        <f ca="1">Y1041+Y1043+Y1044+Y1045+Y1047+Y1046</f>
        <v>0</v>
      </c>
      <c r="Z1048" s="736">
        <f ca="1">Z1041+Z1043+Z1044+Z1045+Z1047+Z1046</f>
        <v>424</v>
      </c>
      <c r="AA1048" s="737">
        <f ca="1">AA1041+AA1043+AA1044+AA1045+AA1047</f>
        <v>98.725308376738511</v>
      </c>
      <c r="AB1048" s="737">
        <f ca="1">AB1041+AB1043+AB1044+AB1045+AB1047+AB1046</f>
        <v>113.8837779362249</v>
      </c>
      <c r="AC1048" s="1145">
        <f ca="1">AC1041+AC1043+AC1044+AC1045+AC1047+AC1046</f>
        <v>106.89408471425911</v>
      </c>
      <c r="AD1048" s="1145">
        <f ca="1">AD1041+AD1043+AD1044+AD1045+AD1047+AD1046</f>
        <v>88.206278284746176</v>
      </c>
      <c r="AE1048" s="736">
        <f ca="1">AE1041+AE1043+AE1044+AE1045+AE1047</f>
        <v>407.70944931196874</v>
      </c>
      <c r="AF1048" s="735"/>
      <c r="AG1048" s="735"/>
      <c r="AH1048" s="735"/>
      <c r="AI1048" s="735"/>
      <c r="AJ1048" s="735"/>
      <c r="AK1048" s="735"/>
      <c r="AL1048" s="735"/>
      <c r="AM1048" s="651"/>
      <c r="AN1048" s="264"/>
      <c r="AO1048" s="264"/>
    </row>
    <row r="1049" spans="2:41" s="262" customFormat="1">
      <c r="B1049" s="224"/>
      <c r="C1049" s="225"/>
      <c r="D1049" s="163"/>
      <c r="E1049" s="163"/>
      <c r="L1049" s="274"/>
      <c r="M1049" s="274"/>
      <c r="N1049" s="274"/>
      <c r="O1049" s="265"/>
      <c r="P1049" s="264"/>
      <c r="Q1049" s="265"/>
      <c r="R1049" s="305"/>
      <c r="S1049" s="265"/>
      <c r="T1049" s="265"/>
      <c r="U1049" s="264"/>
      <c r="V1049" s="265"/>
      <c r="W1049" s="265"/>
      <c r="X1049" s="265"/>
      <c r="Y1049" s="265"/>
      <c r="Z1049" s="264"/>
      <c r="AA1049" s="265"/>
      <c r="AB1049" s="265"/>
      <c r="AC1049" s="265"/>
      <c r="AD1049" s="265"/>
      <c r="AE1049" s="264"/>
      <c r="AF1049" s="264"/>
      <c r="AG1049" s="264"/>
      <c r="AH1049" s="264"/>
      <c r="AI1049" s="264"/>
      <c r="AJ1049" s="264"/>
      <c r="AK1049" s="264"/>
      <c r="AL1049" s="264"/>
      <c r="AM1049" s="651"/>
      <c r="AN1049" s="264"/>
      <c r="AO1049" s="264"/>
    </row>
    <row r="1050" spans="2:41" s="262" customFormat="1">
      <c r="B1050" s="224"/>
      <c r="C1050" s="225"/>
      <c r="D1050" s="163"/>
      <c r="E1050" s="163"/>
      <c r="L1050" s="274"/>
      <c r="M1050" s="265"/>
      <c r="N1050" s="265"/>
      <c r="O1050" s="265"/>
      <c r="P1050" s="264"/>
      <c r="Q1050" s="265"/>
      <c r="R1050" s="305"/>
      <c r="S1050" s="265"/>
      <c r="T1050" s="265"/>
      <c r="U1050" s="264"/>
      <c r="V1050" s="265"/>
      <c r="W1050" s="265"/>
      <c r="X1050" s="265"/>
      <c r="Y1050" s="265"/>
      <c r="Z1050" s="264"/>
      <c r="AA1050" s="265"/>
      <c r="AB1050" s="265"/>
      <c r="AC1050" s="265"/>
      <c r="AD1050" s="265"/>
      <c r="AE1050" s="264"/>
      <c r="AF1050" s="264"/>
      <c r="AG1050" s="264"/>
      <c r="AH1050" s="264"/>
      <c r="AI1050" s="264"/>
      <c r="AJ1050" s="264"/>
      <c r="AK1050" s="264"/>
      <c r="AL1050" s="264"/>
      <c r="AM1050" s="651"/>
      <c r="AN1050" s="264"/>
      <c r="AO1050" s="264"/>
    </row>
    <row r="1051" spans="2:41" s="262" customFormat="1">
      <c r="B1051" s="224"/>
      <c r="C1051" s="225"/>
      <c r="D1051" s="163"/>
      <c r="E1051" s="163"/>
      <c r="L1051" s="274"/>
      <c r="M1051" s="265"/>
      <c r="N1051" s="265"/>
      <c r="O1051" s="265"/>
      <c r="P1051" s="264"/>
      <c r="Q1051" s="265"/>
      <c r="R1051" s="305"/>
      <c r="S1051" s="265"/>
      <c r="T1051" s="265"/>
      <c r="U1051" s="264"/>
      <c r="V1051" s="265"/>
      <c r="W1051" s="265"/>
      <c r="X1051" s="265"/>
      <c r="Y1051" s="265"/>
      <c r="Z1051" s="264"/>
      <c r="AA1051" s="265"/>
      <c r="AB1051" s="265"/>
      <c r="AC1051" s="265"/>
      <c r="AD1051" s="265"/>
      <c r="AE1051" s="264"/>
      <c r="AF1051" s="264"/>
      <c r="AG1051" s="264"/>
      <c r="AH1051" s="264"/>
      <c r="AI1051" s="264"/>
      <c r="AJ1051" s="264"/>
      <c r="AK1051" s="264"/>
      <c r="AL1051" s="264"/>
      <c r="AM1051" s="651"/>
      <c r="AN1051" s="264"/>
      <c r="AO1051" s="264"/>
    </row>
    <row r="1052" spans="2:41" s="262" customFormat="1">
      <c r="B1052" s="224"/>
      <c r="C1052" s="225"/>
      <c r="D1052" s="163" t="s">
        <v>529</v>
      </c>
      <c r="E1052" s="163"/>
      <c r="K1052" s="456">
        <f>(K948-K928)*2.2046</f>
        <v>1059.7512200000001</v>
      </c>
      <c r="L1052" s="462">
        <f>(L948-L928)*2.2046</f>
        <v>215.33430500000003</v>
      </c>
      <c r="M1052" s="462">
        <f>(M948-M928)*2.2046</f>
        <v>139.352766</v>
      </c>
      <c r="N1052" s="462">
        <f>(N948-N928)*2.2046</f>
        <v>294.3141</v>
      </c>
      <c r="O1052" s="462">
        <f>(O948-O928)*2.2046</f>
        <v>361.55440000000004</v>
      </c>
      <c r="P1052" s="456">
        <f>P948*2.2046</f>
        <v>1215.1755200000002</v>
      </c>
      <c r="Q1052" s="462">
        <f t="shared" ref="Q1052:Z1052" si="902">(Q948-Q928)*2.2046</f>
        <v>270.08554600000002</v>
      </c>
      <c r="R1052" s="462">
        <f t="shared" si="902"/>
        <v>170.77933900000002</v>
      </c>
      <c r="S1052" s="462">
        <f t="shared" si="902"/>
        <v>348.43151849999998</v>
      </c>
      <c r="T1052" s="462">
        <f t="shared" si="902"/>
        <v>341.15082700000005</v>
      </c>
      <c r="U1052" s="456">
        <f t="shared" si="902"/>
        <v>1130.4472305000002</v>
      </c>
      <c r="V1052" s="462">
        <f t="shared" si="902"/>
        <v>241.17772850000003</v>
      </c>
      <c r="W1052" s="462">
        <f t="shared" si="902"/>
        <v>184.24944500000001</v>
      </c>
      <c r="X1052" s="462">
        <f t="shared" si="902"/>
        <v>329.42235500000004</v>
      </c>
      <c r="Y1052" s="462">
        <f t="shared" si="902"/>
        <v>250.35437599999997</v>
      </c>
      <c r="Z1052" s="456">
        <f t="shared" si="902"/>
        <v>1005.2039045000001</v>
      </c>
      <c r="AA1052" s="462">
        <f>(AA948-AA928)*2.2046</f>
        <v>170.5643905</v>
      </c>
      <c r="AB1052" s="462">
        <f>(AB948-AB928)*2.2046</f>
        <v>30.836842499999996</v>
      </c>
      <c r="AC1052" s="462">
        <f>(AC948-AC928)*2.2046</f>
        <v>278.33075000000002</v>
      </c>
      <c r="AD1052" s="462">
        <f>(AD948-AD928)*2.2046</f>
        <v>408.15946620967748</v>
      </c>
      <c r="AE1052" s="456">
        <f>(AE948-AE928)*2.2046</f>
        <v>892.86300000000006</v>
      </c>
      <c r="AF1052" s="264"/>
      <c r="AG1052" s="264"/>
      <c r="AH1052" s="264"/>
      <c r="AI1052" s="264"/>
      <c r="AJ1052" s="264"/>
      <c r="AK1052" s="264"/>
      <c r="AL1052" s="264"/>
      <c r="AM1052" s="651"/>
      <c r="AN1052" s="264"/>
      <c r="AO1052" s="264"/>
    </row>
    <row r="1053" spans="2:41" s="262" customFormat="1">
      <c r="B1053" s="218"/>
      <c r="C1053" s="225" t="s">
        <v>65</v>
      </c>
      <c r="D1053" s="163" t="s">
        <v>511</v>
      </c>
      <c r="E1053" s="163"/>
      <c r="K1053" s="1111">
        <v>1060.9000000000001</v>
      </c>
      <c r="L1053" s="1112">
        <v>222.1</v>
      </c>
      <c r="M1053" s="461">
        <v>167.5</v>
      </c>
      <c r="N1053" s="461">
        <v>298</v>
      </c>
      <c r="O1053" s="461">
        <v>332</v>
      </c>
      <c r="P1053" s="1111">
        <v>1035.5</v>
      </c>
      <c r="Q1053" s="461">
        <v>259.89999999999998</v>
      </c>
      <c r="R1053" s="461">
        <v>177.3</v>
      </c>
      <c r="S1053" s="461">
        <v>332</v>
      </c>
      <c r="T1053" s="461">
        <v>325</v>
      </c>
      <c r="U1053" s="1111">
        <f>SUM(Q1053:T1053)</f>
        <v>1094.2</v>
      </c>
      <c r="V1053" s="461">
        <v>259.89999999999998</v>
      </c>
      <c r="W1053" s="461">
        <v>173.4</v>
      </c>
      <c r="X1053" s="461">
        <v>334.3</v>
      </c>
      <c r="Y1053" s="461">
        <v>281.7</v>
      </c>
      <c r="Z1053" s="1111">
        <f>SUM(V1053:Y1053)</f>
        <v>1049.3</v>
      </c>
      <c r="AA1053" s="738">
        <f t="shared" ref="AA1053:AE1053" si="903">AA1052</f>
        <v>170.5643905</v>
      </c>
      <c r="AB1053" s="738">
        <f t="shared" si="903"/>
        <v>30.836842499999996</v>
      </c>
      <c r="AC1053" s="738">
        <f t="shared" si="903"/>
        <v>278.33075000000002</v>
      </c>
      <c r="AD1053" s="738">
        <f t="shared" si="903"/>
        <v>408.15946620967748</v>
      </c>
      <c r="AE1053" s="457">
        <f t="shared" si="903"/>
        <v>892.86300000000006</v>
      </c>
      <c r="AF1053" s="264"/>
      <c r="AG1053" s="264"/>
      <c r="AH1053" s="264"/>
      <c r="AI1053" s="264"/>
      <c r="AJ1053" s="264"/>
      <c r="AK1053" s="264"/>
      <c r="AL1053" s="264"/>
      <c r="AM1053" s="651"/>
      <c r="AN1053" s="264"/>
      <c r="AO1053" s="264"/>
    </row>
    <row r="1054" spans="2:41" s="262" customFormat="1">
      <c r="B1054" s="218"/>
      <c r="C1054" s="225"/>
      <c r="D1054" s="163"/>
      <c r="E1054" s="163"/>
      <c r="K1054" s="457"/>
      <c r="L1054" s="467"/>
      <c r="M1054" s="265"/>
      <c r="N1054" s="265"/>
      <c r="O1054" s="265"/>
      <c r="P1054" s="457"/>
      <c r="Q1054" s="265"/>
      <c r="R1054" s="265"/>
      <c r="S1054" s="265"/>
      <c r="T1054" s="265"/>
      <c r="U1054" s="457"/>
      <c r="V1054" s="265"/>
      <c r="W1054" s="265"/>
      <c r="X1054" s="265"/>
      <c r="Y1054" s="265"/>
      <c r="Z1054" s="264"/>
      <c r="AA1054" s="265"/>
      <c r="AB1054" s="265"/>
      <c r="AC1054" s="265"/>
      <c r="AD1054" s="265"/>
      <c r="AE1054" s="264"/>
      <c r="AF1054" s="264"/>
      <c r="AG1054" s="264"/>
      <c r="AH1054" s="264"/>
      <c r="AI1054" s="264"/>
      <c r="AJ1054" s="264"/>
      <c r="AK1054" s="264"/>
      <c r="AL1054" s="264"/>
      <c r="AM1054" s="651"/>
      <c r="AN1054" s="264"/>
      <c r="AO1054" s="264"/>
    </row>
    <row r="1055" spans="2:41" s="262" customFormat="1">
      <c r="B1055" s="218"/>
      <c r="C1055" s="219"/>
      <c r="D1055" s="173" t="s">
        <v>757</v>
      </c>
      <c r="E1055" s="173"/>
      <c r="F1055" s="451"/>
      <c r="G1055" s="451"/>
      <c r="H1055" s="451"/>
      <c r="I1055" s="451"/>
      <c r="J1055" s="451"/>
      <c r="K1055" s="451"/>
      <c r="L1055" s="740"/>
      <c r="M1055" s="741"/>
      <c r="N1055" s="741"/>
      <c r="O1055" s="741"/>
      <c r="P1055" s="275"/>
      <c r="Q1055" s="741"/>
      <c r="R1055" s="741"/>
      <c r="S1055" s="741"/>
      <c r="T1055" s="741"/>
      <c r="U1055" s="275"/>
      <c r="V1055" s="741"/>
      <c r="W1055" s="741"/>
      <c r="X1055" s="741"/>
      <c r="Y1055" s="741"/>
      <c r="Z1055" s="275"/>
      <c r="AA1055" s="741"/>
      <c r="AB1055" s="741"/>
      <c r="AC1055" s="741"/>
      <c r="AD1055" s="741"/>
      <c r="AE1055" s="275"/>
      <c r="AF1055" s="275"/>
      <c r="AG1055" s="275"/>
      <c r="AH1055" s="275"/>
      <c r="AI1055" s="275"/>
      <c r="AJ1055" s="275"/>
      <c r="AK1055" s="275"/>
      <c r="AL1055" s="275"/>
      <c r="AM1055" s="651"/>
      <c r="AN1055" s="264"/>
      <c r="AO1055" s="264"/>
    </row>
    <row r="1056" spans="2:41" s="262" customFormat="1">
      <c r="B1056" s="224" t="s">
        <v>64</v>
      </c>
      <c r="C1056" s="219"/>
      <c r="D1056" s="163" t="s">
        <v>513</v>
      </c>
      <c r="E1056" s="163"/>
      <c r="K1056" s="273">
        <f t="shared" ref="K1056:V1056" si="904">K1048/K1053</f>
        <v>0.3563012536525591</v>
      </c>
      <c r="L1056" s="458">
        <f t="shared" si="904"/>
        <v>0.38271049076992347</v>
      </c>
      <c r="M1056" s="458">
        <f t="shared" si="904"/>
        <v>0.40597014925373132</v>
      </c>
      <c r="N1056" s="458">
        <f t="shared" si="904"/>
        <v>0.4261744966442953</v>
      </c>
      <c r="O1056" s="458">
        <f t="shared" si="904"/>
        <v>0.39457831325301207</v>
      </c>
      <c r="P1056" s="273">
        <f t="shared" si="904"/>
        <v>0.39690970545630128</v>
      </c>
      <c r="Q1056" s="458">
        <f t="shared" si="904"/>
        <v>0.32704886494805696</v>
      </c>
      <c r="R1056" s="458">
        <f t="shared" si="904"/>
        <v>0.25944726452340666</v>
      </c>
      <c r="S1056" s="458">
        <f t="shared" si="904"/>
        <v>0.36144578313253012</v>
      </c>
      <c r="T1056" s="458">
        <f t="shared" si="904"/>
        <v>0.38153846153846155</v>
      </c>
      <c r="U1056" s="273">
        <f t="shared" si="904"/>
        <v>0.3938950831657832</v>
      </c>
      <c r="V1056" s="458">
        <f t="shared" si="904"/>
        <v>0.30396306271642942</v>
      </c>
      <c r="W1056" s="458">
        <f t="shared" ref="W1056:Z1056" si="905">W1048/W1053</f>
        <v>0.3402537485582468</v>
      </c>
      <c r="X1056" s="458">
        <f t="shared" si="905"/>
        <v>0.37092431947352678</v>
      </c>
      <c r="Y1056" s="458">
        <f ca="1">Y1048/Y1053</f>
        <v>0</v>
      </c>
      <c r="Z1056" s="273">
        <f t="shared" ca="1" si="905"/>
        <v>0.3938950831657832</v>
      </c>
      <c r="AA1056" s="265"/>
      <c r="AB1056" s="265"/>
      <c r="AC1056" s="265"/>
      <c r="AD1056" s="265"/>
      <c r="AE1056" s="273">
        <f ca="1">AE1048/AE1053</f>
        <v>0.43514304242142765</v>
      </c>
      <c r="AF1056" s="264"/>
      <c r="AG1056" s="264"/>
      <c r="AH1056" s="264"/>
      <c r="AI1056" s="264"/>
      <c r="AJ1056" s="264"/>
      <c r="AK1056" s="264"/>
      <c r="AL1056" s="264"/>
      <c r="AM1056" s="651"/>
      <c r="AN1056" s="264"/>
      <c r="AO1056" s="264"/>
    </row>
    <row r="1057" spans="1:41" s="262" customFormat="1">
      <c r="B1057" s="224" t="s">
        <v>64</v>
      </c>
      <c r="C1057" s="219"/>
      <c r="D1057" s="163" t="s">
        <v>514</v>
      </c>
      <c r="E1057" s="163"/>
      <c r="K1057" s="273">
        <f t="shared" ref="K1057:V1057" si="906">K1033/K1053</f>
        <v>0.31954001319634268</v>
      </c>
      <c r="L1057" s="458">
        <f t="shared" si="906"/>
        <v>0.32417829806393517</v>
      </c>
      <c r="M1057" s="458">
        <f t="shared" si="906"/>
        <v>0.30447761194029849</v>
      </c>
      <c r="N1057" s="458">
        <f t="shared" si="906"/>
        <v>0.19798657718120805</v>
      </c>
      <c r="O1057" s="458">
        <f t="shared" si="906"/>
        <v>0.21987951807228914</v>
      </c>
      <c r="P1057" s="273">
        <f t="shared" si="906"/>
        <v>0.24625784645098986</v>
      </c>
      <c r="Q1057" s="458">
        <f>Q1033/Q1053</f>
        <v>0.21931512120046173</v>
      </c>
      <c r="R1057" s="458">
        <f t="shared" si="906"/>
        <v>0.26508742244782851</v>
      </c>
      <c r="S1057" s="458">
        <f t="shared" si="906"/>
        <v>0.31626506024096385</v>
      </c>
      <c r="T1057" s="458">
        <f t="shared" si="906"/>
        <v>0.30461538461538462</v>
      </c>
      <c r="U1057" s="273">
        <f t="shared" si="906"/>
        <v>0.28148418936209102</v>
      </c>
      <c r="V1057" s="458">
        <f t="shared" si="906"/>
        <v>0.29626779530588693</v>
      </c>
      <c r="W1057" s="458">
        <f t="shared" ref="W1057:Z1057" si="907">W1033/W1053</f>
        <v>0.30565167243367936</v>
      </c>
      <c r="X1057" s="458">
        <f t="shared" si="907"/>
        <v>0.38588094525874961</v>
      </c>
      <c r="Y1057" s="458">
        <f t="shared" si="907"/>
        <v>0.39403620873269435</v>
      </c>
      <c r="Z1057" s="273">
        <f t="shared" si="907"/>
        <v>0.35261602973410849</v>
      </c>
      <c r="AA1057" s="265"/>
      <c r="AB1057" s="265"/>
      <c r="AC1057" s="265"/>
      <c r="AD1057" s="265"/>
      <c r="AE1057" s="273">
        <f>AE1033/AE1053</f>
        <v>0.41439728155383299</v>
      </c>
      <c r="AF1057" s="264"/>
      <c r="AG1057" s="264"/>
      <c r="AH1057" s="264"/>
      <c r="AI1057" s="264"/>
      <c r="AJ1057" s="264"/>
      <c r="AK1057" s="264"/>
      <c r="AL1057" s="264"/>
      <c r="AM1057" s="651"/>
      <c r="AN1057" s="264"/>
      <c r="AO1057" s="264"/>
    </row>
    <row r="1058" spans="1:41" s="262" customFormat="1">
      <c r="B1058" s="224" t="s">
        <v>64</v>
      </c>
      <c r="C1058" s="219"/>
      <c r="D1058" s="163" t="s">
        <v>517</v>
      </c>
      <c r="E1058" s="163"/>
      <c r="K1058" s="273">
        <f t="shared" ref="K1058:V1058" si="908">SUM(K1056:K1057)</f>
        <v>0.67584126684890178</v>
      </c>
      <c r="L1058" s="458">
        <f t="shared" si="908"/>
        <v>0.70688878883385864</v>
      </c>
      <c r="M1058" s="458">
        <f t="shared" si="908"/>
        <v>0.71044776119402986</v>
      </c>
      <c r="N1058" s="458">
        <f t="shared" si="908"/>
        <v>0.62416107382550334</v>
      </c>
      <c r="O1058" s="458">
        <f t="shared" si="908"/>
        <v>0.61445783132530118</v>
      </c>
      <c r="P1058" s="273">
        <f t="shared" si="908"/>
        <v>0.64316755190729114</v>
      </c>
      <c r="Q1058" s="458">
        <f t="shared" si="908"/>
        <v>0.54636398614851867</v>
      </c>
      <c r="R1058" s="458">
        <f t="shared" si="908"/>
        <v>0.52453468697123518</v>
      </c>
      <c r="S1058" s="458">
        <f t="shared" si="908"/>
        <v>0.67771084337349397</v>
      </c>
      <c r="T1058" s="458">
        <f t="shared" si="908"/>
        <v>0.68615384615384611</v>
      </c>
      <c r="U1058" s="273">
        <f t="shared" si="908"/>
        <v>0.67537927252787422</v>
      </c>
      <c r="V1058" s="458">
        <f t="shared" si="908"/>
        <v>0.60023085802231635</v>
      </c>
      <c r="W1058" s="458">
        <f t="shared" ref="W1058:Z1058" si="909">SUM(W1056:W1057)</f>
        <v>0.64590542099192616</v>
      </c>
      <c r="X1058" s="458">
        <f t="shared" si="909"/>
        <v>0.75680526473227638</v>
      </c>
      <c r="Y1058" s="458">
        <f t="shared" ca="1" si="909"/>
        <v>0.60023085802231635</v>
      </c>
      <c r="Z1058" s="273">
        <f t="shared" ca="1" si="909"/>
        <v>0.67537927252787422</v>
      </c>
      <c r="AA1058" s="265"/>
      <c r="AB1058" s="265"/>
      <c r="AC1058" s="265"/>
      <c r="AD1058" s="265"/>
      <c r="AE1058" s="273">
        <f ca="1">SUM(AE1056:AE1057)</f>
        <v>0.75532917729450055</v>
      </c>
      <c r="AF1058" s="264"/>
      <c r="AG1058" s="264"/>
      <c r="AH1058" s="264"/>
      <c r="AI1058" s="264"/>
      <c r="AJ1058" s="264"/>
      <c r="AK1058" s="264"/>
      <c r="AL1058" s="264"/>
      <c r="AM1058" s="651"/>
      <c r="AN1058" s="264"/>
      <c r="AO1058" s="264"/>
    </row>
    <row r="1059" spans="1:41" s="262" customFormat="1">
      <c r="B1059" s="224" t="s">
        <v>64</v>
      </c>
      <c r="C1059" s="219"/>
      <c r="D1059" s="163" t="s">
        <v>518</v>
      </c>
      <c r="E1059" s="163"/>
      <c r="K1059" s="459">
        <f t="shared" ref="K1059:V1059" si="910">(K1032-K1047)/K1053</f>
        <v>-0.30445847865020265</v>
      </c>
      <c r="L1059" s="460">
        <f t="shared" si="910"/>
        <v>-1.80099054479964E-2</v>
      </c>
      <c r="M1059" s="460">
        <f t="shared" si="910"/>
        <v>-3.5820895522388062E-2</v>
      </c>
      <c r="N1059" s="460">
        <f t="shared" si="910"/>
        <v>-0.53355704697986572</v>
      </c>
      <c r="O1059" s="460">
        <f t="shared" si="910"/>
        <v>-0.23192771084337349</v>
      </c>
      <c r="P1059" s="459">
        <f t="shared" si="910"/>
        <v>-0.23756639304683727</v>
      </c>
      <c r="Q1059" s="460">
        <f t="shared" si="910"/>
        <v>-3.8476337052712584E-2</v>
      </c>
      <c r="R1059" s="460">
        <f t="shared" si="910"/>
        <v>-3.3840947546531303E-2</v>
      </c>
      <c r="S1059" s="460">
        <f t="shared" si="910"/>
        <v>-0.49397590361445781</v>
      </c>
      <c r="T1059" s="460">
        <f t="shared" si="910"/>
        <v>-0.19076923076923077</v>
      </c>
      <c r="U1059" s="459">
        <f>(U1032-U1047)/U1053</f>
        <v>-0.22116614878450008</v>
      </c>
      <c r="V1059" s="460">
        <f t="shared" si="910"/>
        <v>-7.6952674105425171E-3</v>
      </c>
      <c r="W1059" s="460">
        <f t="shared" ref="W1059:Y1059" si="911">(W1032-W1047)/W1053</f>
        <v>-4.61361014994233E-2</v>
      </c>
      <c r="X1059" s="460">
        <f t="shared" si="911"/>
        <v>-0.51151660185462156</v>
      </c>
      <c r="Y1059" s="460">
        <f t="shared" si="911"/>
        <v>-0.20234291799787008</v>
      </c>
      <c r="Z1059" s="459">
        <f>(Z1032-Z1047)/Z1053</f>
        <v>-0.22681787858572383</v>
      </c>
      <c r="AA1059" s="265"/>
      <c r="AB1059" s="265"/>
      <c r="AC1059" s="265"/>
      <c r="AD1059" s="265"/>
      <c r="AE1059" s="459">
        <f>(AE1032-AE1047)/AE1053</f>
        <v>-0.35391767830003035</v>
      </c>
      <c r="AF1059" s="264"/>
      <c r="AG1059" s="264"/>
      <c r="AH1059" s="264"/>
      <c r="AI1059" s="264"/>
      <c r="AJ1059" s="264"/>
      <c r="AK1059" s="264"/>
      <c r="AL1059" s="264"/>
      <c r="AM1059" s="651"/>
      <c r="AN1059" s="264"/>
      <c r="AO1059" s="264"/>
    </row>
    <row r="1060" spans="1:41" s="262" customFormat="1">
      <c r="B1060" s="224" t="s">
        <v>64</v>
      </c>
      <c r="C1060" s="219"/>
      <c r="D1060" s="163" t="s">
        <v>519</v>
      </c>
      <c r="E1060" s="163"/>
      <c r="K1060" s="273">
        <f t="shared" ref="K1060:V1060" si="912">K1058+K1059</f>
        <v>0.37138278819869913</v>
      </c>
      <c r="L1060" s="458">
        <f t="shared" si="912"/>
        <v>0.68887888338586223</v>
      </c>
      <c r="M1060" s="458">
        <f t="shared" si="912"/>
        <v>0.67462686567164176</v>
      </c>
      <c r="N1060" s="458">
        <f t="shared" si="912"/>
        <v>9.060402684563762E-2</v>
      </c>
      <c r="O1060" s="458">
        <f t="shared" si="912"/>
        <v>0.38253012048192769</v>
      </c>
      <c r="P1060" s="273">
        <f t="shared" si="912"/>
        <v>0.40560115886045389</v>
      </c>
      <c r="Q1060" s="458">
        <f t="shared" si="912"/>
        <v>0.50788764909580608</v>
      </c>
      <c r="R1060" s="458">
        <f t="shared" si="912"/>
        <v>0.49069373942470385</v>
      </c>
      <c r="S1060" s="458">
        <f t="shared" si="912"/>
        <v>0.18373493975903615</v>
      </c>
      <c r="T1060" s="458">
        <f t="shared" si="912"/>
        <v>0.49538461538461531</v>
      </c>
      <c r="U1060" s="273">
        <f t="shared" si="912"/>
        <v>0.45421312374337414</v>
      </c>
      <c r="V1060" s="458">
        <f t="shared" si="912"/>
        <v>0.59253559061177385</v>
      </c>
      <c r="W1060" s="458">
        <f t="shared" ref="W1060:Z1060" si="913">W1058+W1059</f>
        <v>0.59976931949250289</v>
      </c>
      <c r="X1060" s="458">
        <f t="shared" si="913"/>
        <v>0.24528866287765483</v>
      </c>
      <c r="Y1060" s="458">
        <f t="shared" ca="1" si="913"/>
        <v>0.59253559061177385</v>
      </c>
      <c r="Z1060" s="273">
        <f t="shared" ca="1" si="913"/>
        <v>0.45421312374337414</v>
      </c>
      <c r="AA1060" s="265"/>
      <c r="AB1060" s="265"/>
      <c r="AC1060" s="265"/>
      <c r="AD1060" s="265"/>
      <c r="AE1060" s="273">
        <f ca="1">AE1058+AE1059</f>
        <v>0.51518957613969585</v>
      </c>
      <c r="AF1060" s="264"/>
      <c r="AG1060" s="264"/>
      <c r="AH1060" s="264"/>
      <c r="AI1060" s="264"/>
      <c r="AJ1060" s="264"/>
      <c r="AK1060" s="264"/>
      <c r="AL1060" s="264"/>
      <c r="AM1060" s="651"/>
      <c r="AN1060" s="264"/>
      <c r="AO1060" s="264"/>
    </row>
    <row r="1061" spans="1:41" s="262" customFormat="1">
      <c r="C1061" s="263"/>
      <c r="D1061" s="263"/>
      <c r="E1061" s="263"/>
      <c r="F1061" s="264"/>
      <c r="G1061" s="266"/>
      <c r="H1061" s="266"/>
      <c r="I1061" s="266"/>
      <c r="J1061" s="266"/>
      <c r="K1061" s="266"/>
      <c r="L1061" s="267"/>
      <c r="M1061" s="267"/>
      <c r="N1061" s="267"/>
      <c r="O1061" s="267"/>
      <c r="P1061" s="266"/>
      <c r="Q1061" s="267"/>
      <c r="R1061" s="267"/>
      <c r="S1061" s="267"/>
      <c r="T1061" s="267"/>
      <c r="U1061" s="264"/>
      <c r="V1061" s="267"/>
      <c r="W1061" s="265"/>
      <c r="X1061" s="265"/>
      <c r="Y1061" s="265"/>
      <c r="Z1061" s="264"/>
      <c r="AA1061" s="265"/>
      <c r="AB1061" s="265"/>
      <c r="AC1061" s="265"/>
      <c r="AD1061" s="265"/>
      <c r="AE1061" s="264"/>
      <c r="AF1061" s="264"/>
      <c r="AG1061" s="264"/>
      <c r="AH1061" s="264"/>
      <c r="AI1061" s="264"/>
      <c r="AJ1061" s="264"/>
      <c r="AK1061" s="264"/>
      <c r="AL1061" s="264"/>
      <c r="AM1061" s="651"/>
      <c r="AN1061" s="264"/>
      <c r="AO1061" s="264"/>
    </row>
    <row r="1062" spans="1:41" s="262" customFormat="1">
      <c r="C1062" s="263"/>
      <c r="D1062" s="263"/>
      <c r="E1062" s="263"/>
      <c r="F1062" s="264"/>
      <c r="G1062" s="266"/>
      <c r="H1062" s="266"/>
      <c r="I1062" s="266"/>
      <c r="J1062" s="266"/>
      <c r="K1062" s="266"/>
      <c r="L1062" s="267"/>
      <c r="M1062" s="267"/>
      <c r="N1062" s="267"/>
      <c r="O1062" s="267"/>
      <c r="P1062" s="266"/>
      <c r="Q1062" s="267"/>
      <c r="R1062" s="267"/>
      <c r="S1062" s="267"/>
      <c r="T1062" s="267"/>
      <c r="U1062" s="273">
        <f t="shared" ref="U1062:Z1062" si="914">U1056*2204.6</f>
        <v>868.38110034728561</v>
      </c>
      <c r="V1062" s="1183">
        <f>V1056*2204.6</f>
        <v>670.11696806464033</v>
      </c>
      <c r="W1062" s="1184">
        <f t="shared" si="914"/>
        <v>750.12341407151087</v>
      </c>
      <c r="X1062" s="1184">
        <f>X1056*2204.6</f>
        <v>817.73975471133713</v>
      </c>
      <c r="Y1062" s="1184">
        <f t="shared" ca="1" si="914"/>
        <v>889.39767523775981</v>
      </c>
      <c r="Z1062" s="273">
        <f t="shared" ca="1" si="914"/>
        <v>929.91123076163888</v>
      </c>
      <c r="AA1062" s="265"/>
      <c r="AB1062" s="265"/>
      <c r="AC1062" s="265"/>
      <c r="AD1062" s="265"/>
      <c r="AE1062" s="273">
        <f ca="1">AE1056*2204.6</f>
        <v>959.31635132227939</v>
      </c>
      <c r="AF1062" s="264"/>
      <c r="AG1062" s="264"/>
      <c r="AH1062" s="264"/>
      <c r="AI1062" s="264"/>
      <c r="AJ1062" s="264"/>
      <c r="AK1062" s="264"/>
      <c r="AL1062" s="264"/>
      <c r="AM1062" s="651"/>
      <c r="AN1062" s="264"/>
      <c r="AO1062" s="264"/>
    </row>
    <row r="1063" spans="1:41" s="262" customFormat="1">
      <c r="C1063" s="263"/>
      <c r="D1063" s="263"/>
      <c r="E1063" s="263"/>
      <c r="F1063" s="264"/>
      <c r="G1063" s="266"/>
      <c r="H1063" s="266"/>
      <c r="I1063" s="266"/>
      <c r="J1063" s="266"/>
      <c r="K1063" s="266"/>
      <c r="L1063" s="267"/>
      <c r="M1063" s="267"/>
      <c r="N1063" s="267"/>
      <c r="O1063" s="267"/>
      <c r="P1063" s="266"/>
      <c r="Q1063" s="267"/>
      <c r="R1063" s="267"/>
      <c r="S1063" s="267"/>
      <c r="T1063" s="267"/>
      <c r="U1063" s="264"/>
      <c r="V1063" s="267"/>
      <c r="W1063" s="265"/>
      <c r="X1063" s="265"/>
      <c r="Y1063" s="265"/>
      <c r="Z1063" s="264"/>
      <c r="AA1063" s="265"/>
      <c r="AB1063" s="265"/>
      <c r="AC1063" s="265"/>
      <c r="AD1063" s="265"/>
      <c r="AE1063" s="264"/>
      <c r="AF1063" s="264"/>
      <c r="AG1063" s="264"/>
      <c r="AH1063" s="264"/>
      <c r="AI1063" s="264"/>
      <c r="AJ1063" s="264"/>
      <c r="AK1063" s="264"/>
      <c r="AL1063" s="264"/>
      <c r="AM1063" s="651"/>
      <c r="AN1063" s="264"/>
      <c r="AO1063" s="264"/>
    </row>
    <row r="1064" spans="1:41" s="262" customFormat="1">
      <c r="C1064" s="263"/>
      <c r="D1064" s="263"/>
      <c r="E1064" s="263"/>
      <c r="F1064" s="264"/>
      <c r="G1064" s="266"/>
      <c r="H1064" s="266"/>
      <c r="I1064" s="266"/>
      <c r="J1064" s="266"/>
      <c r="K1064" s="266"/>
      <c r="L1064" s="267"/>
      <c r="M1064" s="267"/>
      <c r="N1064" s="267"/>
      <c r="O1064" s="267"/>
      <c r="P1064" s="266"/>
      <c r="Q1064" s="267"/>
      <c r="R1064" s="267"/>
      <c r="S1064" s="267"/>
      <c r="T1064" s="267"/>
      <c r="U1064" s="273">
        <f>U1058*2204.6</f>
        <v>1488.9411442149515</v>
      </c>
      <c r="V1064" s="267"/>
      <c r="W1064" s="265"/>
      <c r="X1064" s="265"/>
      <c r="Y1064" s="265"/>
      <c r="Z1064" s="273">
        <f ca="1">Z1058*2204.6</f>
        <v>1587.8672902627984</v>
      </c>
      <c r="AA1064" s="265"/>
      <c r="AB1064" s="265"/>
      <c r="AC1064" s="265"/>
      <c r="AD1064" s="265"/>
      <c r="AE1064" s="273">
        <f ca="1">AE1058*2204.6</f>
        <v>1665.1987042634557</v>
      </c>
      <c r="AF1064" s="264"/>
      <c r="AG1064" s="264"/>
      <c r="AH1064" s="264"/>
      <c r="AI1064" s="264"/>
      <c r="AJ1064" s="264"/>
      <c r="AK1064" s="264"/>
      <c r="AL1064" s="264"/>
      <c r="AM1064" s="651"/>
      <c r="AN1064" s="264"/>
      <c r="AO1064" s="264"/>
    </row>
    <row r="1065" spans="1:41" s="284" customFormat="1">
      <c r="B1065" s="301"/>
      <c r="C1065" s="302"/>
      <c r="F1065" s="276"/>
      <c r="G1065" s="303"/>
      <c r="H1065" s="303"/>
      <c r="I1065" s="303"/>
      <c r="J1065" s="303"/>
      <c r="K1065" s="303"/>
      <c r="L1065" s="304"/>
      <c r="M1065" s="304"/>
      <c r="N1065" s="304"/>
      <c r="O1065" s="304"/>
      <c r="P1065" s="303"/>
      <c r="Q1065" s="304"/>
      <c r="R1065" s="304"/>
      <c r="S1065" s="304"/>
      <c r="T1065" s="304"/>
      <c r="U1065" s="276"/>
      <c r="V1065" s="304"/>
      <c r="W1065" s="1028"/>
      <c r="X1065" s="1028"/>
      <c r="Y1065" s="1028"/>
      <c r="Z1065" s="276"/>
      <c r="AA1065" s="1028"/>
      <c r="AB1065" s="1028"/>
      <c r="AC1065" s="1028"/>
      <c r="AD1065" s="1028"/>
      <c r="AE1065" s="276"/>
      <c r="AF1065" s="276"/>
      <c r="AG1065" s="276"/>
      <c r="AH1065" s="276"/>
      <c r="AI1065" s="276"/>
      <c r="AJ1065" s="276"/>
      <c r="AK1065" s="276"/>
      <c r="AL1065" s="276"/>
      <c r="AM1065" s="651"/>
      <c r="AN1065" s="276"/>
      <c r="AO1065" s="276"/>
    </row>
    <row r="1066" spans="1:41" s="262" customFormat="1">
      <c r="B1066" s="292"/>
      <c r="C1066" s="269"/>
      <c r="F1066" s="264"/>
      <c r="G1066" s="272"/>
      <c r="H1066" s="272"/>
      <c r="I1066" s="272"/>
      <c r="J1066" s="272"/>
      <c r="K1066" s="272"/>
      <c r="L1066" s="305"/>
      <c r="M1066" s="305"/>
      <c r="N1066" s="305"/>
      <c r="O1066" s="305"/>
      <c r="P1066" s="272"/>
      <c r="Q1066" s="305"/>
      <c r="R1066" s="305"/>
      <c r="S1066" s="305"/>
      <c r="T1066" s="305"/>
      <c r="U1066" s="273">
        <f>(U1058*2204.6)/U23</f>
        <v>1122.2046610001141</v>
      </c>
      <c r="V1066" s="305"/>
      <c r="W1066" s="265"/>
      <c r="X1066" s="265"/>
      <c r="Y1066" s="265"/>
      <c r="Z1066" s="273">
        <f ca="1">(Z1058*2204.6)/Z23</f>
        <v>1250.68312087492</v>
      </c>
      <c r="AA1066" s="265"/>
      <c r="AB1066" s="265"/>
      <c r="AC1066" s="265"/>
      <c r="AD1066" s="265"/>
      <c r="AE1066" s="273">
        <f ca="1">(AE1058*2204.6)/AE23</f>
        <v>1311.5931823121107</v>
      </c>
      <c r="AF1066" s="264"/>
      <c r="AG1066" s="264"/>
      <c r="AH1066" s="264"/>
      <c r="AI1066" s="264"/>
      <c r="AJ1066" s="264"/>
      <c r="AK1066" s="264"/>
      <c r="AL1066" s="264"/>
      <c r="AM1066" s="651"/>
      <c r="AN1066" s="264"/>
      <c r="AO1066" s="264"/>
    </row>
    <row r="1067" spans="1:41" s="262" customFormat="1">
      <c r="F1067" s="264"/>
      <c r="G1067" s="264"/>
      <c r="H1067" s="264"/>
      <c r="I1067" s="264"/>
      <c r="J1067" s="264"/>
      <c r="K1067" s="264"/>
      <c r="L1067" s="265"/>
      <c r="M1067" s="265"/>
      <c r="N1067" s="265"/>
      <c r="O1067" s="265"/>
      <c r="P1067" s="264"/>
      <c r="Q1067" s="265"/>
      <c r="R1067" s="265"/>
      <c r="S1067" s="265"/>
      <c r="T1067" s="265"/>
      <c r="U1067" s="273">
        <f>(U1060*2204.6)/U23</f>
        <v>754.71680178221482</v>
      </c>
      <c r="V1067" s="265"/>
      <c r="W1067" s="265"/>
      <c r="X1067" s="265"/>
      <c r="Y1067" s="265"/>
      <c r="Z1067" s="273">
        <f ca="1">(Z1060*2204.6)/Z23</f>
        <v>862.00397419417823</v>
      </c>
      <c r="AA1067" s="265"/>
      <c r="AB1067" s="265"/>
      <c r="AC1067" s="265"/>
      <c r="AD1067" s="265"/>
      <c r="AE1067" s="273">
        <f ca="1">(AE1060*2204.6)/AE23</f>
        <v>894.60218931755946</v>
      </c>
      <c r="AF1067" s="264"/>
      <c r="AG1067" s="264"/>
      <c r="AH1067" s="264"/>
      <c r="AI1067" s="264"/>
      <c r="AJ1067" s="264"/>
      <c r="AK1067" s="264"/>
      <c r="AL1067" s="264"/>
      <c r="AM1067" s="651"/>
      <c r="AN1067" s="264"/>
      <c r="AO1067" s="264"/>
    </row>
    <row r="1068" spans="1:41" s="262" customFormat="1">
      <c r="L1068" s="274"/>
      <c r="M1068" s="274"/>
      <c r="N1068" s="274"/>
      <c r="O1068" s="274"/>
      <c r="Q1068" s="274"/>
      <c r="R1068" s="274"/>
      <c r="S1068" s="274"/>
      <c r="T1068" s="274"/>
      <c r="V1068" s="274"/>
      <c r="W1068" s="274"/>
      <c r="X1068" s="274"/>
      <c r="Y1068" s="274"/>
      <c r="AA1068" s="274"/>
      <c r="AB1068" s="274"/>
      <c r="AC1068" s="274"/>
      <c r="AD1068" s="274"/>
      <c r="AM1068" s="651"/>
    </row>
    <row r="1069" spans="1:41">
      <c r="A1069" s="79" t="s">
        <v>40</v>
      </c>
      <c r="B1069" s="79" t="s">
        <v>0</v>
      </c>
      <c r="C1069" s="79" t="s">
        <v>0</v>
      </c>
      <c r="D1069" s="81" t="s">
        <v>768</v>
      </c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  <c r="W1069" s="81"/>
      <c r="X1069" s="81"/>
      <c r="Y1069" s="81"/>
      <c r="Z1069" s="81"/>
      <c r="AA1069" s="81"/>
      <c r="AB1069" s="81"/>
      <c r="AC1069" s="81"/>
      <c r="AD1069" s="81"/>
      <c r="AE1069" s="81"/>
      <c r="AF1069" s="81"/>
      <c r="AG1069" s="81"/>
      <c r="AH1069" s="81"/>
      <c r="AI1069" s="81"/>
      <c r="AJ1069" s="81"/>
      <c r="AM1069" s="651"/>
    </row>
    <row r="1070" spans="1:41" s="83" customFormat="1">
      <c r="L1070" s="140"/>
      <c r="M1070" s="140"/>
      <c r="N1070" s="140"/>
      <c r="O1070" s="140"/>
      <c r="Q1070" s="140"/>
      <c r="R1070" s="140"/>
      <c r="S1070" s="140"/>
      <c r="T1070" s="140"/>
      <c r="V1070" s="140"/>
      <c r="W1070" s="140"/>
      <c r="X1070" s="140"/>
      <c r="Y1070" s="140"/>
      <c r="AA1070" s="140"/>
      <c r="AB1070" s="140"/>
      <c r="AC1070" s="140"/>
      <c r="AD1070" s="140"/>
      <c r="AM1070" s="651"/>
    </row>
    <row r="1071" spans="1:41" s="83" customFormat="1">
      <c r="D1071" s="174" t="s">
        <v>769</v>
      </c>
      <c r="E1071" s="174"/>
      <c r="F1071" s="174"/>
      <c r="G1071" s="174"/>
      <c r="H1071" s="174"/>
      <c r="I1071" s="174"/>
      <c r="J1071" s="174"/>
      <c r="K1071" s="174"/>
      <c r="L1071" s="778"/>
      <c r="M1071" s="778"/>
      <c r="N1071" s="778"/>
      <c r="O1071" s="778"/>
      <c r="P1071" s="174"/>
      <c r="Q1071" s="778"/>
      <c r="R1071" s="778"/>
      <c r="S1071" s="778"/>
      <c r="T1071" s="778"/>
      <c r="U1071" s="174"/>
      <c r="V1071" s="778"/>
      <c r="W1071" s="778"/>
      <c r="X1071" s="778"/>
      <c r="Y1071" s="778"/>
      <c r="Z1071" s="174"/>
      <c r="AA1071" s="778"/>
      <c r="AB1071" s="778"/>
      <c r="AC1071" s="778"/>
      <c r="AD1071" s="778"/>
      <c r="AE1071" s="174"/>
      <c r="AF1071" s="174"/>
      <c r="AG1071" s="174"/>
      <c r="AH1071" s="174"/>
      <c r="AI1071" s="174"/>
      <c r="AJ1071" s="174"/>
      <c r="AK1071" s="174"/>
      <c r="AL1071" s="174"/>
      <c r="AM1071" s="651"/>
    </row>
    <row r="1072" spans="1:41" s="83" customFormat="1">
      <c r="B1072" s="92" t="s">
        <v>771</v>
      </c>
      <c r="C1072" s="83" t="s">
        <v>948</v>
      </c>
      <c r="D1072" s="780" t="s">
        <v>770</v>
      </c>
      <c r="E1072" s="558"/>
      <c r="F1072" s="558"/>
      <c r="G1072" s="781" t="e">
        <f ca="1">_xll.BDP($C$1072,$B$1,$C$1:$C$2,G$1:G$2)</f>
        <v>#NAME?</v>
      </c>
      <c r="H1072" s="781" t="e">
        <f ca="1">_xll.BDP($C$1072,$B$1,$C$1:$C$2,H$1:H$2)</f>
        <v>#NAME?</v>
      </c>
      <c r="I1072" s="781" t="e">
        <f ca="1">_xll.BDP($C$1072,$B$1,$C$1:$C$2,I$1:I$2)</f>
        <v>#NAME?</v>
      </c>
      <c r="J1072" s="781" t="e">
        <f ca="1">_xll.BDP($C$1072,$B$1,$C$1:$C$2,J$1:J$2)</f>
        <v>#NAME?</v>
      </c>
      <c r="K1072" s="781">
        <f>K22</f>
        <v>50.853266932270898</v>
      </c>
      <c r="L1072" s="782">
        <f t="shared" ref="L1072:AL1072" si="915">L22</f>
        <v>62.894098360655747</v>
      </c>
      <c r="M1072" s="782">
        <f t="shared" si="915"/>
        <v>67.910000000000011</v>
      </c>
      <c r="N1072" s="782">
        <f t="shared" si="915"/>
        <v>69.432857142857145</v>
      </c>
      <c r="O1072" s="782">
        <f t="shared" si="915"/>
        <v>59.338281249999987</v>
      </c>
      <c r="P1072" s="781">
        <f t="shared" si="915"/>
        <v>64.899603174603186</v>
      </c>
      <c r="Q1072" s="782">
        <f t="shared" si="915"/>
        <v>54.897049180327862</v>
      </c>
      <c r="R1072" s="782">
        <f t="shared" si="915"/>
        <v>59.912063492063496</v>
      </c>
      <c r="S1072" s="782">
        <f t="shared" si="915"/>
        <v>56.436406250000005</v>
      </c>
      <c r="T1072" s="782">
        <f t="shared" si="915"/>
        <v>56.866093750000005</v>
      </c>
      <c r="U1072" s="781">
        <f t="shared" si="915"/>
        <v>57.041825396825423</v>
      </c>
      <c r="V1072" s="782">
        <f t="shared" si="915"/>
        <v>45.777419354838713</v>
      </c>
      <c r="W1072" s="782">
        <f t="shared" si="915"/>
        <v>27.884531250000002</v>
      </c>
      <c r="X1072" s="782">
        <f t="shared" si="915"/>
        <v>40.898615384615404</v>
      </c>
      <c r="Y1072" s="782">
        <f t="shared" si="915"/>
        <v>42.697343749999995</v>
      </c>
      <c r="Z1072" s="1031">
        <f t="shared" si="915"/>
        <v>39.314477434863527</v>
      </c>
      <c r="AA1072" s="782">
        <f t="shared" si="915"/>
        <v>58.136393442622946</v>
      </c>
      <c r="AB1072" s="782">
        <f t="shared" si="915"/>
        <v>65.989076923076937</v>
      </c>
      <c r="AC1072" s="782">
        <f t="shared" si="915"/>
        <v>65.7</v>
      </c>
      <c r="AD1072" s="782">
        <f t="shared" si="915"/>
        <v>65.7</v>
      </c>
      <c r="AE1072" s="1031">
        <f t="shared" si="915"/>
        <v>65.7</v>
      </c>
      <c r="AF1072" s="1031">
        <f t="shared" si="915"/>
        <v>63.5</v>
      </c>
      <c r="AG1072" s="1031">
        <f t="shared" si="915"/>
        <v>65.5</v>
      </c>
      <c r="AH1072" s="1031">
        <f t="shared" si="915"/>
        <v>68.7</v>
      </c>
      <c r="AI1072" s="1031">
        <f t="shared" si="915"/>
        <v>68.7</v>
      </c>
      <c r="AJ1072" s="1031">
        <f t="shared" si="915"/>
        <v>68.7</v>
      </c>
      <c r="AK1072" s="1031">
        <f t="shared" si="915"/>
        <v>68.7</v>
      </c>
      <c r="AL1072" s="1031">
        <f t="shared" si="915"/>
        <v>68.7</v>
      </c>
      <c r="AM1072" s="651"/>
    </row>
    <row r="1073" spans="2:39" s="83" customFormat="1">
      <c r="B1073" s="92" t="s">
        <v>771</v>
      </c>
      <c r="C1073" s="84" t="s">
        <v>814</v>
      </c>
      <c r="D1073" s="780" t="s">
        <v>815</v>
      </c>
      <c r="E1073" s="558"/>
      <c r="F1073" s="558"/>
      <c r="G1073" s="781" t="e">
        <f ca="1">_xll.BDP($C$1073,$B$1,$C$1:$C$2,G$1:G$2)</f>
        <v>#NAME?</v>
      </c>
      <c r="H1073" s="781" t="e">
        <f ca="1">_xll.BDP($C$1073,$B$1,$C$1:$C$2,H$1:H$2)</f>
        <v>#NAME?</v>
      </c>
      <c r="I1073" s="781" t="e">
        <f ca="1">_xll.BDP($C$1073,$B$1,$C$1:$C$2,I$1:I$2)</f>
        <v>#NAME?</v>
      </c>
      <c r="J1073" s="781" t="e">
        <f ca="1">_xll.BDP($C$1073,$B$1,$C$1:$C$2,J$1:J$2)</f>
        <v>#NAME?</v>
      </c>
      <c r="K1073" s="781" t="e">
        <f ca="1">_xll.BDP($C$1073,$B$1,$C$1:$C$2,K$1:K$2)</f>
        <v>#NAME?</v>
      </c>
      <c r="L1073" s="782" t="e">
        <f ca="1">_xll.BDP($C$1073,$B$1,$C$1:$C$2,L$1:L$2)</f>
        <v>#NAME?</v>
      </c>
      <c r="M1073" s="782" t="e">
        <f ca="1">_xll.BDP($C$1073,$B$1,$C$1:$C$2,M$1:M$2)</f>
        <v>#NAME?</v>
      </c>
      <c r="N1073" s="782" t="e">
        <f ca="1">_xll.BDP($C$1073,$B$1,$C$1:$C$2,N$1:N$2)</f>
        <v>#NAME?</v>
      </c>
      <c r="O1073" s="782" t="e">
        <f ca="1">_xll.BDP($C$1073,$B$1,$C$1:$C$2,O$1:O$2)</f>
        <v>#NAME?</v>
      </c>
      <c r="P1073" s="781" t="e">
        <f ca="1">_xll.BDP($C$1073,$B$1,$C$1:$C$2,P$1:P$2)</f>
        <v>#NAME?</v>
      </c>
      <c r="Q1073" s="782" t="e">
        <f ca="1">_xll.BDP($C$1073,$B$1,$C$1:$C$2,Q$1:Q$2)</f>
        <v>#NAME?</v>
      </c>
      <c r="R1073" s="782" t="e">
        <f ca="1">_xll.BDP($C$1073,$B$1,$C$1:$C$2,R$1:R$2)</f>
        <v>#NAME?</v>
      </c>
      <c r="S1073" s="782" t="e">
        <f ca="1">_xll.BDP($C$1073,$B$1,$C$1:$C$2,S$1:S$2)</f>
        <v>#NAME?</v>
      </c>
      <c r="T1073" s="782" t="e">
        <f ca="1">_xll.BDP($C$1073,$B$1,$C$1:$C$2,T$1:T$2)</f>
        <v>#NAME?</v>
      </c>
      <c r="U1073" s="781" t="e">
        <f ca="1">_xll.BDP($C$1073,$B$1,$C$1:$C$2,U$1:U$2)</f>
        <v>#NAME?</v>
      </c>
      <c r="V1073" s="782" t="e">
        <f ca="1">_xll.BDP($C$1073,$B$1,$C$1:$C$2,V$1:V$2)</f>
        <v>#NAME?</v>
      </c>
      <c r="W1073" s="782" t="e">
        <f ca="1">_xll.BDP($C$1073,$B$1,$C$1:$C$2,W$1:W$2)</f>
        <v>#NAME?</v>
      </c>
      <c r="X1073" s="782" t="e">
        <f ca="1">_xll.BDP($C$1073,$B$1,$C$1:$C$2,X$1:X$2)</f>
        <v>#NAME?</v>
      </c>
      <c r="Y1073" s="782" t="e">
        <f ca="1">X1073</f>
        <v>#NAME?</v>
      </c>
      <c r="Z1073" s="1031" t="e">
        <f ca="1">AVERAGE(V1073:Y1073)</f>
        <v>#NAME?</v>
      </c>
      <c r="AA1073" s="782" t="e">
        <f ca="1">_xll.BDP($C$1073,$B$1,$C$1:$C$2,AA$1:AA$2)</f>
        <v>#NAME?</v>
      </c>
      <c r="AB1073" s="782" t="e">
        <f ca="1">_xll.BDP($C$1073,$B$1,$C$1:$C$2,AB$1:AB$2)</f>
        <v>#NAME?</v>
      </c>
      <c r="AC1073" s="782" t="e">
        <f ca="1">_xll.BDP($C$1073,$B$1,$C$1:$C$2,AC$1:AC$2)</f>
        <v>#NAME?</v>
      </c>
      <c r="AD1073" s="782" t="e">
        <f ca="1">_xll.BDP($C$1073,$B$1,$C$1:$C$2,AD$1:AD$2)</f>
        <v>#NAME?</v>
      </c>
      <c r="AE1073" s="558"/>
      <c r="AF1073" s="558"/>
      <c r="AG1073" s="558"/>
      <c r="AH1073" s="558"/>
      <c r="AI1073" s="558"/>
      <c r="AJ1073" s="558"/>
      <c r="AK1073" s="558"/>
      <c r="AL1073" s="558"/>
      <c r="AM1073" s="651"/>
    </row>
    <row r="1074" spans="2:39" s="83" customFormat="1">
      <c r="B1074" s="92" t="s">
        <v>771</v>
      </c>
      <c r="D1074" s="102" t="s">
        <v>772</v>
      </c>
      <c r="E1074" s="103"/>
      <c r="F1074" s="103"/>
      <c r="G1074" s="779" t="e">
        <f ca="1">G1073-G1072</f>
        <v>#NAME?</v>
      </c>
      <c r="H1074" s="779" t="e">
        <f t="shared" ref="H1074:V1074" ca="1" si="916">H1073-H1072</f>
        <v>#NAME?</v>
      </c>
      <c r="I1074" s="779" t="e">
        <f t="shared" ca="1" si="916"/>
        <v>#NAME?</v>
      </c>
      <c r="J1074" s="779" t="e">
        <f t="shared" ca="1" si="916"/>
        <v>#NAME?</v>
      </c>
      <c r="K1074" s="779" t="e">
        <f t="shared" ca="1" si="916"/>
        <v>#NAME?</v>
      </c>
      <c r="L1074" s="783" t="e">
        <f t="shared" ca="1" si="916"/>
        <v>#NAME?</v>
      </c>
      <c r="M1074" s="783" t="e">
        <f t="shared" ca="1" si="916"/>
        <v>#NAME?</v>
      </c>
      <c r="N1074" s="783" t="e">
        <f t="shared" ca="1" si="916"/>
        <v>#NAME?</v>
      </c>
      <c r="O1074" s="783" t="e">
        <f t="shared" ca="1" si="916"/>
        <v>#NAME?</v>
      </c>
      <c r="P1074" s="779" t="e">
        <f t="shared" ca="1" si="916"/>
        <v>#NAME?</v>
      </c>
      <c r="Q1074" s="783" t="e">
        <f t="shared" ca="1" si="916"/>
        <v>#NAME?</v>
      </c>
      <c r="R1074" s="783" t="e">
        <f t="shared" ca="1" si="916"/>
        <v>#NAME?</v>
      </c>
      <c r="S1074" s="783" t="e">
        <f t="shared" ca="1" si="916"/>
        <v>#NAME?</v>
      </c>
      <c r="T1074" s="783" t="e">
        <f ca="1">T1073-T1072</f>
        <v>#NAME?</v>
      </c>
      <c r="U1074" s="779" t="e">
        <f t="shared" ca="1" si="916"/>
        <v>#NAME?</v>
      </c>
      <c r="V1074" s="783" t="e">
        <f t="shared" ca="1" si="916"/>
        <v>#NAME?</v>
      </c>
      <c r="W1074" s="783" t="e">
        <f ca="1">W1073-W1072</f>
        <v>#NAME?</v>
      </c>
      <c r="X1074" s="783" t="e">
        <f ca="1">X1073-X1072</f>
        <v>#NAME?</v>
      </c>
      <c r="Y1074" s="783">
        <f>Z1074</f>
        <v>-11.5</v>
      </c>
      <c r="Z1074" s="1030">
        <v>-11.5</v>
      </c>
      <c r="AA1074" s="1121">
        <f>AE1074</f>
        <v>-12.34</v>
      </c>
      <c r="AB1074" s="1121">
        <f>AE1074</f>
        <v>-12.34</v>
      </c>
      <c r="AC1074" s="1121">
        <f>AE1074</f>
        <v>-12.34</v>
      </c>
      <c r="AD1074" s="1121">
        <f>AE1074</f>
        <v>-12.34</v>
      </c>
      <c r="AE1074" s="1030">
        <v>-12.34</v>
      </c>
      <c r="AF1074" s="1033">
        <f>AE1074</f>
        <v>-12.34</v>
      </c>
      <c r="AG1074" s="1033">
        <f t="shared" ref="AG1074:AL1074" si="917">AF1074</f>
        <v>-12.34</v>
      </c>
      <c r="AH1074" s="1033">
        <f t="shared" si="917"/>
        <v>-12.34</v>
      </c>
      <c r="AI1074" s="1033">
        <f t="shared" si="917"/>
        <v>-12.34</v>
      </c>
      <c r="AJ1074" s="1033">
        <f t="shared" si="917"/>
        <v>-12.34</v>
      </c>
      <c r="AK1074" s="1033">
        <f t="shared" si="917"/>
        <v>-12.34</v>
      </c>
      <c r="AL1074" s="1033">
        <f t="shared" si="917"/>
        <v>-12.34</v>
      </c>
      <c r="AM1074" s="651"/>
    </row>
    <row r="1075" spans="2:39" s="83" customFormat="1">
      <c r="B1075" s="92" t="s">
        <v>771</v>
      </c>
      <c r="D1075" s="84" t="s">
        <v>773</v>
      </c>
      <c r="G1075" s="769"/>
      <c r="H1075" s="769"/>
      <c r="I1075" s="769"/>
      <c r="J1075" s="769"/>
      <c r="K1075" s="769"/>
      <c r="L1075" s="777"/>
      <c r="M1075" s="777"/>
      <c r="N1075" s="777"/>
      <c r="O1075" s="777"/>
      <c r="P1075" s="769"/>
      <c r="Q1075" s="777"/>
      <c r="R1075" s="777"/>
      <c r="S1075" s="777"/>
      <c r="T1075" s="777"/>
      <c r="U1075" s="769"/>
      <c r="V1075" s="777"/>
      <c r="W1075" s="777">
        <v>-15.15</v>
      </c>
      <c r="X1075" s="777">
        <v>1.97</v>
      </c>
      <c r="Y1075" s="777"/>
      <c r="AA1075" s="140"/>
      <c r="AB1075" s="140"/>
      <c r="AC1075" s="140"/>
      <c r="AD1075" s="140"/>
      <c r="AM1075" s="651"/>
    </row>
    <row r="1076" spans="2:39" s="83" customFormat="1">
      <c r="B1076" s="92" t="s">
        <v>771</v>
      </c>
      <c r="D1076" s="163" t="s">
        <v>774</v>
      </c>
      <c r="G1076" s="769" t="e">
        <f ca="1">G1072+G1074+G1075</f>
        <v>#NAME?</v>
      </c>
      <c r="H1076" s="769" t="e">
        <f t="shared" ref="H1076:U1076" ca="1" si="918">H1072+H1074+H1075</f>
        <v>#NAME?</v>
      </c>
      <c r="I1076" s="769" t="e">
        <f t="shared" ca="1" si="918"/>
        <v>#NAME?</v>
      </c>
      <c r="J1076" s="769" t="e">
        <f t="shared" ca="1" si="918"/>
        <v>#NAME?</v>
      </c>
      <c r="K1076" s="769" t="e">
        <f t="shared" ca="1" si="918"/>
        <v>#NAME?</v>
      </c>
      <c r="L1076" s="777" t="e">
        <f t="shared" ca="1" si="918"/>
        <v>#NAME?</v>
      </c>
      <c r="M1076" s="777" t="e">
        <f t="shared" ca="1" si="918"/>
        <v>#NAME?</v>
      </c>
      <c r="N1076" s="777" t="e">
        <f t="shared" ca="1" si="918"/>
        <v>#NAME?</v>
      </c>
      <c r="O1076" s="777" t="e">
        <f t="shared" ca="1" si="918"/>
        <v>#NAME?</v>
      </c>
      <c r="P1076" s="769" t="e">
        <f t="shared" ca="1" si="918"/>
        <v>#NAME?</v>
      </c>
      <c r="Q1076" s="777" t="e">
        <f t="shared" ca="1" si="918"/>
        <v>#NAME?</v>
      </c>
      <c r="R1076" s="777" t="e">
        <f t="shared" ca="1" si="918"/>
        <v>#NAME?</v>
      </c>
      <c r="S1076" s="777" t="e">
        <f ca="1">S1072+S1074+S1075</f>
        <v>#NAME?</v>
      </c>
      <c r="T1076" s="777" t="e">
        <f t="shared" ca="1" si="918"/>
        <v>#NAME?</v>
      </c>
      <c r="U1076" s="769" t="e">
        <f t="shared" ca="1" si="918"/>
        <v>#NAME?</v>
      </c>
      <c r="V1076" s="777" t="e">
        <f ca="1">V1072+V1074+V1075</f>
        <v>#NAME?</v>
      </c>
      <c r="W1076" s="777" t="e">
        <f ca="1">W1072+W1074+W1075</f>
        <v>#NAME?</v>
      </c>
      <c r="X1076" s="777" t="e">
        <f ca="1">X1072+X1074+X1075</f>
        <v>#NAME?</v>
      </c>
      <c r="Y1076" s="777">
        <f>Y1072+Y1074+Y1075</f>
        <v>31.197343749999995</v>
      </c>
      <c r="Z1076" s="1032" t="e">
        <f ca="1">AVERAGE(V1076:Y1076)</f>
        <v>#NAME?</v>
      </c>
      <c r="AA1076" s="777">
        <f>AA1072+AA1074+AA1075</f>
        <v>45.796393442622943</v>
      </c>
      <c r="AB1076" s="777">
        <f>AB1072+AB1074+AB1075</f>
        <v>53.649076923076933</v>
      </c>
      <c r="AC1076" s="777">
        <f>AC1072+AC1074+AC1075</f>
        <v>53.36</v>
      </c>
      <c r="AD1076" s="777">
        <f>AD1072+AD1074+AD1075</f>
        <v>53.36</v>
      </c>
      <c r="AE1076" s="1032">
        <f>AVERAGE(AA1076:AD1076)</f>
        <v>51.541367591424972</v>
      </c>
      <c r="AF1076" s="769">
        <f>AF1072+AF1074+AF1075</f>
        <v>51.16</v>
      </c>
      <c r="AG1076" s="769">
        <f t="shared" ref="AG1076:AL1076" si="919">AG1072+AG1074+AG1075</f>
        <v>53.16</v>
      </c>
      <c r="AH1076" s="769">
        <f t="shared" si="919"/>
        <v>56.36</v>
      </c>
      <c r="AI1076" s="769">
        <f t="shared" si="919"/>
        <v>56.36</v>
      </c>
      <c r="AJ1076" s="769">
        <f t="shared" si="919"/>
        <v>56.36</v>
      </c>
      <c r="AK1076" s="769">
        <f t="shared" si="919"/>
        <v>56.36</v>
      </c>
      <c r="AL1076" s="769">
        <f t="shared" si="919"/>
        <v>56.36</v>
      </c>
      <c r="AM1076" s="651"/>
    </row>
    <row r="1077" spans="2:39" s="83" customFormat="1">
      <c r="B1077" s="95" t="s">
        <v>619</v>
      </c>
      <c r="C1077" s="96"/>
      <c r="D1077" s="163" t="s">
        <v>620</v>
      </c>
      <c r="G1077" s="769">
        <f t="shared" ref="G1077:V1077" si="920">G23</f>
        <v>1.03</v>
      </c>
      <c r="H1077" s="769">
        <f t="shared" si="920"/>
        <v>1.1046</v>
      </c>
      <c r="I1077" s="769">
        <f t="shared" si="920"/>
        <v>1.2789999999999999</v>
      </c>
      <c r="J1077" s="769">
        <f t="shared" si="920"/>
        <v>1.3248</v>
      </c>
      <c r="K1077" s="769">
        <f t="shared" si="920"/>
        <v>1.2982</v>
      </c>
      <c r="L1077" s="777">
        <f t="shared" si="920"/>
        <v>1.2647999999999999</v>
      </c>
      <c r="M1077" s="777">
        <f t="shared" si="920"/>
        <v>1.2907999999999999</v>
      </c>
      <c r="N1077" s="777">
        <f t="shared" si="920"/>
        <v>1.3068</v>
      </c>
      <c r="O1077" s="777">
        <f t="shared" si="920"/>
        <v>1.3218000000000001</v>
      </c>
      <c r="P1077" s="769">
        <f t="shared" si="920"/>
        <v>1.2961</v>
      </c>
      <c r="Q1077" s="777">
        <f t="shared" si="920"/>
        <v>1.3295999999999999</v>
      </c>
      <c r="R1077" s="777">
        <f t="shared" si="920"/>
        <v>1.3376999999999999</v>
      </c>
      <c r="S1077" s="777">
        <f t="shared" si="920"/>
        <v>1.3204</v>
      </c>
      <c r="T1077" s="777">
        <f t="shared" si="920"/>
        <v>1.3198000000000001</v>
      </c>
      <c r="U1077" s="769">
        <f t="shared" si="920"/>
        <v>1.3268</v>
      </c>
      <c r="V1077" s="777">
        <f t="shared" si="920"/>
        <v>1.3436999999999999</v>
      </c>
      <c r="W1077" s="777">
        <f>W23</f>
        <v>1.3858999999999999</v>
      </c>
      <c r="X1077" s="777">
        <f>X23</f>
        <v>1.3326</v>
      </c>
      <c r="Y1077" s="777">
        <f>Y23</f>
        <v>1.3027</v>
      </c>
      <c r="Z1077" s="1032">
        <f>AVERAGE(V1077:Y1077)</f>
        <v>1.3412249999999999</v>
      </c>
      <c r="AA1077" s="777">
        <f>AA23</f>
        <v>1.266</v>
      </c>
      <c r="AB1077" s="777">
        <f>AB23</f>
        <v>1.2287999999999999</v>
      </c>
      <c r="AC1077" s="777">
        <f>AC23</f>
        <v>1.24</v>
      </c>
      <c r="AD1077" s="777">
        <f>AD23</f>
        <v>1.24</v>
      </c>
      <c r="AE1077" s="1032">
        <f>AVERAGE(AA1077:AD1077)</f>
        <v>1.2437</v>
      </c>
      <c r="AF1077" s="769">
        <f>AF23</f>
        <v>1.22</v>
      </c>
      <c r="AG1077" s="769">
        <f t="shared" ref="AG1077:AL1077" si="921">AG23</f>
        <v>1.22</v>
      </c>
      <c r="AH1077" s="769">
        <f t="shared" si="921"/>
        <v>1.23</v>
      </c>
      <c r="AI1077" s="769">
        <f t="shared" si="921"/>
        <v>1.23</v>
      </c>
      <c r="AJ1077" s="769">
        <f t="shared" si="921"/>
        <v>1.23</v>
      </c>
      <c r="AK1077" s="769">
        <f t="shared" si="921"/>
        <v>1.23</v>
      </c>
      <c r="AL1077" s="769">
        <f t="shared" si="921"/>
        <v>1.23</v>
      </c>
      <c r="AM1077" s="651"/>
    </row>
    <row r="1078" spans="2:39" s="83" customFormat="1">
      <c r="B1078" s="92" t="s">
        <v>775</v>
      </c>
      <c r="D1078" s="183" t="s">
        <v>774</v>
      </c>
      <c r="E1078" s="103"/>
      <c r="F1078" s="103"/>
      <c r="G1078" s="779" t="e">
        <f ca="1">G1076*G1077</f>
        <v>#NAME?</v>
      </c>
      <c r="H1078" s="779" t="e">
        <f t="shared" ref="H1078:V1078" ca="1" si="922">H1076*H1077</f>
        <v>#NAME?</v>
      </c>
      <c r="I1078" s="779" t="e">
        <f t="shared" ca="1" si="922"/>
        <v>#NAME?</v>
      </c>
      <c r="J1078" s="779" t="e">
        <f t="shared" ca="1" si="922"/>
        <v>#NAME?</v>
      </c>
      <c r="K1078" s="779" t="e">
        <f t="shared" ca="1" si="922"/>
        <v>#NAME?</v>
      </c>
      <c r="L1078" s="783" t="e">
        <f t="shared" ca="1" si="922"/>
        <v>#NAME?</v>
      </c>
      <c r="M1078" s="783" t="e">
        <f t="shared" ca="1" si="922"/>
        <v>#NAME?</v>
      </c>
      <c r="N1078" s="783" t="e">
        <f t="shared" ca="1" si="922"/>
        <v>#NAME?</v>
      </c>
      <c r="O1078" s="783" t="e">
        <f t="shared" ca="1" si="922"/>
        <v>#NAME?</v>
      </c>
      <c r="P1078" s="779" t="e">
        <f t="shared" ca="1" si="922"/>
        <v>#NAME?</v>
      </c>
      <c r="Q1078" s="783" t="e">
        <f t="shared" ca="1" si="922"/>
        <v>#NAME?</v>
      </c>
      <c r="R1078" s="783" t="e">
        <f ca="1">R1076*R1077</f>
        <v>#NAME?</v>
      </c>
      <c r="S1078" s="783" t="e">
        <f t="shared" ca="1" si="922"/>
        <v>#NAME?</v>
      </c>
      <c r="T1078" s="783" t="e">
        <f ca="1">T1076*T1077</f>
        <v>#NAME?</v>
      </c>
      <c r="U1078" s="779" t="e">
        <f t="shared" ca="1" si="922"/>
        <v>#NAME?</v>
      </c>
      <c r="V1078" s="783" t="e">
        <f t="shared" ca="1" si="922"/>
        <v>#NAME?</v>
      </c>
      <c r="W1078" s="783" t="e">
        <f ca="1">W1076*W1077</f>
        <v>#NAME?</v>
      </c>
      <c r="X1078" s="783" t="e">
        <f ca="1">X1076*X1077</f>
        <v>#NAME?</v>
      </c>
      <c r="Y1078" s="783">
        <f>Y1076*Y1077</f>
        <v>40.640779703124991</v>
      </c>
      <c r="Z1078" s="1032" t="e">
        <f ca="1">AVERAGE(V1078:Y1078)</f>
        <v>#NAME?</v>
      </c>
      <c r="AA1078" s="783">
        <f>AA1076*AA1077</f>
        <v>57.978234098360645</v>
      </c>
      <c r="AB1078" s="783">
        <f>AB1076*AB1077</f>
        <v>65.923985723076925</v>
      </c>
      <c r="AC1078" s="783">
        <f>AC1076*AC1077</f>
        <v>66.166399999999996</v>
      </c>
      <c r="AD1078" s="783">
        <f>AD1076*AD1077</f>
        <v>66.166399999999996</v>
      </c>
      <c r="AE1078" s="1032">
        <f>AVERAGE(AA1078:AD1078)</f>
        <v>64.05875495535939</v>
      </c>
      <c r="AF1078" s="779">
        <f t="shared" ref="AF1078:AL1078" si="923">AF1076*AF1077</f>
        <v>62.415199999999992</v>
      </c>
      <c r="AG1078" s="779">
        <f t="shared" si="923"/>
        <v>64.855199999999996</v>
      </c>
      <c r="AH1078" s="779">
        <f t="shared" si="923"/>
        <v>69.322800000000001</v>
      </c>
      <c r="AI1078" s="779">
        <f t="shared" si="923"/>
        <v>69.322800000000001</v>
      </c>
      <c r="AJ1078" s="779">
        <f t="shared" si="923"/>
        <v>69.322800000000001</v>
      </c>
      <c r="AK1078" s="779">
        <f t="shared" si="923"/>
        <v>69.322800000000001</v>
      </c>
      <c r="AL1078" s="779">
        <f t="shared" si="923"/>
        <v>69.322800000000001</v>
      </c>
      <c r="AM1078" s="651"/>
    </row>
    <row r="1079" spans="2:39" s="83" customFormat="1">
      <c r="B1079" s="92"/>
      <c r="D1079" s="84"/>
      <c r="L1079" s="140"/>
      <c r="M1079" s="140"/>
      <c r="N1079" s="140"/>
      <c r="O1079" s="140"/>
      <c r="Q1079" s="140"/>
      <c r="R1079" s="140"/>
      <c r="S1079" s="140"/>
      <c r="T1079" s="140"/>
      <c r="V1079" s="140"/>
      <c r="W1079" s="140"/>
      <c r="X1079" s="140"/>
      <c r="Y1079" s="140"/>
      <c r="AA1079" s="140"/>
      <c r="AB1079" s="140"/>
      <c r="AC1079" s="140"/>
      <c r="AD1079" s="140"/>
      <c r="AM1079" s="651"/>
    </row>
    <row r="1080" spans="2:39" s="83" customFormat="1">
      <c r="B1080" s="92"/>
      <c r="D1080" s="84" t="s">
        <v>364</v>
      </c>
      <c r="K1080" s="92"/>
      <c r="L1080" s="99"/>
      <c r="M1080" s="99"/>
      <c r="N1080" s="99"/>
      <c r="O1080" s="99"/>
      <c r="P1080" s="92"/>
      <c r="Q1080" s="99"/>
      <c r="R1080" s="99"/>
      <c r="S1080" s="99"/>
      <c r="T1080" s="99"/>
      <c r="U1080" s="92"/>
      <c r="V1080" s="99"/>
      <c r="W1080" s="99"/>
      <c r="X1080" s="99"/>
      <c r="Y1080" s="99"/>
      <c r="Z1080" s="92"/>
      <c r="AA1080" s="99"/>
      <c r="AB1080" s="99"/>
      <c r="AC1080" s="99"/>
      <c r="AD1080" s="99"/>
      <c r="AE1080" s="92"/>
      <c r="AF1080" s="92"/>
      <c r="AG1080" s="92"/>
      <c r="AH1080" s="92"/>
      <c r="AI1080" s="92"/>
      <c r="AJ1080" s="92"/>
      <c r="AK1080" s="92"/>
      <c r="AL1080" s="92"/>
      <c r="AM1080" s="651"/>
    </row>
    <row r="1081" spans="2:39" s="83" customFormat="1">
      <c r="B1081" s="92"/>
      <c r="D1081" s="84" t="s">
        <v>873</v>
      </c>
      <c r="K1081" s="92"/>
      <c r="L1081" s="99"/>
      <c r="M1081" s="99">
        <f>M1095*M1089</f>
        <v>0.24399999999999997</v>
      </c>
      <c r="N1081" s="99">
        <f t="shared" ref="N1081:T1081" si="924">N1095*N1089</f>
        <v>0.621</v>
      </c>
      <c r="O1081" s="99">
        <f t="shared" si="924"/>
        <v>1.1000000000000001</v>
      </c>
      <c r="P1081" s="92">
        <f t="shared" si="924"/>
        <v>1.9650000000000001</v>
      </c>
      <c r="Q1081" s="99">
        <f>Q1095*Q1089</f>
        <v>0.92500000000000004</v>
      </c>
      <c r="R1081" s="99">
        <f t="shared" si="924"/>
        <v>1.0069999999999999</v>
      </c>
      <c r="S1081" s="99">
        <f t="shared" si="924"/>
        <v>0.93200000000000016</v>
      </c>
      <c r="T1081" s="99">
        <f t="shared" si="924"/>
        <v>0.92399999999999949</v>
      </c>
      <c r="U1081" s="92">
        <f t="shared" ref="U1081:AE1081" si="925">U1095*U1089</f>
        <v>3.7879999999999994</v>
      </c>
      <c r="V1081" s="335">
        <f>V1095*V1089</f>
        <v>1.5000000000000004</v>
      </c>
      <c r="W1081" s="335">
        <f>W1095*W1089</f>
        <v>0.50000000000000022</v>
      </c>
      <c r="X1081" s="335">
        <f>X1095*X1089</f>
        <v>0.5</v>
      </c>
      <c r="Y1081" s="335">
        <f>Y1095*Y1089</f>
        <v>0.70000000000000007</v>
      </c>
      <c r="Z1081" s="92">
        <f t="shared" si="925"/>
        <v>3.0429843901578626</v>
      </c>
      <c r="AA1081" s="335">
        <f t="shared" si="925"/>
        <v>0.95093262192433203</v>
      </c>
      <c r="AB1081" s="335">
        <f t="shared" si="925"/>
        <v>0.95093262192433203</v>
      </c>
      <c r="AC1081" s="335">
        <f t="shared" si="925"/>
        <v>0.95093262192433203</v>
      </c>
      <c r="AD1081" s="335">
        <f t="shared" si="925"/>
        <v>0.95093262192433203</v>
      </c>
      <c r="AE1081" s="202">
        <f t="shared" si="925"/>
        <v>3.8037304876973281</v>
      </c>
      <c r="AF1081" s="92">
        <f t="shared" ref="AF1081:AL1081" si="926">AF1095*AF1089</f>
        <v>4.3471205573683749</v>
      </c>
      <c r="AG1081" s="92">
        <f t="shared" si="926"/>
        <v>5.0716406502631042</v>
      </c>
      <c r="AH1081" s="92">
        <f t="shared" si="926"/>
        <v>5.0716406502631042</v>
      </c>
      <c r="AI1081" s="92">
        <f t="shared" si="926"/>
        <v>5.0716406502631042</v>
      </c>
      <c r="AJ1081" s="92">
        <f t="shared" si="926"/>
        <v>5.0716406502631042</v>
      </c>
      <c r="AK1081" s="92">
        <f t="shared" si="926"/>
        <v>5.0716406502631042</v>
      </c>
      <c r="AL1081" s="92">
        <f t="shared" si="926"/>
        <v>5.0716406502631042</v>
      </c>
      <c r="AM1081" s="651"/>
    </row>
    <row r="1082" spans="2:39" s="83" customFormat="1">
      <c r="D1082" s="84"/>
      <c r="K1082" s="92"/>
      <c r="L1082" s="99"/>
      <c r="M1082" s="99"/>
      <c r="N1082" s="99"/>
      <c r="O1082" s="99"/>
      <c r="P1082" s="92"/>
      <c r="Q1082" s="99"/>
      <c r="R1082" s="99"/>
      <c r="S1082" s="99"/>
      <c r="T1082" s="99"/>
      <c r="U1082" s="92"/>
      <c r="V1082" s="99"/>
      <c r="W1082" s="99"/>
      <c r="X1082" s="99"/>
      <c r="Y1082" s="99"/>
      <c r="Z1082" s="92"/>
      <c r="AA1082" s="99"/>
      <c r="AB1082" s="99"/>
      <c r="AC1082" s="99"/>
      <c r="AD1082" s="99"/>
      <c r="AE1082" s="92"/>
      <c r="AF1082" s="92"/>
      <c r="AG1082" s="92"/>
      <c r="AH1082" s="92"/>
      <c r="AI1082" s="92"/>
      <c r="AJ1082" s="92"/>
      <c r="AK1082" s="92"/>
      <c r="AL1082" s="92"/>
      <c r="AM1082" s="651"/>
    </row>
    <row r="1083" spans="2:39" s="83" customFormat="1">
      <c r="B1083" s="92"/>
      <c r="D1083" s="84"/>
      <c r="K1083" s="92"/>
      <c r="L1083" s="99"/>
      <c r="M1083" s="99"/>
      <c r="N1083" s="99"/>
      <c r="O1083" s="99"/>
      <c r="P1083" s="92"/>
      <c r="Q1083" s="99"/>
      <c r="R1083" s="99"/>
      <c r="S1083" s="99"/>
      <c r="T1083" s="99"/>
      <c r="U1083" s="92"/>
      <c r="V1083" s="99"/>
      <c r="W1083" s="99"/>
      <c r="X1083" s="99"/>
      <c r="Y1083" s="99"/>
      <c r="Z1083" s="92"/>
      <c r="AA1083" s="99"/>
      <c r="AB1083" s="99"/>
      <c r="AC1083" s="99"/>
      <c r="AD1083" s="99"/>
      <c r="AE1083" s="92"/>
      <c r="AF1083" s="92"/>
      <c r="AG1083" s="92"/>
      <c r="AH1083" s="92"/>
      <c r="AI1083" s="92"/>
      <c r="AJ1083" s="92"/>
      <c r="AK1083" s="92"/>
      <c r="AL1083" s="92"/>
      <c r="AM1083" s="651"/>
    </row>
    <row r="1084" spans="2:39" s="83" customFormat="1">
      <c r="B1084" s="92"/>
      <c r="D1084" s="174" t="s">
        <v>641</v>
      </c>
      <c r="E1084" s="174"/>
      <c r="F1084" s="174"/>
      <c r="G1084" s="174"/>
      <c r="H1084" s="174"/>
      <c r="I1084" s="174"/>
      <c r="J1084" s="174"/>
      <c r="K1084" s="174"/>
      <c r="L1084" s="778"/>
      <c r="M1084" s="778"/>
      <c r="N1084" s="778"/>
      <c r="O1084" s="778"/>
      <c r="P1084" s="174"/>
      <c r="Q1084" s="778"/>
      <c r="R1084" s="778"/>
      <c r="S1084" s="778"/>
      <c r="T1084" s="778"/>
      <c r="U1084" s="174"/>
      <c r="V1084" s="778"/>
      <c r="W1084" s="778"/>
      <c r="X1084" s="778"/>
      <c r="Y1084" s="778"/>
      <c r="Z1084" s="174"/>
      <c r="AA1084" s="984"/>
      <c r="AB1084" s="984"/>
      <c r="AC1084" s="984"/>
      <c r="AD1084" s="984"/>
      <c r="AE1084" s="136"/>
      <c r="AF1084" s="136"/>
      <c r="AG1084" s="174"/>
      <c r="AH1084" s="174"/>
      <c r="AI1084" s="174"/>
      <c r="AJ1084" s="174"/>
      <c r="AK1084" s="174"/>
      <c r="AL1084" s="174"/>
      <c r="AM1084" s="651"/>
    </row>
    <row r="1085" spans="2:39" s="83" customFormat="1">
      <c r="B1085" s="92" t="s">
        <v>776</v>
      </c>
      <c r="D1085" s="134" t="s">
        <v>872</v>
      </c>
      <c r="E1085" s="134"/>
      <c r="F1085" s="134"/>
      <c r="G1085" s="259">
        <v>0</v>
      </c>
      <c r="H1085" s="259">
        <v>0</v>
      </c>
      <c r="I1085" s="259">
        <v>0</v>
      </c>
      <c r="J1085" s="259">
        <v>0</v>
      </c>
      <c r="K1085" s="259">
        <v>0</v>
      </c>
      <c r="L1085" s="180">
        <v>0</v>
      </c>
      <c r="M1085" s="573">
        <v>0.7</v>
      </c>
      <c r="N1085" s="573">
        <v>2.5</v>
      </c>
      <c r="O1085" s="573">
        <v>3.6</v>
      </c>
      <c r="P1085" s="577">
        <v>6.8</v>
      </c>
      <c r="Q1085" s="573">
        <v>2.8</v>
      </c>
      <c r="R1085" s="86">
        <v>3.2</v>
      </c>
      <c r="S1085" s="86">
        <v>3.1</v>
      </c>
      <c r="T1085" s="573">
        <f>U1085-Q1085-R1085-S1085</f>
        <v>3.1999999999999997</v>
      </c>
      <c r="U1085" s="577">
        <v>12.3</v>
      </c>
      <c r="V1085" s="573">
        <v>2.9</v>
      </c>
      <c r="W1085" s="573">
        <v>1.7</v>
      </c>
      <c r="X1085" s="573">
        <v>1.5</v>
      </c>
      <c r="Y1085" s="573">
        <v>2.2999999999999998</v>
      </c>
      <c r="Z1085" s="577">
        <v>8.4</v>
      </c>
      <c r="AA1085" s="1122">
        <f>AE1085/4</f>
        <v>2.625</v>
      </c>
      <c r="AB1085" s="962">
        <f>(AE1085-AA1085)/3</f>
        <v>2.625</v>
      </c>
      <c r="AC1085" s="962">
        <f>(AE1085-AA1085-AB1085)/2</f>
        <v>2.625</v>
      </c>
      <c r="AD1085" s="962">
        <f>AE1085-AA1085-AB1085-AC1085</f>
        <v>2.625</v>
      </c>
      <c r="AE1085" s="957">
        <v>10.5</v>
      </c>
      <c r="AF1085" s="957">
        <v>12</v>
      </c>
      <c r="AG1085" s="957">
        <v>14</v>
      </c>
      <c r="AH1085" s="312">
        <f>AG1085</f>
        <v>14</v>
      </c>
      <c r="AI1085" s="312">
        <f>AH1085</f>
        <v>14</v>
      </c>
      <c r="AJ1085" s="312">
        <f>AI1085</f>
        <v>14</v>
      </c>
      <c r="AK1085" s="312">
        <f>AJ1085</f>
        <v>14</v>
      </c>
      <c r="AL1085" s="312">
        <f>AK1085</f>
        <v>14</v>
      </c>
      <c r="AM1085" s="651"/>
    </row>
    <row r="1086" spans="2:39" s="83" customFormat="1">
      <c r="B1086" s="76"/>
      <c r="C1086" s="76"/>
      <c r="D1086" s="76"/>
      <c r="L1086" s="140"/>
      <c r="M1086" s="140"/>
      <c r="N1086" s="140"/>
      <c r="O1086" s="140"/>
      <c r="Q1086" s="140"/>
      <c r="R1086" s="140"/>
      <c r="S1086" s="140"/>
      <c r="T1086" s="140"/>
      <c r="V1086" s="140"/>
      <c r="W1086" s="140"/>
      <c r="X1086" s="140"/>
      <c r="Y1086" s="140"/>
      <c r="AA1086" s="140"/>
      <c r="AB1086" s="140"/>
      <c r="AC1086" s="140"/>
      <c r="AD1086" s="140"/>
      <c r="AM1086" s="651"/>
    </row>
    <row r="1087" spans="2:39" s="83" customFormat="1">
      <c r="B1087" s="76"/>
      <c r="C1087" s="76"/>
      <c r="D1087" s="76"/>
      <c r="L1087" s="140"/>
      <c r="M1087" s="140"/>
      <c r="N1087" s="140"/>
      <c r="O1087" s="140"/>
      <c r="Q1087" s="140"/>
      <c r="R1087" s="140"/>
      <c r="S1087" s="140"/>
      <c r="T1087" s="140"/>
      <c r="V1087" s="140"/>
      <c r="W1087" s="140"/>
      <c r="X1087" s="140"/>
      <c r="Y1087" s="140"/>
      <c r="AA1087" s="140"/>
      <c r="AB1087" s="140"/>
      <c r="AC1087" s="140"/>
      <c r="AD1087" s="140"/>
      <c r="AM1087" s="651"/>
    </row>
    <row r="1088" spans="2:39" s="83" customFormat="1">
      <c r="B1088" s="76"/>
      <c r="C1088" s="76"/>
      <c r="D1088" s="174" t="s">
        <v>812</v>
      </c>
      <c r="E1088" s="174"/>
      <c r="F1088" s="174"/>
      <c r="G1088" s="174"/>
      <c r="H1088" s="174"/>
      <c r="I1088" s="174"/>
      <c r="J1088" s="174"/>
      <c r="K1088" s="174"/>
      <c r="L1088" s="778"/>
      <c r="M1088" s="778"/>
      <c r="N1088" s="778"/>
      <c r="O1088" s="778"/>
      <c r="P1088" s="174"/>
      <c r="Q1088" s="778"/>
      <c r="R1088" s="778"/>
      <c r="S1088" s="778"/>
      <c r="T1088" s="778"/>
      <c r="U1088" s="174"/>
      <c r="V1088" s="778"/>
      <c r="W1088" s="778"/>
      <c r="X1088" s="778"/>
      <c r="Y1088" s="778"/>
      <c r="Z1088" s="174"/>
      <c r="AA1088" s="778"/>
      <c r="AB1088" s="778"/>
      <c r="AC1088" s="778"/>
      <c r="AD1088" s="778"/>
      <c r="AE1088" s="174"/>
      <c r="AF1088" s="174"/>
      <c r="AG1088" s="174"/>
      <c r="AH1088" s="174"/>
      <c r="AI1088" s="174"/>
      <c r="AJ1088" s="174"/>
      <c r="AK1088" s="174"/>
      <c r="AL1088" s="174"/>
      <c r="AM1088" s="651"/>
    </row>
    <row r="1089" spans="2:39" s="83" customFormat="1">
      <c r="B1089" s="76"/>
      <c r="C1089" s="76"/>
      <c r="D1089" s="76" t="s">
        <v>817</v>
      </c>
      <c r="L1089" s="784"/>
      <c r="M1089" s="784">
        <f t="shared" ref="M1089:R1089" si="927">M1096/M1095</f>
        <v>0.26579520697167752</v>
      </c>
      <c r="N1089" s="784">
        <f t="shared" si="927"/>
        <v>0.25</v>
      </c>
      <c r="O1089" s="784">
        <f t="shared" si="927"/>
        <v>0.3255401006214857</v>
      </c>
      <c r="P1089" s="770">
        <f t="shared" si="927"/>
        <v>0.28978026839699161</v>
      </c>
      <c r="Q1089" s="784">
        <f>Q1096/Q1095</f>
        <v>0.3303571428571429</v>
      </c>
      <c r="R1089" s="784">
        <f t="shared" si="927"/>
        <v>0.31331673926571246</v>
      </c>
      <c r="S1089" s="784">
        <f t="shared" ref="S1089:V1089" si="928">S1096/S1095</f>
        <v>0.28174123337363971</v>
      </c>
      <c r="T1089" s="784">
        <f t="shared" si="928"/>
        <v>0.31719876416065912</v>
      </c>
      <c r="U1089" s="770">
        <f>U1096/U1095</f>
        <v>0.30960359624029421</v>
      </c>
      <c r="V1089" s="784">
        <f t="shared" si="928"/>
        <v>0.51724137931034497</v>
      </c>
      <c r="W1089" s="784">
        <f>W1096/W1095</f>
        <v>0.29411764705882365</v>
      </c>
      <c r="X1089" s="784">
        <f>X1096/X1095</f>
        <v>0.33333333333333331</v>
      </c>
      <c r="Y1089" s="784">
        <f>Y1096/Y1095</f>
        <v>0.3043478260869566</v>
      </c>
      <c r="Z1089" s="770">
        <f>AVERAGE(V1089:Y1089)</f>
        <v>0.36226004644736459</v>
      </c>
      <c r="AA1089" s="784">
        <f>AE1089</f>
        <v>0.36226004644736459</v>
      </c>
      <c r="AB1089" s="784">
        <f>AE1089</f>
        <v>0.36226004644736459</v>
      </c>
      <c r="AC1089" s="784">
        <f>AE1089</f>
        <v>0.36226004644736459</v>
      </c>
      <c r="AD1089" s="784">
        <f>AE1089</f>
        <v>0.36226004644736459</v>
      </c>
      <c r="AE1089" s="770">
        <f>Z1089</f>
        <v>0.36226004644736459</v>
      </c>
      <c r="AF1089" s="770">
        <f t="shared" ref="AF1089:AL1090" si="929">AA1089</f>
        <v>0.36226004644736459</v>
      </c>
      <c r="AG1089" s="770">
        <f t="shared" si="929"/>
        <v>0.36226004644736459</v>
      </c>
      <c r="AH1089" s="770">
        <f t="shared" si="929"/>
        <v>0.36226004644736459</v>
      </c>
      <c r="AI1089" s="770">
        <f t="shared" si="929"/>
        <v>0.36226004644736459</v>
      </c>
      <c r="AJ1089" s="770">
        <f t="shared" si="929"/>
        <v>0.36226004644736459</v>
      </c>
      <c r="AK1089" s="770">
        <f t="shared" si="929"/>
        <v>0.36226004644736459</v>
      </c>
      <c r="AL1089" s="770">
        <f t="shared" si="929"/>
        <v>0.36226004644736459</v>
      </c>
      <c r="AM1089" s="651"/>
    </row>
    <row r="1090" spans="2:39" s="83" customFormat="1">
      <c r="B1090" s="76"/>
      <c r="C1090" s="76"/>
      <c r="D1090" s="76" t="s">
        <v>818</v>
      </c>
      <c r="L1090" s="785"/>
      <c r="M1090" s="785">
        <f t="shared" ref="M1090:U1090" si="930">M1096/M1097</f>
        <v>0.20998278829604131</v>
      </c>
      <c r="N1090" s="785">
        <f t="shared" si="930"/>
        <v>0.2</v>
      </c>
      <c r="O1090" s="785">
        <f t="shared" si="930"/>
        <v>0.24559053360125024</v>
      </c>
      <c r="P1090" s="771">
        <f t="shared" si="930"/>
        <v>0.22467413674822775</v>
      </c>
      <c r="Q1090" s="785">
        <f>Q1096/Q1097</f>
        <v>0.24832214765100671</v>
      </c>
      <c r="R1090" s="785">
        <f t="shared" si="930"/>
        <v>0.23856905946458182</v>
      </c>
      <c r="S1090" s="785">
        <f t="shared" si="930"/>
        <v>0.21981132075471699</v>
      </c>
      <c r="T1090" s="785">
        <f>T1096/T1097</f>
        <v>0.2408131352619233</v>
      </c>
      <c r="U1090" s="771">
        <f t="shared" si="930"/>
        <v>0.23641016039443299</v>
      </c>
      <c r="V1090" s="785">
        <f>V1096/V1097</f>
        <v>0.34090909090909099</v>
      </c>
      <c r="W1090" s="785">
        <f>W1096/W1097</f>
        <v>0.22727272727272735</v>
      </c>
      <c r="X1090" s="785">
        <f>X1096/X1097</f>
        <v>0.25</v>
      </c>
      <c r="Y1090" s="785">
        <f>Y1096/Y1097</f>
        <v>0.23333333333333339</v>
      </c>
      <c r="Z1090" s="771">
        <f>AVERAGE(V1090:Y1090)</f>
        <v>0.26287878787878793</v>
      </c>
      <c r="AA1090" s="784">
        <f>AE1090</f>
        <v>0.26287878787878793</v>
      </c>
      <c r="AB1090" s="784">
        <f>AE1090</f>
        <v>0.26287878787878793</v>
      </c>
      <c r="AC1090" s="784">
        <f>AE1090</f>
        <v>0.26287878787878793</v>
      </c>
      <c r="AD1090" s="784">
        <f>AE1090</f>
        <v>0.26287878787878793</v>
      </c>
      <c r="AE1090" s="770">
        <f>Z1090</f>
        <v>0.26287878787878793</v>
      </c>
      <c r="AF1090" s="770">
        <f t="shared" si="929"/>
        <v>0.26287878787878793</v>
      </c>
      <c r="AG1090" s="770">
        <f t="shared" si="929"/>
        <v>0.26287878787878793</v>
      </c>
      <c r="AH1090" s="770">
        <f t="shared" si="929"/>
        <v>0.26287878787878793</v>
      </c>
      <c r="AI1090" s="770">
        <f t="shared" si="929"/>
        <v>0.26287878787878793</v>
      </c>
      <c r="AJ1090" s="770">
        <f t="shared" si="929"/>
        <v>0.26287878787878793</v>
      </c>
      <c r="AK1090" s="770">
        <f t="shared" si="929"/>
        <v>0.26287878787878793</v>
      </c>
      <c r="AL1090" s="770">
        <f t="shared" si="929"/>
        <v>0.26287878787878793</v>
      </c>
      <c r="AM1090" s="651"/>
    </row>
    <row r="1091" spans="2:39" s="83" customFormat="1">
      <c r="B1091" s="92" t="s">
        <v>874</v>
      </c>
      <c r="C1091" s="76"/>
      <c r="D1091" s="76" t="s">
        <v>875</v>
      </c>
      <c r="G1091" s="781"/>
      <c r="H1091" s="781" t="e">
        <f ca="1">_xll.BDP($B$1091,$B$1,$C$1:$C$2,H$1:H$2)</f>
        <v>#NAME?</v>
      </c>
      <c r="I1091" s="781" t="e">
        <f ca="1">_xll.BDP($B$1091,$B$1,$C$1:$C$2,I$1:I$2)</f>
        <v>#NAME?</v>
      </c>
      <c r="J1091" s="1036" t="e">
        <f ca="1">_xll.BDP($B$1091,$B$1,$C$1:$C$2,J$1:J$2)</f>
        <v>#NAME?</v>
      </c>
      <c r="K1091" s="1036" t="e">
        <f ca="1">_xll.BDP($B$1091,$B$1,$C$1:$C$2,K$1:K$2)</f>
        <v>#NAME?</v>
      </c>
      <c r="L1091" s="1036" t="e">
        <f ca="1">_xll.BDP($B$1091,$B$1,$C$1:$C$2,L$1:L$2)</f>
        <v>#NAME?</v>
      </c>
      <c r="M1091" s="1036" t="e">
        <f ca="1">_xll.BDP($B$1091,$B$1,$C$1:$C$2,M$1:M$2)</f>
        <v>#NAME?</v>
      </c>
      <c r="N1091" s="1036" t="e">
        <f ca="1">_xll.BDP($B$1091,$B$1,$C$1:$C$2,N$1:N$2)</f>
        <v>#NAME?</v>
      </c>
      <c r="O1091" s="1036" t="e">
        <f ca="1">_xll.BDP($B$1091,$B$1,$C$1:$C$2,O$1:O$2)</f>
        <v>#NAME?</v>
      </c>
      <c r="P1091" s="1036" t="e">
        <f ca="1">_xll.BDP($B$1091,$B$1,$C$1:$C$2,P$1:P$2)</f>
        <v>#NAME?</v>
      </c>
      <c r="Q1091" s="1120" t="e">
        <f ca="1">_xll.BDP($B$1091,$B$1,$C$1:$C$2,Q$1:Q$2)</f>
        <v>#NAME?</v>
      </c>
      <c r="R1091" s="1120" t="e">
        <f ca="1">_xll.BDP($B$1091,$B$1,$C$1:$C$2,R$1:R$2)</f>
        <v>#NAME?</v>
      </c>
      <c r="S1091" s="1120" t="e">
        <f ca="1">_xll.BDP($B$1091,$B$1,$C$1:$C$2,S$1:S$2)</f>
        <v>#NAME?</v>
      </c>
      <c r="T1091" s="1120" t="e">
        <f ca="1">_xll.BDP($B$1091,$B$1,$C$1:$C$2,T$1:T$2)</f>
        <v>#NAME?</v>
      </c>
      <c r="U1091" s="1036" t="e">
        <f ca="1">_xll.BDP($B$1091,$B$1,$C$1:$C$2,U$1:U$2)</f>
        <v>#NAME?</v>
      </c>
      <c r="V1091" s="1120" t="e">
        <f ca="1">_xll.BDP($B$1091,$B$1,$C$1:$C$2,V$1:V$2)</f>
        <v>#NAME?</v>
      </c>
      <c r="W1091" s="1120" t="e">
        <f ca="1">_xll.BDP($B$1091,$B$1,$C$1:$C$2,W$1:W$2)</f>
        <v>#NAME?</v>
      </c>
      <c r="X1091" s="1120" t="e">
        <f ca="1">_xll.BDP($B$1091,$B$1,$C$1:$C$2,X$1:X$2)</f>
        <v>#NAME?</v>
      </c>
      <c r="Y1091" s="1120" t="e">
        <f ca="1">_xll.BDP($B$1091,$B$1,$C$1:$C$2,Y$1:Y$2)</f>
        <v>#NAME?</v>
      </c>
      <c r="Z1091" s="1036" t="e">
        <f ca="1">AVERAGE(V1091:Y1091)</f>
        <v>#NAME?</v>
      </c>
      <c r="AA1091" s="140"/>
      <c r="AB1091" s="140"/>
      <c r="AC1091" s="140"/>
      <c r="AD1091" s="140"/>
      <c r="AM1091" s="651"/>
    </row>
    <row r="1092" spans="2:39" s="83" customFormat="1">
      <c r="B1092" s="76"/>
      <c r="C1092" s="76"/>
      <c r="D1092" s="76"/>
      <c r="L1092" s="140"/>
      <c r="M1092" s="140"/>
      <c r="N1092" s="140"/>
      <c r="O1092" s="140"/>
      <c r="Q1092" s="140"/>
      <c r="R1092" s="140"/>
      <c r="S1092" s="140"/>
      <c r="T1092" s="140"/>
      <c r="V1092" s="140"/>
      <c r="W1092" s="140"/>
      <c r="X1092" s="140"/>
      <c r="Y1092" s="140"/>
      <c r="AA1092" s="140"/>
      <c r="AB1092" s="140"/>
      <c r="AC1092" s="140"/>
      <c r="AD1092" s="140"/>
      <c r="AM1092" s="651"/>
    </row>
    <row r="1093" spans="2:39" s="83" customFormat="1">
      <c r="B1093" s="92"/>
      <c r="D1093" s="84"/>
      <c r="L1093" s="140"/>
      <c r="M1093" s="140"/>
      <c r="N1093" s="140"/>
      <c r="O1093" s="140"/>
      <c r="Q1093" s="140"/>
      <c r="R1093" s="140"/>
      <c r="S1093" s="140"/>
      <c r="T1093" s="140"/>
      <c r="V1093" s="140"/>
      <c r="W1093" s="140"/>
      <c r="X1093" s="140"/>
      <c r="Y1093" s="140"/>
      <c r="AA1093" s="140"/>
      <c r="AB1093" s="140"/>
      <c r="AC1093" s="140"/>
      <c r="AD1093" s="140"/>
      <c r="AM1093" s="651"/>
    </row>
    <row r="1094" spans="2:39" s="83" customFormat="1">
      <c r="B1094" s="92"/>
      <c r="D1094" s="174" t="s">
        <v>617</v>
      </c>
      <c r="E1094" s="174"/>
      <c r="F1094" s="174"/>
      <c r="G1094" s="174"/>
      <c r="H1094" s="174"/>
      <c r="I1094" s="174"/>
      <c r="J1094" s="174"/>
      <c r="K1094" s="174"/>
      <c r="L1094" s="778"/>
      <c r="M1094" s="778"/>
      <c r="N1094" s="778"/>
      <c r="O1094" s="778"/>
      <c r="P1094" s="174"/>
      <c r="Q1094" s="778"/>
      <c r="R1094" s="778"/>
      <c r="S1094" s="778"/>
      <c r="T1094" s="778"/>
      <c r="U1094" s="174"/>
      <c r="V1094" s="778"/>
      <c r="W1094" s="778"/>
      <c r="X1094" s="778"/>
      <c r="Y1094" s="778"/>
      <c r="Z1094" s="174"/>
      <c r="AA1094" s="778"/>
      <c r="AB1094" s="778"/>
      <c r="AC1094" s="778"/>
      <c r="AD1094" s="778"/>
      <c r="AE1094" s="174"/>
      <c r="AF1094" s="174"/>
      <c r="AG1094" s="174"/>
      <c r="AH1094" s="174"/>
      <c r="AI1094" s="174"/>
      <c r="AJ1094" s="174"/>
      <c r="AK1094" s="174"/>
      <c r="AL1094" s="174"/>
      <c r="AM1094" s="651"/>
    </row>
    <row r="1095" spans="2:39" s="83" customFormat="1">
      <c r="B1095" s="92" t="s">
        <v>776</v>
      </c>
      <c r="D1095" s="84" t="s">
        <v>778</v>
      </c>
      <c r="L1095" s="335">
        <v>0</v>
      </c>
      <c r="M1095" s="335">
        <v>0.91800000000000004</v>
      </c>
      <c r="N1095" s="335">
        <v>2.484</v>
      </c>
      <c r="O1095" s="335">
        <v>3.3789999999999996</v>
      </c>
      <c r="P1095" s="201">
        <v>6.7809999999999997</v>
      </c>
      <c r="Q1095" s="335">
        <v>2.8</v>
      </c>
      <c r="R1095" s="335">
        <v>3.214</v>
      </c>
      <c r="S1095" s="335">
        <v>3.3079999999999998</v>
      </c>
      <c r="T1095" s="335">
        <v>2.9129999999999985</v>
      </c>
      <c r="U1095" s="201">
        <v>12.234999999999999</v>
      </c>
      <c r="V1095" s="335">
        <v>2.9</v>
      </c>
      <c r="W1095" s="335">
        <f>W1085</f>
        <v>1.7</v>
      </c>
      <c r="X1095" s="335">
        <f>X1085</f>
        <v>1.5</v>
      </c>
      <c r="Y1095" s="335">
        <f>Y1085</f>
        <v>2.2999999999999998</v>
      </c>
      <c r="Z1095" s="94">
        <f>Z1085</f>
        <v>8.4</v>
      </c>
      <c r="AA1095" s="335">
        <f t="shared" ref="AA1095:AE1095" si="931">AA1085</f>
        <v>2.625</v>
      </c>
      <c r="AB1095" s="335">
        <f t="shared" si="931"/>
        <v>2.625</v>
      </c>
      <c r="AC1095" s="335">
        <f t="shared" si="931"/>
        <v>2.625</v>
      </c>
      <c r="AD1095" s="335">
        <f t="shared" si="931"/>
        <v>2.625</v>
      </c>
      <c r="AE1095" s="94">
        <f t="shared" si="931"/>
        <v>10.5</v>
      </c>
      <c r="AF1095" s="94">
        <f t="shared" ref="AF1095:AL1095" si="932">AF1085</f>
        <v>12</v>
      </c>
      <c r="AG1095" s="94">
        <f t="shared" si="932"/>
        <v>14</v>
      </c>
      <c r="AH1095" s="94">
        <f t="shared" si="932"/>
        <v>14</v>
      </c>
      <c r="AI1095" s="94">
        <f t="shared" si="932"/>
        <v>14</v>
      </c>
      <c r="AJ1095" s="94">
        <f t="shared" si="932"/>
        <v>14</v>
      </c>
      <c r="AK1095" s="94">
        <f t="shared" si="932"/>
        <v>14</v>
      </c>
      <c r="AL1095" s="94">
        <f t="shared" si="932"/>
        <v>14</v>
      </c>
      <c r="AM1095" s="651"/>
    </row>
    <row r="1096" spans="2:39" s="83" customFormat="1">
      <c r="B1096" s="92"/>
      <c r="D1096" s="84" t="s">
        <v>779</v>
      </c>
      <c r="L1096" s="335">
        <v>0</v>
      </c>
      <c r="M1096" s="335">
        <v>0.24399999999999999</v>
      </c>
      <c r="N1096" s="335">
        <v>0.621</v>
      </c>
      <c r="O1096" s="335">
        <v>1.1000000000000001</v>
      </c>
      <c r="P1096" s="201">
        <v>1.9650000000000001</v>
      </c>
      <c r="Q1096" s="335">
        <v>0.92500000000000004</v>
      </c>
      <c r="R1096" s="335">
        <v>1.0069999999999999</v>
      </c>
      <c r="S1096" s="335">
        <v>0.93200000000000005</v>
      </c>
      <c r="T1096" s="335">
        <v>0.9239999999999996</v>
      </c>
      <c r="U1096" s="201">
        <v>3.7879999999999998</v>
      </c>
      <c r="V1096" s="335">
        <f>V1097-V1095</f>
        <v>1.5000000000000004</v>
      </c>
      <c r="W1096" s="335">
        <f>W1097-W1095</f>
        <v>0.50000000000000022</v>
      </c>
      <c r="X1096" s="335">
        <f>X1097-X1095</f>
        <v>0.5</v>
      </c>
      <c r="Y1096" s="335">
        <f>Y1097-Y1095</f>
        <v>0.70000000000000018</v>
      </c>
      <c r="Z1096" s="201">
        <f>Z1095*Z1089</f>
        <v>3.0429843901578626</v>
      </c>
      <c r="AA1096" s="335">
        <f t="shared" ref="AA1096:AD1096" si="933">AA1095*AA1089</f>
        <v>0.95093262192433203</v>
      </c>
      <c r="AB1096" s="335">
        <f t="shared" si="933"/>
        <v>0.95093262192433203</v>
      </c>
      <c r="AC1096" s="335">
        <f t="shared" si="933"/>
        <v>0.95093262192433203</v>
      </c>
      <c r="AD1096" s="335">
        <f t="shared" si="933"/>
        <v>0.95093262192433203</v>
      </c>
      <c r="AE1096" s="201">
        <f>AE1095*AE1089</f>
        <v>3.8037304876973281</v>
      </c>
      <c r="AF1096" s="201">
        <f t="shared" ref="AF1096:AL1096" si="934">AF1095*AF1089</f>
        <v>4.3471205573683749</v>
      </c>
      <c r="AG1096" s="201">
        <f t="shared" si="934"/>
        <v>5.0716406502631042</v>
      </c>
      <c r="AH1096" s="201">
        <f t="shared" si="934"/>
        <v>5.0716406502631042</v>
      </c>
      <c r="AI1096" s="201">
        <f t="shared" si="934"/>
        <v>5.0716406502631042</v>
      </c>
      <c r="AJ1096" s="201">
        <f t="shared" si="934"/>
        <v>5.0716406502631042</v>
      </c>
      <c r="AK1096" s="201">
        <f t="shared" si="934"/>
        <v>5.0716406502631042</v>
      </c>
      <c r="AL1096" s="201">
        <f t="shared" si="934"/>
        <v>5.0716406502631042</v>
      </c>
      <c r="AM1096" s="651"/>
    </row>
    <row r="1097" spans="2:39" s="83" customFormat="1">
      <c r="D1097" s="83" t="s">
        <v>777</v>
      </c>
      <c r="L1097" s="335">
        <v>0</v>
      </c>
      <c r="M1097" s="335">
        <v>1.1619999999999999</v>
      </c>
      <c r="N1097" s="335">
        <v>3.105</v>
      </c>
      <c r="O1097" s="335">
        <v>4.479000000000001</v>
      </c>
      <c r="P1097" s="1168">
        <v>8.7460000000000004</v>
      </c>
      <c r="Q1097" s="1167">
        <v>3.7250000000000001</v>
      </c>
      <c r="R1097" s="1167">
        <v>4.2210000000000001</v>
      </c>
      <c r="S1097" s="1167">
        <v>4.24</v>
      </c>
      <c r="T1097" s="1167">
        <v>3.8369999999999997</v>
      </c>
      <c r="U1097" s="1168">
        <v>16.023</v>
      </c>
      <c r="V1097" s="1167">
        <v>4.4000000000000004</v>
      </c>
      <c r="W1097" s="1167">
        <v>2.2000000000000002</v>
      </c>
      <c r="X1097" s="1167">
        <v>2</v>
      </c>
      <c r="Y1097" s="1167">
        <v>3</v>
      </c>
      <c r="Z1097" s="1034">
        <f>SUM(V1097:Y1097)</f>
        <v>11.600000000000001</v>
      </c>
      <c r="AA1097" s="335">
        <v>4.4000000000000004</v>
      </c>
      <c r="AB1097" s="335">
        <f>AB1095+AB1096</f>
        <v>3.5759326219243319</v>
      </c>
      <c r="AC1097" s="335">
        <f>AC1095+AC1096</f>
        <v>3.5759326219243319</v>
      </c>
      <c r="AD1097" s="335">
        <f>AD1095+AD1096</f>
        <v>3.5759326219243319</v>
      </c>
      <c r="AE1097" s="1034">
        <f>AE1095+AE1096</f>
        <v>14.303730487697328</v>
      </c>
      <c r="AF1097" s="1034">
        <f t="shared" ref="AF1097:AL1097" si="935">AF1095+AF1096</f>
        <v>16.347120557368374</v>
      </c>
      <c r="AG1097" s="1034">
        <f t="shared" si="935"/>
        <v>19.071640650263106</v>
      </c>
      <c r="AH1097" s="1034">
        <f t="shared" si="935"/>
        <v>19.071640650263106</v>
      </c>
      <c r="AI1097" s="1034">
        <f t="shared" si="935"/>
        <v>19.071640650263106</v>
      </c>
      <c r="AJ1097" s="1034">
        <f t="shared" si="935"/>
        <v>19.071640650263106</v>
      </c>
      <c r="AK1097" s="1034">
        <f t="shared" si="935"/>
        <v>19.071640650263106</v>
      </c>
      <c r="AL1097" s="1034">
        <f t="shared" si="935"/>
        <v>19.071640650263106</v>
      </c>
      <c r="AM1097" s="651"/>
    </row>
    <row r="1098" spans="2:39" s="83" customFormat="1">
      <c r="L1098" s="140"/>
      <c r="M1098" s="140"/>
      <c r="N1098" s="140"/>
      <c r="O1098" s="140"/>
      <c r="Q1098" s="140"/>
      <c r="R1098" s="140"/>
      <c r="S1098" s="140"/>
      <c r="T1098" s="140"/>
      <c r="V1098" s="140"/>
      <c r="W1098" s="140"/>
      <c r="X1098" s="140"/>
      <c r="Y1098" s="140"/>
      <c r="AA1098" s="140"/>
      <c r="AB1098" s="140"/>
      <c r="AC1098" s="140"/>
      <c r="AD1098" s="140"/>
      <c r="AM1098" s="651"/>
    </row>
    <row r="1099" spans="2:39" s="83" customFormat="1">
      <c r="B1099" s="95" t="s">
        <v>633</v>
      </c>
      <c r="C1099" s="96" t="s">
        <v>225</v>
      </c>
      <c r="D1099" s="164" t="s">
        <v>636</v>
      </c>
      <c r="L1099" s="772" t="e">
        <f t="shared" ref="L1099:T1099" ca="1" si="936">(L1097*L1078)</f>
        <v>#NAME?</v>
      </c>
      <c r="M1099" s="772" t="e">
        <f t="shared" ca="1" si="936"/>
        <v>#NAME?</v>
      </c>
      <c r="N1099" s="772" t="e">
        <f t="shared" ca="1" si="936"/>
        <v>#NAME?</v>
      </c>
      <c r="O1099" s="772" t="e">
        <f t="shared" ca="1" si="936"/>
        <v>#NAME?</v>
      </c>
      <c r="P1099" s="172" t="e">
        <f t="shared" ca="1" si="936"/>
        <v>#NAME?</v>
      </c>
      <c r="Q1099" s="772" t="e">
        <f ca="1">(Q1097*Q1078)</f>
        <v>#NAME?</v>
      </c>
      <c r="R1099" s="772" t="e">
        <f t="shared" ca="1" si="936"/>
        <v>#NAME?</v>
      </c>
      <c r="S1099" s="772" t="e">
        <f t="shared" ca="1" si="936"/>
        <v>#NAME?</v>
      </c>
      <c r="T1099" s="772" t="e">
        <f t="shared" ca="1" si="936"/>
        <v>#NAME?</v>
      </c>
      <c r="U1099" s="172" t="e">
        <f ca="1">(U1097*U1078)</f>
        <v>#NAME?</v>
      </c>
      <c r="V1099" s="772" t="e">
        <f ca="1">(V1097*V1078)</f>
        <v>#NAME?</v>
      </c>
      <c r="W1099" s="775" t="e">
        <f ca="1">(W1097*W1078)</f>
        <v>#NAME?</v>
      </c>
      <c r="X1099" s="775" t="e">
        <f ca="1">(X1097*X1078)</f>
        <v>#NAME?</v>
      </c>
      <c r="Y1099" s="775">
        <f>(Y1097*Y1078)</f>
        <v>121.92233910937497</v>
      </c>
      <c r="Z1099" s="383" t="e">
        <f ca="1">SUM(V1099:Y1099)</f>
        <v>#NAME?</v>
      </c>
      <c r="AA1099" s="775">
        <f>(AA1097*AA1078)</f>
        <v>255.10423003278686</v>
      </c>
      <c r="AB1099" s="775">
        <f>(AB1097*AB1078)</f>
        <v>235.7397311144247</v>
      </c>
      <c r="AC1099" s="775">
        <f>(AC1097*AC1078)</f>
        <v>236.60658823529411</v>
      </c>
      <c r="AD1099" s="775">
        <f>(AD1097*AD1078)</f>
        <v>236.60658823529411</v>
      </c>
      <c r="AE1099" s="383">
        <f>SUM(AA1099:AD1099)</f>
        <v>964.05713761779975</v>
      </c>
      <c r="AF1099" s="172">
        <f>(AF1097*AF1078)</f>
        <v>1020.3087990122584</v>
      </c>
      <c r="AG1099" s="172">
        <f t="shared" ref="AG1099:AL1099" si="937">(AG1097*AG1078)</f>
        <v>1236.8950687009437</v>
      </c>
      <c r="AH1099" s="172">
        <f t="shared" si="937"/>
        <v>1322.0995304700593</v>
      </c>
      <c r="AI1099" s="172">
        <f t="shared" si="937"/>
        <v>1322.0995304700593</v>
      </c>
      <c r="AJ1099" s="172">
        <f t="shared" si="937"/>
        <v>1322.0995304700593</v>
      </c>
      <c r="AK1099" s="172">
        <f t="shared" si="937"/>
        <v>1322.0995304700593</v>
      </c>
      <c r="AL1099" s="172">
        <f t="shared" si="937"/>
        <v>1322.0995304700593</v>
      </c>
      <c r="AM1099" s="651"/>
    </row>
    <row r="1100" spans="2:39" s="83" customFormat="1">
      <c r="B1100" s="95"/>
      <c r="C1100" s="96"/>
      <c r="D1100" s="164" t="s">
        <v>816</v>
      </c>
      <c r="L1100" s="101" t="e">
        <f t="shared" ref="L1100:Y1100" ca="1" si="938">L1101-L1099</f>
        <v>#NAME?</v>
      </c>
      <c r="M1100" s="101" t="e">
        <f t="shared" ca="1" si="938"/>
        <v>#NAME?</v>
      </c>
      <c r="N1100" s="101" t="e">
        <f t="shared" ca="1" si="938"/>
        <v>#NAME?</v>
      </c>
      <c r="O1100" s="101" t="e">
        <f t="shared" ca="1" si="938"/>
        <v>#NAME?</v>
      </c>
      <c r="P1100" s="94" t="e">
        <f t="shared" ca="1" si="938"/>
        <v>#NAME?</v>
      </c>
      <c r="Q1100" s="101" t="e">
        <f t="shared" ca="1" si="938"/>
        <v>#NAME?</v>
      </c>
      <c r="R1100" s="101" t="e">
        <f t="shared" ca="1" si="938"/>
        <v>#NAME?</v>
      </c>
      <c r="S1100" s="101" t="e">
        <f t="shared" ca="1" si="938"/>
        <v>#NAME?</v>
      </c>
      <c r="T1100" s="101" t="e">
        <f t="shared" ca="1" si="938"/>
        <v>#NAME?</v>
      </c>
      <c r="U1100" s="94" t="e">
        <f t="shared" ca="1" si="938"/>
        <v>#NAME?</v>
      </c>
      <c r="V1100" s="101" t="e">
        <f t="shared" ca="1" si="938"/>
        <v>#NAME?</v>
      </c>
      <c r="W1100" s="101" t="e">
        <f t="shared" ca="1" si="938"/>
        <v>#NAME?</v>
      </c>
      <c r="X1100" s="101" t="e">
        <f t="shared" ca="1" si="938"/>
        <v>#NAME?</v>
      </c>
      <c r="Y1100" s="101">
        <f t="shared" si="938"/>
        <v>18.077660890625026</v>
      </c>
      <c r="Z1100" s="383" t="e">
        <f ca="1">SUM(V1100:Y1100)</f>
        <v>#NAME?</v>
      </c>
      <c r="AA1100" s="775">
        <f>(-AA1178*AA1173)/1000</f>
        <v>1.2862499999999999</v>
      </c>
      <c r="AB1100" s="775">
        <f>(-AB1178*AB1173)/1000</f>
        <v>1.2862499999999999</v>
      </c>
      <c r="AC1100" s="775">
        <f>(-AC1178*AC1173)/1000</f>
        <v>1.2862499999999999</v>
      </c>
      <c r="AD1100" s="775">
        <f>(-AD1178*AD1173)/1000</f>
        <v>1.2862499999999999</v>
      </c>
      <c r="AE1100" s="383">
        <f>SUM(AA1100:AD1100)</f>
        <v>5.1449999999999996</v>
      </c>
      <c r="AF1100" s="383">
        <f>(-AF1178*AF1173)/1000</f>
        <v>5.88</v>
      </c>
      <c r="AG1100" s="383">
        <f t="shared" ref="AG1100:AL1100" si="939">(-AG1178*AG1173)/1000</f>
        <v>6.86</v>
      </c>
      <c r="AH1100" s="383">
        <f t="shared" si="939"/>
        <v>6.86</v>
      </c>
      <c r="AI1100" s="383">
        <f t="shared" si="939"/>
        <v>6.86</v>
      </c>
      <c r="AJ1100" s="383">
        <f t="shared" si="939"/>
        <v>6.86</v>
      </c>
      <c r="AK1100" s="383">
        <f t="shared" si="939"/>
        <v>6.86</v>
      </c>
      <c r="AL1100" s="383">
        <f t="shared" si="939"/>
        <v>6.86</v>
      </c>
      <c r="AM1100" s="651"/>
    </row>
    <row r="1101" spans="2:39" s="83" customFormat="1">
      <c r="B1101" s="95" t="s">
        <v>633</v>
      </c>
      <c r="C1101" s="96" t="s">
        <v>225</v>
      </c>
      <c r="D1101" s="594" t="s">
        <v>638</v>
      </c>
      <c r="E1101" s="600"/>
      <c r="F1101" s="600"/>
      <c r="G1101" s="596">
        <v>6</v>
      </c>
      <c r="H1101" s="596">
        <v>3</v>
      </c>
      <c r="I1101" s="596">
        <v>4</v>
      </c>
      <c r="J1101" s="596">
        <v>2</v>
      </c>
      <c r="K1101" s="596">
        <v>0</v>
      </c>
      <c r="L1101" s="597">
        <v>0</v>
      </c>
      <c r="M1101" s="597">
        <v>78</v>
      </c>
      <c r="N1101" s="597">
        <v>209</v>
      </c>
      <c r="O1101" s="597">
        <f>P1101-L1101-M1101-N1101</f>
        <v>120</v>
      </c>
      <c r="P1101" s="596">
        <v>407</v>
      </c>
      <c r="Q1101" s="597">
        <v>212</v>
      </c>
      <c r="R1101" s="597">
        <v>295</v>
      </c>
      <c r="S1101" s="597">
        <v>255</v>
      </c>
      <c r="T1101" s="597">
        <f>U1101-Q1101-R1101-S1101</f>
        <v>213</v>
      </c>
      <c r="U1101" s="596">
        <v>975</v>
      </c>
      <c r="V1101" s="597">
        <v>176</v>
      </c>
      <c r="W1101" s="597">
        <v>44</v>
      </c>
      <c r="X1101" s="597">
        <v>94</v>
      </c>
      <c r="Y1101" s="597">
        <v>140</v>
      </c>
      <c r="Z1101" s="1035">
        <f>SUM(V1101:Y1101)</f>
        <v>454</v>
      </c>
      <c r="AA1101" s="615">
        <f t="shared" ref="AA1101:AF1101" si="940">AA1099+AA1100</f>
        <v>256.39048003278685</v>
      </c>
      <c r="AB1101" s="615">
        <f t="shared" si="940"/>
        <v>237.0259811144247</v>
      </c>
      <c r="AC1101" s="615">
        <f t="shared" si="940"/>
        <v>237.89283823529411</v>
      </c>
      <c r="AD1101" s="615">
        <f t="shared" si="940"/>
        <v>237.89283823529411</v>
      </c>
      <c r="AE1101" s="1035">
        <f>AE1099+AE1100</f>
        <v>969.20213761779974</v>
      </c>
      <c r="AF1101" s="602">
        <f t="shared" si="940"/>
        <v>1026.1887990122584</v>
      </c>
      <c r="AG1101" s="602">
        <f t="shared" ref="AG1101:AL1101" si="941">AG1099+AG1100</f>
        <v>1243.7550687009436</v>
      </c>
      <c r="AH1101" s="602">
        <f t="shared" si="941"/>
        <v>1328.9595304700592</v>
      </c>
      <c r="AI1101" s="602">
        <f>AI1099+AI1100</f>
        <v>1328.9595304700592</v>
      </c>
      <c r="AJ1101" s="602">
        <f t="shared" si="941"/>
        <v>1328.9595304700592</v>
      </c>
      <c r="AK1101" s="602">
        <f t="shared" si="941"/>
        <v>1328.9595304700592</v>
      </c>
      <c r="AL1101" s="602">
        <f t="shared" si="941"/>
        <v>1328.9595304700592</v>
      </c>
      <c r="AM1101" s="651"/>
    </row>
    <row r="1102" spans="2:39" s="83" customFormat="1">
      <c r="B1102" s="95" t="s">
        <v>633</v>
      </c>
      <c r="C1102" s="96" t="s">
        <v>225</v>
      </c>
      <c r="D1102" s="599" t="s">
        <v>642</v>
      </c>
      <c r="G1102" s="773">
        <v>-1</v>
      </c>
      <c r="H1102" s="773">
        <v>0</v>
      </c>
      <c r="I1102" s="773">
        <v>-1</v>
      </c>
      <c r="J1102" s="773">
        <v>0</v>
      </c>
      <c r="K1102" s="773">
        <v>0</v>
      </c>
      <c r="L1102" s="786">
        <v>0</v>
      </c>
      <c r="M1102" s="786">
        <v>-35</v>
      </c>
      <c r="N1102" s="786">
        <v>-97</v>
      </c>
      <c r="O1102" s="786">
        <v>-125</v>
      </c>
      <c r="P1102" s="773">
        <v>-257</v>
      </c>
      <c r="Q1102" s="786">
        <v>-82</v>
      </c>
      <c r="R1102" s="786">
        <v>-93</v>
      </c>
      <c r="S1102" s="786">
        <v>-91</v>
      </c>
      <c r="T1102" s="786">
        <v>-96</v>
      </c>
      <c r="U1102" s="773">
        <v>-362</v>
      </c>
      <c r="V1102" s="786">
        <v>-136</v>
      </c>
      <c r="W1102" s="786">
        <v>-54</v>
      </c>
      <c r="X1102" s="786">
        <v>-62</v>
      </c>
      <c r="Y1102" s="786">
        <v>-78</v>
      </c>
      <c r="Z1102" s="1039">
        <f>SUM(V1102:Y1102)</f>
        <v>-330</v>
      </c>
      <c r="AA1102" s="1038">
        <f>AA1107-AA1101-AA1103-AA1104-AA1105</f>
        <v>-66.875176902068361</v>
      </c>
      <c r="AB1102" s="1038">
        <f>AB1107-AB1101-AB1103-AB1104-AB1105</f>
        <v>-47.510677983706202</v>
      </c>
      <c r="AC1102" s="1038">
        <f>AC1107-AC1101-AC1103-AC1104-AC1105</f>
        <v>-48.377535104575614</v>
      </c>
      <c r="AD1102" s="1038">
        <f>AD1107-AD1101-AD1103-AD1104-AD1105</f>
        <v>-48.377535104575614</v>
      </c>
      <c r="AE1102" s="1039">
        <f>SUM(AA1102:AD1102)</f>
        <v>-211.14092509492576</v>
      </c>
      <c r="AF1102" s="1039">
        <f>AF1107-AF1101-AF1103-AF1104-AF1105</f>
        <v>-159.83312755754525</v>
      </c>
      <c r="AG1102" s="1039">
        <f t="shared" ref="AG1102:AL1102" si="942">AG1107-AG1101-AG1103-AG1104-AG1105</f>
        <v>-233.00678533711169</v>
      </c>
      <c r="AH1102" s="1039">
        <f>AH1107-AH1101-AH1103-AH1104-AH1105</f>
        <v>-318.21124710622729</v>
      </c>
      <c r="AI1102" s="1039">
        <f>AI1107-AI1101-AI1103-AI1104-AI1105</f>
        <v>-318.21124710622729</v>
      </c>
      <c r="AJ1102" s="1039">
        <f t="shared" si="942"/>
        <v>-318.21124710622729</v>
      </c>
      <c r="AK1102" s="1039">
        <f t="shared" si="942"/>
        <v>-318.21124710622729</v>
      </c>
      <c r="AL1102" s="1039">
        <f t="shared" si="942"/>
        <v>-318.21124710622729</v>
      </c>
      <c r="AM1102" s="651"/>
    </row>
    <row r="1103" spans="2:39" s="83" customFormat="1">
      <c r="B1103" s="95" t="s">
        <v>633</v>
      </c>
      <c r="C1103" s="96" t="s">
        <v>225</v>
      </c>
      <c r="D1103" s="599" t="s">
        <v>643</v>
      </c>
      <c r="G1103" s="773">
        <v>0</v>
      </c>
      <c r="H1103" s="773">
        <v>0</v>
      </c>
      <c r="I1103" s="773">
        <v>0</v>
      </c>
      <c r="J1103" s="773">
        <v>0</v>
      </c>
      <c r="K1103" s="773">
        <v>0</v>
      </c>
      <c r="L1103" s="786">
        <v>0</v>
      </c>
      <c r="M1103" s="786">
        <v>-8</v>
      </c>
      <c r="N1103" s="786">
        <v>-27</v>
      </c>
      <c r="O1103" s="786">
        <v>-28</v>
      </c>
      <c r="P1103" s="773">
        <v>-63</v>
      </c>
      <c r="Q1103" s="786">
        <v>-26</v>
      </c>
      <c r="R1103" s="786">
        <v>-32</v>
      </c>
      <c r="S1103" s="786">
        <v>-30</v>
      </c>
      <c r="T1103" s="786">
        <v>-28</v>
      </c>
      <c r="U1103" s="773">
        <v>-116</v>
      </c>
      <c r="V1103" s="786">
        <v>-30</v>
      </c>
      <c r="W1103" s="786">
        <v>-29</v>
      </c>
      <c r="X1103" s="786">
        <v>-26</v>
      </c>
      <c r="Y1103" s="786">
        <v>-28</v>
      </c>
      <c r="Z1103" s="1039">
        <f t="shared" ref="Z1103:Z1108" si="943">SUM(V1103:Y1103)</f>
        <v>-113</v>
      </c>
      <c r="AA1103" s="1038">
        <f>(AA1179*AA1173)/1000</f>
        <v>-31.08</v>
      </c>
      <c r="AB1103" s="1038">
        <f>(AB1179*AB1173)/1000</f>
        <v>-31.08</v>
      </c>
      <c r="AC1103" s="1038">
        <f>(AC1179*AC1173)/1000</f>
        <v>-31.08</v>
      </c>
      <c r="AD1103" s="1038">
        <f>(AD1179*AD1173)/1000</f>
        <v>-31.08</v>
      </c>
      <c r="AE1103" s="1039">
        <f t="shared" ref="AE1103:AE1108" si="944">SUM(AA1103:AD1103)</f>
        <v>-124.32</v>
      </c>
      <c r="AF1103" s="1039">
        <f>(AF1179*AF1173)/1000</f>
        <v>-142.08000000000001</v>
      </c>
      <c r="AG1103" s="1039">
        <f>(AG1179*AG1173)/1000</f>
        <v>-165.76</v>
      </c>
      <c r="AH1103" s="1039">
        <f>(AH1179*AH1173)/1000</f>
        <v>-165.76</v>
      </c>
      <c r="AI1103" s="1039">
        <f t="shared" ref="AI1103:AL1103" si="945">(AI1179*AI1173)/1000</f>
        <v>-165.76</v>
      </c>
      <c r="AJ1103" s="1039">
        <f t="shared" si="945"/>
        <v>-165.76</v>
      </c>
      <c r="AK1103" s="1039">
        <f t="shared" si="945"/>
        <v>-165.76</v>
      </c>
      <c r="AL1103" s="1039">
        <f t="shared" si="945"/>
        <v>-165.76</v>
      </c>
      <c r="AM1103" s="651"/>
    </row>
    <row r="1104" spans="2:39" s="83" customFormat="1">
      <c r="B1104" s="95" t="s">
        <v>633</v>
      </c>
      <c r="C1104" s="96" t="s">
        <v>225</v>
      </c>
      <c r="D1104" s="599" t="s">
        <v>819</v>
      </c>
      <c r="G1104" s="773">
        <v>0</v>
      </c>
      <c r="H1104" s="773">
        <v>0</v>
      </c>
      <c r="I1104" s="773">
        <v>0</v>
      </c>
      <c r="J1104" s="773">
        <v>0</v>
      </c>
      <c r="K1104" s="773">
        <v>0</v>
      </c>
      <c r="L1104" s="786">
        <v>0</v>
      </c>
      <c r="M1104" s="786">
        <v>-22</v>
      </c>
      <c r="N1104" s="786">
        <v>-78</v>
      </c>
      <c r="O1104" s="786">
        <v>-93</v>
      </c>
      <c r="P1104" s="773">
        <v>-193</v>
      </c>
      <c r="Q1104" s="786">
        <v>-82</v>
      </c>
      <c r="R1104" s="786">
        <v>-100</v>
      </c>
      <c r="S1104" s="786">
        <v>-85</v>
      </c>
      <c r="T1104" s="786">
        <v>-86</v>
      </c>
      <c r="U1104" s="773">
        <v>-353</v>
      </c>
      <c r="V1104" s="786">
        <v>-100</v>
      </c>
      <c r="W1104" s="786">
        <v>-34</v>
      </c>
      <c r="X1104" s="786">
        <v>-42</v>
      </c>
      <c r="Y1104" s="786">
        <v>-58</v>
      </c>
      <c r="Z1104" s="1039">
        <f t="shared" si="943"/>
        <v>-234</v>
      </c>
      <c r="AA1104" s="1038">
        <f>-AA1091*AA1096</f>
        <v>0</v>
      </c>
      <c r="AB1104" s="1038">
        <f>-AB1091*AB1096</f>
        <v>0</v>
      </c>
      <c r="AC1104" s="1038">
        <f>-AC1091*AC1096</f>
        <v>0</v>
      </c>
      <c r="AD1104" s="1038">
        <f>-AD1091*AD1096</f>
        <v>0</v>
      </c>
      <c r="AE1104" s="1039">
        <f t="shared" si="944"/>
        <v>0</v>
      </c>
      <c r="AF1104" s="1039">
        <f>-AF1091*AF1096</f>
        <v>0</v>
      </c>
      <c r="AG1104" s="1039">
        <f t="shared" ref="AG1104:AL1104" si="946">-AG1091*AG1096</f>
        <v>0</v>
      </c>
      <c r="AH1104" s="1039">
        <f t="shared" si="946"/>
        <v>0</v>
      </c>
      <c r="AI1104" s="1039">
        <f t="shared" si="946"/>
        <v>0</v>
      </c>
      <c r="AJ1104" s="1039">
        <f t="shared" si="946"/>
        <v>0</v>
      </c>
      <c r="AK1104" s="1039">
        <f t="shared" si="946"/>
        <v>0</v>
      </c>
      <c r="AL1104" s="1039">
        <f t="shared" si="946"/>
        <v>0</v>
      </c>
      <c r="AM1104" s="651"/>
    </row>
    <row r="1105" spans="2:41" s="83" customFormat="1">
      <c r="B1105" s="95" t="s">
        <v>633</v>
      </c>
      <c r="C1105" s="96" t="s">
        <v>225</v>
      </c>
      <c r="D1105" s="599" t="s">
        <v>644</v>
      </c>
      <c r="G1105" s="773">
        <v>-3</v>
      </c>
      <c r="H1105" s="773">
        <v>-3</v>
      </c>
      <c r="I1105" s="773">
        <v>-5</v>
      </c>
      <c r="J1105" s="773">
        <v>-5</v>
      </c>
      <c r="K1105" s="773">
        <v>0</v>
      </c>
      <c r="L1105" s="786">
        <v>0</v>
      </c>
      <c r="M1105" s="786">
        <v>-12</v>
      </c>
      <c r="N1105" s="786">
        <v>-21</v>
      </c>
      <c r="O1105" s="786">
        <v>-26</v>
      </c>
      <c r="P1105" s="773">
        <v>-59</v>
      </c>
      <c r="Q1105" s="786">
        <v>-27</v>
      </c>
      <c r="R1105" s="786">
        <v>-36</v>
      </c>
      <c r="S1105" s="786">
        <v>-37</v>
      </c>
      <c r="T1105" s="786">
        <v>-34</v>
      </c>
      <c r="U1105" s="773">
        <v>-134</v>
      </c>
      <c r="V1105" s="786">
        <v>-33</v>
      </c>
      <c r="W1105" s="786">
        <v>-22</v>
      </c>
      <c r="X1105" s="786">
        <v>-26</v>
      </c>
      <c r="Y1105" s="786">
        <v>-22</v>
      </c>
      <c r="Z1105" s="1039">
        <f t="shared" si="943"/>
        <v>-103</v>
      </c>
      <c r="AA1105" s="1038">
        <f>AA1183*AA1173</f>
        <v>-31.109768726268552</v>
      </c>
      <c r="AB1105" s="1038">
        <f>AB1183*AB1173</f>
        <v>-31.109768726268552</v>
      </c>
      <c r="AC1105" s="1038">
        <f>AC1183*AC1173</f>
        <v>-31.109768726268552</v>
      </c>
      <c r="AD1105" s="1038">
        <f>AD1183*AD1173</f>
        <v>-31.109768726268552</v>
      </c>
      <c r="AE1105" s="1039">
        <f t="shared" si="944"/>
        <v>-124.43907490507421</v>
      </c>
      <c r="AF1105" s="1039">
        <f>AF1183*AF1173</f>
        <v>-142.21608560579909</v>
      </c>
      <c r="AG1105" s="1039">
        <f t="shared" ref="AG1105:AL1105" si="947">AG1183*AG1173</f>
        <v>-165.91876654009894</v>
      </c>
      <c r="AH1105" s="1039">
        <f>AH1183*AH1173</f>
        <v>-165.91876654009894</v>
      </c>
      <c r="AI1105" s="1039">
        <f t="shared" si="947"/>
        <v>-165.91876654009894</v>
      </c>
      <c r="AJ1105" s="1039">
        <f t="shared" si="947"/>
        <v>-165.91876654009894</v>
      </c>
      <c r="AK1105" s="1039">
        <f t="shared" si="947"/>
        <v>-165.91876654009894</v>
      </c>
      <c r="AL1105" s="1039">
        <f t="shared" si="947"/>
        <v>-165.91876654009894</v>
      </c>
      <c r="AM1105" s="651"/>
    </row>
    <row r="1106" spans="2:41" s="83" customFormat="1">
      <c r="B1106" s="95" t="s">
        <v>633</v>
      </c>
      <c r="C1106" s="96" t="s">
        <v>225</v>
      </c>
      <c r="D1106" s="134" t="s">
        <v>645</v>
      </c>
      <c r="G1106" s="570">
        <f>SUM(G1102:G1105)</f>
        <v>-4</v>
      </c>
      <c r="H1106" s="570">
        <f t="shared" ref="H1106:V1106" si="948">SUM(H1102:H1105)</f>
        <v>-3</v>
      </c>
      <c r="I1106" s="570">
        <f t="shared" si="948"/>
        <v>-6</v>
      </c>
      <c r="J1106" s="570">
        <f t="shared" si="948"/>
        <v>-5</v>
      </c>
      <c r="K1106" s="570">
        <f t="shared" si="948"/>
        <v>0</v>
      </c>
      <c r="L1106" s="787">
        <f t="shared" si="948"/>
        <v>0</v>
      </c>
      <c r="M1106" s="787">
        <f t="shared" si="948"/>
        <v>-77</v>
      </c>
      <c r="N1106" s="787">
        <f t="shared" si="948"/>
        <v>-223</v>
      </c>
      <c r="O1106" s="787">
        <f t="shared" si="948"/>
        <v>-272</v>
      </c>
      <c r="P1106" s="570">
        <f t="shared" si="948"/>
        <v>-572</v>
      </c>
      <c r="Q1106" s="787">
        <f t="shared" si="948"/>
        <v>-217</v>
      </c>
      <c r="R1106" s="787">
        <f t="shared" si="948"/>
        <v>-261</v>
      </c>
      <c r="S1106" s="787">
        <f t="shared" si="948"/>
        <v>-243</v>
      </c>
      <c r="T1106" s="787">
        <f t="shared" si="948"/>
        <v>-244</v>
      </c>
      <c r="U1106" s="570">
        <f t="shared" si="948"/>
        <v>-965</v>
      </c>
      <c r="V1106" s="787">
        <f t="shared" si="948"/>
        <v>-299</v>
      </c>
      <c r="W1106" s="787">
        <f>SUM(W1102:W1105)</f>
        <v>-139</v>
      </c>
      <c r="X1106" s="787">
        <f>SUM(X1102:X1105)</f>
        <v>-156</v>
      </c>
      <c r="Y1106" s="787">
        <f>SUM(Y1102:Y1105)</f>
        <v>-186</v>
      </c>
      <c r="Z1106" s="570">
        <f t="shared" si="943"/>
        <v>-780</v>
      </c>
      <c r="AA1106" s="787">
        <f>SUM(AA1102:AA1105)</f>
        <v>-129.06494562833691</v>
      </c>
      <c r="AB1106" s="787">
        <f>SUM(AB1102:AB1105)</f>
        <v>-109.70044670997476</v>
      </c>
      <c r="AC1106" s="787">
        <f>SUM(AC1102:AC1105)</f>
        <v>-110.56730383084417</v>
      </c>
      <c r="AD1106" s="787">
        <f>SUM(AD1102:AD1105)</f>
        <v>-110.56730383084417</v>
      </c>
      <c r="AE1106" s="570">
        <f t="shared" si="944"/>
        <v>-459.9</v>
      </c>
      <c r="AF1106" s="570">
        <f>SUM(AF1102:AF1105)</f>
        <v>-444.12921316334439</v>
      </c>
      <c r="AG1106" s="570">
        <f t="shared" ref="AG1106:AL1106" si="949">SUM(AG1102:AG1105)</f>
        <v>-564.68555187721063</v>
      </c>
      <c r="AH1106" s="570">
        <f t="shared" si="949"/>
        <v>-649.89001364632622</v>
      </c>
      <c r="AI1106" s="570">
        <f t="shared" si="949"/>
        <v>-649.89001364632622</v>
      </c>
      <c r="AJ1106" s="570">
        <f t="shared" si="949"/>
        <v>-649.89001364632622</v>
      </c>
      <c r="AK1106" s="570">
        <f t="shared" si="949"/>
        <v>-649.89001364632622</v>
      </c>
      <c r="AL1106" s="570">
        <f t="shared" si="949"/>
        <v>-649.89001364632622</v>
      </c>
      <c r="AM1106" s="651"/>
    </row>
    <row r="1107" spans="2:41" s="83" customFormat="1">
      <c r="B1107" s="95" t="s">
        <v>633</v>
      </c>
      <c r="C1107" s="96" t="s">
        <v>225</v>
      </c>
      <c r="D1107" s="203" t="s">
        <v>226</v>
      </c>
      <c r="G1107" s="94">
        <f>G1101+G1102+G1103+G1104</f>
        <v>5</v>
      </c>
      <c r="H1107" s="94">
        <f t="shared" ref="H1107:U1107" si="950">H1101+H1102+H1103+H1104</f>
        <v>3</v>
      </c>
      <c r="I1107" s="94">
        <f t="shared" si="950"/>
        <v>3</v>
      </c>
      <c r="J1107" s="94">
        <f t="shared" si="950"/>
        <v>2</v>
      </c>
      <c r="K1107" s="94">
        <f t="shared" si="950"/>
        <v>0</v>
      </c>
      <c r="L1107" s="101">
        <f t="shared" si="950"/>
        <v>0</v>
      </c>
      <c r="M1107" s="101">
        <f t="shared" si="950"/>
        <v>13</v>
      </c>
      <c r="N1107" s="101">
        <f t="shared" si="950"/>
        <v>7</v>
      </c>
      <c r="O1107" s="101">
        <f t="shared" si="950"/>
        <v>-126</v>
      </c>
      <c r="P1107" s="94">
        <f t="shared" si="950"/>
        <v>-106</v>
      </c>
      <c r="Q1107" s="101">
        <f t="shared" si="950"/>
        <v>22</v>
      </c>
      <c r="R1107" s="101">
        <f t="shared" si="950"/>
        <v>70</v>
      </c>
      <c r="S1107" s="101">
        <f t="shared" si="950"/>
        <v>49</v>
      </c>
      <c r="T1107" s="101">
        <f t="shared" si="950"/>
        <v>3</v>
      </c>
      <c r="U1107" s="94">
        <f t="shared" si="950"/>
        <v>144</v>
      </c>
      <c r="V1107" s="101">
        <f>V1101+V1102+V1103+V1104</f>
        <v>-90</v>
      </c>
      <c r="W1107" s="101">
        <f>W1101+W1102+W1103+W1104</f>
        <v>-73</v>
      </c>
      <c r="X1107" s="101">
        <f>X1101+X1102+X1103+X1104</f>
        <v>-36</v>
      </c>
      <c r="Y1107" s="101">
        <f>Y1101+Y1102+Y1103+Y1104</f>
        <v>-24</v>
      </c>
      <c r="Z1107" s="94">
        <f t="shared" si="943"/>
        <v>-223</v>
      </c>
      <c r="AA1107" s="101">
        <f>(AA1181*AA1173)/1000</f>
        <v>127.32553440444994</v>
      </c>
      <c r="AB1107" s="101">
        <f>(AB1181*AB1173)/1000</f>
        <v>127.32553440444994</v>
      </c>
      <c r="AC1107" s="101">
        <f>(AC1181*AC1173)/1000</f>
        <v>127.32553440444994</v>
      </c>
      <c r="AD1107" s="101">
        <f>(AD1181*AD1173)/1000</f>
        <v>127.32553440444994</v>
      </c>
      <c r="AE1107" s="94">
        <f t="shared" si="944"/>
        <v>509.30213761779976</v>
      </c>
      <c r="AF1107" s="94">
        <f>(AF1181*AF1173)/1000</f>
        <v>582.05958584891403</v>
      </c>
      <c r="AG1107" s="94">
        <f t="shared" ref="AG1107:AL1107" si="951">(AG1181*AG1173)/1000</f>
        <v>679.06951682373301</v>
      </c>
      <c r="AH1107" s="94">
        <f t="shared" si="951"/>
        <v>679.06951682373301</v>
      </c>
      <c r="AI1107" s="94">
        <f t="shared" si="951"/>
        <v>679.06951682373301</v>
      </c>
      <c r="AJ1107" s="94">
        <f t="shared" si="951"/>
        <v>679.06951682373301</v>
      </c>
      <c r="AK1107" s="94">
        <f t="shared" si="951"/>
        <v>679.06951682373301</v>
      </c>
      <c r="AL1107" s="94">
        <f t="shared" si="951"/>
        <v>679.06951682373301</v>
      </c>
      <c r="AM1107" s="651"/>
    </row>
    <row r="1108" spans="2:41" s="83" customFormat="1">
      <c r="B1108" s="95" t="s">
        <v>633</v>
      </c>
      <c r="C1108" s="96" t="s">
        <v>225</v>
      </c>
      <c r="D1108" s="183" t="s">
        <v>178</v>
      </c>
      <c r="E1108" s="103"/>
      <c r="F1108" s="103"/>
      <c r="G1108" s="116">
        <f>G1107+G1105</f>
        <v>2</v>
      </c>
      <c r="H1108" s="116">
        <f t="shared" ref="H1108:V1108" si="952">H1107+H1105</f>
        <v>0</v>
      </c>
      <c r="I1108" s="116">
        <f t="shared" si="952"/>
        <v>-2</v>
      </c>
      <c r="J1108" s="116">
        <f t="shared" si="952"/>
        <v>-3</v>
      </c>
      <c r="K1108" s="116">
        <f t="shared" si="952"/>
        <v>0</v>
      </c>
      <c r="L1108" s="117">
        <f t="shared" si="952"/>
        <v>0</v>
      </c>
      <c r="M1108" s="117">
        <f t="shared" si="952"/>
        <v>1</v>
      </c>
      <c r="N1108" s="117">
        <f t="shared" si="952"/>
        <v>-14</v>
      </c>
      <c r="O1108" s="117">
        <f t="shared" si="952"/>
        <v>-152</v>
      </c>
      <c r="P1108" s="116">
        <f t="shared" si="952"/>
        <v>-165</v>
      </c>
      <c r="Q1108" s="117">
        <f t="shared" si="952"/>
        <v>-5</v>
      </c>
      <c r="R1108" s="117">
        <f t="shared" si="952"/>
        <v>34</v>
      </c>
      <c r="S1108" s="117">
        <f t="shared" si="952"/>
        <v>12</v>
      </c>
      <c r="T1108" s="117">
        <f t="shared" si="952"/>
        <v>-31</v>
      </c>
      <c r="U1108" s="116">
        <f t="shared" si="952"/>
        <v>10</v>
      </c>
      <c r="V1108" s="117">
        <f t="shared" si="952"/>
        <v>-123</v>
      </c>
      <c r="W1108" s="117">
        <f>W1107+W1105</f>
        <v>-95</v>
      </c>
      <c r="X1108" s="117">
        <f>X1107+X1105</f>
        <v>-62</v>
      </c>
      <c r="Y1108" s="117">
        <f>Y1107+Y1105</f>
        <v>-46</v>
      </c>
      <c r="Z1108" s="116">
        <f t="shared" si="943"/>
        <v>-326</v>
      </c>
      <c r="AA1108" s="117">
        <f>AA1107+AA1105</f>
        <v>96.215765678181384</v>
      </c>
      <c r="AB1108" s="117">
        <f>AB1107+AB1105</f>
        <v>96.215765678181384</v>
      </c>
      <c r="AC1108" s="117">
        <f>AC1107+AC1105</f>
        <v>96.215765678181384</v>
      </c>
      <c r="AD1108" s="117">
        <f>AD1107+AD1105</f>
        <v>96.215765678181384</v>
      </c>
      <c r="AE1108" s="116">
        <f t="shared" si="944"/>
        <v>384.86306271272554</v>
      </c>
      <c r="AF1108" s="116">
        <f>AF1107+AF1105</f>
        <v>439.84350024311493</v>
      </c>
      <c r="AG1108" s="116">
        <f t="shared" ref="AG1108:AL1108" si="953">AG1107+AG1105</f>
        <v>513.15075028363412</v>
      </c>
      <c r="AH1108" s="116">
        <f t="shared" si="953"/>
        <v>513.15075028363412</v>
      </c>
      <c r="AI1108" s="116">
        <f t="shared" si="953"/>
        <v>513.15075028363412</v>
      </c>
      <c r="AJ1108" s="116">
        <f t="shared" si="953"/>
        <v>513.15075028363412</v>
      </c>
      <c r="AK1108" s="116">
        <f t="shared" si="953"/>
        <v>513.15075028363412</v>
      </c>
      <c r="AL1108" s="116">
        <f t="shared" si="953"/>
        <v>513.15075028363412</v>
      </c>
      <c r="AM1108" s="651"/>
    </row>
    <row r="1109" spans="2:41" s="134" customFormat="1">
      <c r="B1109" s="228" t="s">
        <v>64</v>
      </c>
      <c r="C1109" s="229" t="s">
        <v>65</v>
      </c>
      <c r="D1109" s="203" t="s">
        <v>162</v>
      </c>
      <c r="E1109" s="203"/>
      <c r="G1109" s="259">
        <v>-12</v>
      </c>
      <c r="H1109" s="259">
        <v>-6</v>
      </c>
      <c r="I1109" s="259">
        <v>-14</v>
      </c>
      <c r="J1109" s="259">
        <v>-30</v>
      </c>
      <c r="K1109" s="259"/>
      <c r="L1109" s="180">
        <v>11</v>
      </c>
      <c r="M1109" s="180">
        <v>-2</v>
      </c>
      <c r="N1109" s="180">
        <v>-2</v>
      </c>
      <c r="O1109" s="91">
        <f>P1109-L1109-M1109-N1109</f>
        <v>-6</v>
      </c>
      <c r="P1109" s="259">
        <v>1</v>
      </c>
      <c r="Q1109" s="180">
        <v>-8</v>
      </c>
      <c r="R1109" s="91">
        <v>-3</v>
      </c>
      <c r="S1109" s="91">
        <v>-9</v>
      </c>
      <c r="T1109" s="91">
        <f>U1109-Q1109-R1109-S1109</f>
        <v>-6</v>
      </c>
      <c r="U1109" s="259">
        <v>-26</v>
      </c>
      <c r="V1109" s="180">
        <v>-5</v>
      </c>
      <c r="W1109" s="180">
        <v>-6</v>
      </c>
      <c r="X1109" s="180">
        <v>3</v>
      </c>
      <c r="Y1109" s="180">
        <v>-20</v>
      </c>
      <c r="Z1109" s="208">
        <f>SUM(V1109:Y1109)</f>
        <v>-28</v>
      </c>
      <c r="AA1109" s="181">
        <f>AE1109/4</f>
        <v>-7</v>
      </c>
      <c r="AB1109" s="181">
        <f>(AE1109-AA1109)/3</f>
        <v>-7</v>
      </c>
      <c r="AC1109" s="181">
        <f>(AF1109-AB1109)/3</f>
        <v>-7</v>
      </c>
      <c r="AD1109" s="181">
        <f>AE1109-AA1109-AB1109-AC1109</f>
        <v>-7</v>
      </c>
      <c r="AE1109" s="312">
        <f>Z1109</f>
        <v>-28</v>
      </c>
      <c r="AF1109" s="312">
        <f>AE1109</f>
        <v>-28</v>
      </c>
      <c r="AG1109" s="312">
        <f t="shared" ref="AG1109:AL1109" si="954">AF1109</f>
        <v>-28</v>
      </c>
      <c r="AH1109" s="312">
        <f t="shared" si="954"/>
        <v>-28</v>
      </c>
      <c r="AI1109" s="312">
        <f t="shared" si="954"/>
        <v>-28</v>
      </c>
      <c r="AJ1109" s="312">
        <f t="shared" si="954"/>
        <v>-28</v>
      </c>
      <c r="AK1109" s="312">
        <f t="shared" si="954"/>
        <v>-28</v>
      </c>
      <c r="AL1109" s="312">
        <f t="shared" si="954"/>
        <v>-28</v>
      </c>
      <c r="AM1109" s="651"/>
      <c r="AN1109" s="306"/>
      <c r="AO1109" s="306"/>
    </row>
    <row r="1110" spans="2:41" s="134" customFormat="1">
      <c r="B1110" s="228" t="s">
        <v>64</v>
      </c>
      <c r="C1110" s="229" t="s">
        <v>65</v>
      </c>
      <c r="D1110" s="203" t="s">
        <v>186</v>
      </c>
      <c r="E1110" s="203"/>
      <c r="G1110" s="196"/>
      <c r="H1110" s="259"/>
      <c r="I1110" s="259">
        <v>-1062</v>
      </c>
      <c r="J1110" s="259">
        <v>-248</v>
      </c>
      <c r="K1110" s="259">
        <v>-3</v>
      </c>
      <c r="L1110" s="180">
        <v>0</v>
      </c>
      <c r="M1110" s="180">
        <v>0</v>
      </c>
      <c r="N1110" s="180">
        <v>0</v>
      </c>
      <c r="O1110" s="91">
        <f>P1110-L1110-M1110-N1110</f>
        <v>0</v>
      </c>
      <c r="P1110" s="259">
        <v>0</v>
      </c>
      <c r="Q1110" s="180">
        <v>0</v>
      </c>
      <c r="R1110" s="91">
        <v>0</v>
      </c>
      <c r="S1110" s="180">
        <v>0</v>
      </c>
      <c r="T1110" s="91">
        <f>U1110-Q1110-R1110-S1110</f>
        <v>-2370</v>
      </c>
      <c r="U1110" s="259">
        <v>-2370</v>
      </c>
      <c r="V1110" s="180">
        <v>-647</v>
      </c>
      <c r="W1110" s="180">
        <v>0</v>
      </c>
      <c r="X1110" s="180">
        <v>0</v>
      </c>
      <c r="Y1110" s="180">
        <v>-597</v>
      </c>
      <c r="Z1110" s="208">
        <f>SUM(V1110:Y1110)</f>
        <v>-1244</v>
      </c>
      <c r="AA1110" s="181">
        <f>AE1110/4</f>
        <v>0</v>
      </c>
      <c r="AB1110" s="181">
        <f>(AE1110-AA1110)/3</f>
        <v>0</v>
      </c>
      <c r="AC1110" s="181">
        <f>(AF1110-AB1110)/3</f>
        <v>0</v>
      </c>
      <c r="AD1110" s="181">
        <f>AE1110-AA1110-AB1110-AC1110</f>
        <v>0</v>
      </c>
      <c r="AE1110" s="312">
        <v>0</v>
      </c>
      <c r="AF1110" s="312">
        <f>AE1110</f>
        <v>0</v>
      </c>
      <c r="AG1110" s="312">
        <f t="shared" ref="AG1110:AL1110" si="955">AF1110</f>
        <v>0</v>
      </c>
      <c r="AH1110" s="312">
        <f t="shared" si="955"/>
        <v>0</v>
      </c>
      <c r="AI1110" s="312">
        <f t="shared" si="955"/>
        <v>0</v>
      </c>
      <c r="AJ1110" s="312">
        <f t="shared" si="955"/>
        <v>0</v>
      </c>
      <c r="AK1110" s="312">
        <f t="shared" si="955"/>
        <v>0</v>
      </c>
      <c r="AL1110" s="312">
        <f t="shared" si="955"/>
        <v>0</v>
      </c>
      <c r="AM1110" s="651"/>
      <c r="AN1110" s="306"/>
      <c r="AO1110" s="306"/>
    </row>
    <row r="1111" spans="2:41" s="134" customFormat="1">
      <c r="B1111" s="228" t="s">
        <v>64</v>
      </c>
      <c r="C1111" s="229" t="s">
        <v>65</v>
      </c>
      <c r="D1111" s="103" t="s">
        <v>164</v>
      </c>
      <c r="E1111" s="103"/>
      <c r="F1111" s="103"/>
      <c r="G1111" s="184">
        <f>SUM(G1108:G1110)</f>
        <v>-10</v>
      </c>
      <c r="H1111" s="184">
        <f t="shared" ref="H1111:Z1111" si="956">SUM(H1108:H1110)</f>
        <v>-6</v>
      </c>
      <c r="I1111" s="184">
        <f t="shared" si="956"/>
        <v>-1078</v>
      </c>
      <c r="J1111" s="184">
        <f t="shared" si="956"/>
        <v>-281</v>
      </c>
      <c r="K1111" s="184">
        <f t="shared" si="956"/>
        <v>-3</v>
      </c>
      <c r="L1111" s="106">
        <f t="shared" si="956"/>
        <v>11</v>
      </c>
      <c r="M1111" s="106">
        <f t="shared" si="956"/>
        <v>-1</v>
      </c>
      <c r="N1111" s="106">
        <f t="shared" si="956"/>
        <v>-16</v>
      </c>
      <c r="O1111" s="106">
        <f t="shared" si="956"/>
        <v>-158</v>
      </c>
      <c r="P1111" s="184">
        <f t="shared" si="956"/>
        <v>-164</v>
      </c>
      <c r="Q1111" s="106">
        <f t="shared" si="956"/>
        <v>-13</v>
      </c>
      <c r="R1111" s="106">
        <f t="shared" si="956"/>
        <v>31</v>
      </c>
      <c r="S1111" s="106">
        <f t="shared" si="956"/>
        <v>3</v>
      </c>
      <c r="T1111" s="106">
        <f t="shared" si="956"/>
        <v>-2407</v>
      </c>
      <c r="U1111" s="184">
        <f>SUM(U1108:U1110)</f>
        <v>-2386</v>
      </c>
      <c r="V1111" s="106">
        <f t="shared" si="956"/>
        <v>-775</v>
      </c>
      <c r="W1111" s="106">
        <f t="shared" si="956"/>
        <v>-101</v>
      </c>
      <c r="X1111" s="106">
        <f t="shared" si="956"/>
        <v>-59</v>
      </c>
      <c r="Y1111" s="106">
        <f t="shared" si="956"/>
        <v>-663</v>
      </c>
      <c r="Z1111" s="184">
        <f t="shared" si="956"/>
        <v>-1598</v>
      </c>
      <c r="AA1111" s="106">
        <f>SUM(AA1108:AA1110)</f>
        <v>89.215765678181384</v>
      </c>
      <c r="AB1111" s="106">
        <f>SUM(AB1108:AB1110)</f>
        <v>89.215765678181384</v>
      </c>
      <c r="AC1111" s="106">
        <f>SUM(AC1108:AC1110)</f>
        <v>89.215765678181384</v>
      </c>
      <c r="AD1111" s="106">
        <f>SUM(AD1108:AD1110)</f>
        <v>89.215765678181384</v>
      </c>
      <c r="AE1111" s="675">
        <f>SUM(AE1109:AE1110)</f>
        <v>-28</v>
      </c>
      <c r="AF1111" s="675">
        <f>SUM(AF1109:AF1110)</f>
        <v>-28</v>
      </c>
      <c r="AG1111" s="675">
        <f t="shared" ref="AG1111:AL1111" si="957">SUM(AG1109:AG1110)</f>
        <v>-28</v>
      </c>
      <c r="AH1111" s="675">
        <f t="shared" si="957"/>
        <v>-28</v>
      </c>
      <c r="AI1111" s="675">
        <f t="shared" si="957"/>
        <v>-28</v>
      </c>
      <c r="AJ1111" s="675">
        <f t="shared" si="957"/>
        <v>-28</v>
      </c>
      <c r="AK1111" s="675">
        <f t="shared" si="957"/>
        <v>-28</v>
      </c>
      <c r="AL1111" s="675">
        <f t="shared" si="957"/>
        <v>-28</v>
      </c>
      <c r="AM1111" s="651"/>
      <c r="AN1111" s="306"/>
      <c r="AO1111" s="306"/>
    </row>
    <row r="1112" spans="2:41" s="134" customFormat="1">
      <c r="B1112" s="228" t="s">
        <v>64</v>
      </c>
      <c r="C1112" s="229" t="s">
        <v>65</v>
      </c>
      <c r="D1112" s="134" t="s">
        <v>165</v>
      </c>
      <c r="G1112" s="259">
        <v>0</v>
      </c>
      <c r="H1112" s="259">
        <v>0</v>
      </c>
      <c r="I1112" s="259">
        <v>0</v>
      </c>
      <c r="J1112" s="259">
        <v>-6</v>
      </c>
      <c r="K1112" s="259">
        <v>-7</v>
      </c>
      <c r="L1112" s="180">
        <v>-1</v>
      </c>
      <c r="M1112" s="180">
        <v>-3</v>
      </c>
      <c r="N1112" s="180">
        <v>-7</v>
      </c>
      <c r="O1112" s="91">
        <f>P1112-L1112-M1112-N1112</f>
        <v>-5</v>
      </c>
      <c r="P1112" s="259">
        <v>-16</v>
      </c>
      <c r="Q1112" s="180">
        <v>-6</v>
      </c>
      <c r="R1112" s="91">
        <v>-9</v>
      </c>
      <c r="S1112" s="91">
        <v>-5</v>
      </c>
      <c r="T1112" s="91">
        <f>U1112-Q1112-R1112-S1112</f>
        <v>-7</v>
      </c>
      <c r="U1112" s="259">
        <v>-27</v>
      </c>
      <c r="V1112" s="180">
        <v>-6</v>
      </c>
      <c r="W1112" s="180">
        <v>-7</v>
      </c>
      <c r="X1112" s="180">
        <v>-6</v>
      </c>
      <c r="Y1112" s="180">
        <v>-7</v>
      </c>
      <c r="Z1112" s="208">
        <f>SUM(V1112:Y1112)</f>
        <v>-26</v>
      </c>
      <c r="AA1112" s="181">
        <f>AE1112/4</f>
        <v>-6.5</v>
      </c>
      <c r="AB1112" s="181">
        <f>(AE1112-AA1112)/3</f>
        <v>-6.5</v>
      </c>
      <c r="AC1112" s="181">
        <f>(AF1112-AB1112)/3</f>
        <v>-6.5</v>
      </c>
      <c r="AD1112" s="181">
        <f>AE1112-AA1112-AB1112-AC1112</f>
        <v>-6.5</v>
      </c>
      <c r="AE1112" s="208">
        <f>Z1112</f>
        <v>-26</v>
      </c>
      <c r="AF1112" s="208">
        <f>AE1112</f>
        <v>-26</v>
      </c>
      <c r="AG1112" s="208">
        <f t="shared" ref="AG1112:AL1112" si="958">AF1112</f>
        <v>-26</v>
      </c>
      <c r="AH1112" s="208">
        <f t="shared" si="958"/>
        <v>-26</v>
      </c>
      <c r="AI1112" s="208">
        <f t="shared" si="958"/>
        <v>-26</v>
      </c>
      <c r="AJ1112" s="208">
        <f t="shared" si="958"/>
        <v>-26</v>
      </c>
      <c r="AK1112" s="208">
        <f t="shared" si="958"/>
        <v>-26</v>
      </c>
      <c r="AL1112" s="208">
        <f t="shared" si="958"/>
        <v>-26</v>
      </c>
      <c r="AM1112" s="651"/>
      <c r="AN1112" s="306"/>
      <c r="AO1112" s="306"/>
    </row>
    <row r="1113" spans="2:41" s="134" customFormat="1">
      <c r="B1113" s="228" t="s">
        <v>64</v>
      </c>
      <c r="C1113" s="229" t="s">
        <v>65</v>
      </c>
      <c r="D1113" s="134" t="s">
        <v>175</v>
      </c>
      <c r="G1113" s="259">
        <v>-2</v>
      </c>
      <c r="H1113" s="259">
        <v>-1</v>
      </c>
      <c r="I1113" s="259">
        <v>0</v>
      </c>
      <c r="J1113" s="259">
        <v>0</v>
      </c>
      <c r="K1113" s="259">
        <v>0</v>
      </c>
      <c r="L1113" s="180">
        <v>-1</v>
      </c>
      <c r="M1113" s="180">
        <v>2</v>
      </c>
      <c r="N1113" s="180">
        <v>-1</v>
      </c>
      <c r="O1113" s="91">
        <f>P1113-L1113-M1113-N1113</f>
        <v>0</v>
      </c>
      <c r="P1113" s="259">
        <v>0</v>
      </c>
      <c r="Q1113" s="180">
        <v>-2</v>
      </c>
      <c r="R1113" s="91">
        <v>0</v>
      </c>
      <c r="S1113" s="91"/>
      <c r="T1113" s="91">
        <f>U1113-Q1113-R1113-S1113</f>
        <v>0</v>
      </c>
      <c r="U1113" s="259">
        <v>-2</v>
      </c>
      <c r="V1113" s="180">
        <v>1</v>
      </c>
      <c r="W1113" s="180">
        <v>0</v>
      </c>
      <c r="X1113" s="180">
        <v>0</v>
      </c>
      <c r="Y1113" s="180">
        <f ca="1">Z1113-V1113-W1113-X1113</f>
        <v>-1</v>
      </c>
      <c r="Z1113" s="208">
        <f ca="1">SUM(V1113:Y1113)</f>
        <v>0</v>
      </c>
      <c r="AA1113" s="181">
        <f>AE1113/4</f>
        <v>0</v>
      </c>
      <c r="AB1113" s="181">
        <f>(AE1113-AA1113)/3</f>
        <v>0</v>
      </c>
      <c r="AC1113" s="181">
        <f>(AF1113-AB1113)/3</f>
        <v>0</v>
      </c>
      <c r="AD1113" s="181">
        <f>AE1113-AA1113-AB1113-AC1113</f>
        <v>0</v>
      </c>
      <c r="AE1113" s="208">
        <v>0</v>
      </c>
      <c r="AF1113" s="208">
        <v>0</v>
      </c>
      <c r="AG1113" s="208">
        <v>1</v>
      </c>
      <c r="AH1113" s="208">
        <v>2</v>
      </c>
      <c r="AI1113" s="208">
        <v>3</v>
      </c>
      <c r="AJ1113" s="208">
        <v>4</v>
      </c>
      <c r="AK1113" s="208">
        <v>5</v>
      </c>
      <c r="AL1113" s="208">
        <v>6</v>
      </c>
      <c r="AM1113" s="651"/>
      <c r="AN1113" s="306"/>
      <c r="AO1113" s="306"/>
    </row>
    <row r="1114" spans="2:41" s="134" customFormat="1">
      <c r="B1114" s="228" t="s">
        <v>64</v>
      </c>
      <c r="C1114" s="229" t="s">
        <v>65</v>
      </c>
      <c r="D1114" s="103" t="s">
        <v>166</v>
      </c>
      <c r="E1114" s="103"/>
      <c r="F1114" s="103"/>
      <c r="G1114" s="184">
        <f>SUM(G1111:G1113)</f>
        <v>-12</v>
      </c>
      <c r="H1114" s="184">
        <f>SUM(H1111:H1113)</f>
        <v>-7</v>
      </c>
      <c r="I1114" s="184">
        <f>SUM(I1111:I1113)</f>
        <v>-1078</v>
      </c>
      <c r="J1114" s="184">
        <f t="shared" ref="J1114:Q1114" si="959">SUM(J1111:J1113)</f>
        <v>-287</v>
      </c>
      <c r="K1114" s="184">
        <f t="shared" si="959"/>
        <v>-10</v>
      </c>
      <c r="L1114" s="106">
        <f t="shared" si="959"/>
        <v>9</v>
      </c>
      <c r="M1114" s="106">
        <f t="shared" si="959"/>
        <v>-2</v>
      </c>
      <c r="N1114" s="106">
        <f t="shared" si="959"/>
        <v>-24</v>
      </c>
      <c r="O1114" s="106">
        <f>P1114-L1114-M1114-N1114</f>
        <v>-163</v>
      </c>
      <c r="P1114" s="184">
        <f t="shared" si="959"/>
        <v>-180</v>
      </c>
      <c r="Q1114" s="106">
        <f t="shared" si="959"/>
        <v>-21</v>
      </c>
      <c r="R1114" s="106">
        <f t="shared" ref="R1114:AF1114" si="960">SUM(R1111:R1113)</f>
        <v>22</v>
      </c>
      <c r="S1114" s="106">
        <f t="shared" si="960"/>
        <v>-2</v>
      </c>
      <c r="T1114" s="106">
        <f>U1114-Q1114-R1114-S1114</f>
        <v>-2414</v>
      </c>
      <c r="U1114" s="184">
        <f t="shared" si="960"/>
        <v>-2415</v>
      </c>
      <c r="V1114" s="106">
        <f t="shared" si="960"/>
        <v>-780</v>
      </c>
      <c r="W1114" s="106">
        <f t="shared" si="960"/>
        <v>-108</v>
      </c>
      <c r="X1114" s="106">
        <f t="shared" si="960"/>
        <v>-65</v>
      </c>
      <c r="Y1114" s="106">
        <f ca="1">SUM(Y1111:Y1113)</f>
        <v>-671</v>
      </c>
      <c r="Z1114" s="184">
        <f t="shared" ca="1" si="960"/>
        <v>-1624</v>
      </c>
      <c r="AA1114" s="106">
        <f>SUM(AA1111:AA1113)</f>
        <v>82.715765678181384</v>
      </c>
      <c r="AB1114" s="106">
        <f>SUM(AB1111:AB1113)</f>
        <v>82.715765678181384</v>
      </c>
      <c r="AC1114" s="106">
        <f>SUM(AC1111:AC1113)</f>
        <v>82.715765678181384</v>
      </c>
      <c r="AD1114" s="106">
        <f>SUM(AD1111:AD1113)</f>
        <v>82.715765678181384</v>
      </c>
      <c r="AE1114" s="184">
        <f>SUM(AA1114:AD1114)</f>
        <v>330.86306271272554</v>
      </c>
      <c r="AF1114" s="184">
        <f t="shared" si="960"/>
        <v>-54</v>
      </c>
      <c r="AG1114" s="184">
        <f t="shared" ref="AG1114:AL1114" si="961">SUM(AG1111:AG1113)</f>
        <v>-53</v>
      </c>
      <c r="AH1114" s="184">
        <f t="shared" si="961"/>
        <v>-52</v>
      </c>
      <c r="AI1114" s="184">
        <f t="shared" si="961"/>
        <v>-51</v>
      </c>
      <c r="AJ1114" s="184">
        <f t="shared" si="961"/>
        <v>-50</v>
      </c>
      <c r="AK1114" s="184">
        <f t="shared" si="961"/>
        <v>-49</v>
      </c>
      <c r="AL1114" s="184">
        <f t="shared" si="961"/>
        <v>-48</v>
      </c>
      <c r="AM1114" s="651"/>
      <c r="AN1114" s="306"/>
      <c r="AO1114" s="306"/>
    </row>
    <row r="1115" spans="2:41" s="134" customFormat="1">
      <c r="B1115" s="228" t="s">
        <v>221</v>
      </c>
      <c r="C1115" s="229" t="s">
        <v>103</v>
      </c>
      <c r="D1115" s="134" t="s">
        <v>173</v>
      </c>
      <c r="G1115" s="208"/>
      <c r="H1115" s="208"/>
      <c r="I1115" s="208"/>
      <c r="J1115" s="208"/>
      <c r="K1115" s="208"/>
      <c r="L1115" s="181"/>
      <c r="M1115" s="181"/>
      <c r="N1115" s="181"/>
      <c r="O1115" s="181"/>
      <c r="P1115" s="208"/>
      <c r="Q1115" s="181"/>
      <c r="R1115" s="181"/>
      <c r="S1115" s="181"/>
      <c r="T1115" s="181"/>
      <c r="U1115" s="208">
        <v>0</v>
      </c>
      <c r="V1115" s="181"/>
      <c r="W1115" s="181"/>
      <c r="X1115" s="181"/>
      <c r="Y1115" s="181"/>
      <c r="Z1115" s="306">
        <v>0</v>
      </c>
      <c r="AA1115" s="307"/>
      <c r="AB1115" s="307"/>
      <c r="AC1115" s="307"/>
      <c r="AD1115" s="307"/>
      <c r="AE1115" s="306">
        <v>0.3</v>
      </c>
      <c r="AF1115" s="306"/>
      <c r="AG1115" s="306"/>
      <c r="AH1115" s="306"/>
      <c r="AI1115" s="306"/>
      <c r="AJ1115" s="306"/>
      <c r="AK1115" s="306"/>
      <c r="AL1115" s="306"/>
      <c r="AM1115" s="651"/>
      <c r="AN1115" s="306"/>
      <c r="AO1115" s="306"/>
    </row>
    <row r="1116" spans="2:41" s="134" customFormat="1">
      <c r="B1116" s="228" t="s">
        <v>64</v>
      </c>
      <c r="C1116" s="229" t="s">
        <v>65</v>
      </c>
      <c r="D1116" s="134" t="s">
        <v>167</v>
      </c>
      <c r="G1116" s="306"/>
      <c r="H1116" s="306"/>
      <c r="I1116" s="306"/>
      <c r="J1116" s="306"/>
      <c r="K1116" s="306"/>
      <c r="L1116" s="307"/>
      <c r="M1116" s="307"/>
      <c r="N1116" s="307"/>
      <c r="O1116" s="307"/>
      <c r="P1116" s="306"/>
      <c r="Q1116" s="307"/>
      <c r="R1116" s="307"/>
      <c r="S1116" s="307"/>
      <c r="T1116" s="307"/>
      <c r="U1116" s="306"/>
      <c r="V1116" s="307"/>
      <c r="W1116" s="307"/>
      <c r="X1116" s="307"/>
      <c r="Y1116" s="307"/>
      <c r="Z1116" s="306"/>
      <c r="AA1116" s="307"/>
      <c r="AB1116" s="307"/>
      <c r="AC1116" s="307"/>
      <c r="AD1116" s="307"/>
      <c r="AE1116" s="306"/>
      <c r="AF1116" s="306"/>
      <c r="AG1116" s="306"/>
      <c r="AH1116" s="306"/>
      <c r="AI1116" s="306"/>
      <c r="AJ1116" s="306"/>
      <c r="AK1116" s="306"/>
      <c r="AL1116" s="306"/>
      <c r="AM1116" s="651"/>
      <c r="AN1116" s="306"/>
      <c r="AO1116" s="306"/>
    </row>
    <row r="1117" spans="2:41" s="134" customFormat="1">
      <c r="B1117" s="228" t="s">
        <v>64</v>
      </c>
      <c r="C1117" s="229" t="s">
        <v>65</v>
      </c>
      <c r="D1117" s="134" t="s">
        <v>168</v>
      </c>
      <c r="G1117" s="306"/>
      <c r="H1117" s="306"/>
      <c r="I1117" s="306"/>
      <c r="J1117" s="306"/>
      <c r="K1117" s="306"/>
      <c r="L1117" s="307"/>
      <c r="M1117" s="307"/>
      <c r="N1117" s="307"/>
      <c r="O1117" s="307"/>
      <c r="P1117" s="306"/>
      <c r="Q1117" s="307"/>
      <c r="R1117" s="307"/>
      <c r="S1117" s="307"/>
      <c r="T1117" s="307"/>
      <c r="U1117" s="306"/>
      <c r="V1117" s="307"/>
      <c r="W1117" s="307"/>
      <c r="X1117" s="307"/>
      <c r="Y1117" s="307"/>
      <c r="Z1117" s="306"/>
      <c r="AA1117" s="307"/>
      <c r="AB1117" s="307"/>
      <c r="AC1117" s="307"/>
      <c r="AD1117" s="307"/>
      <c r="AE1117" s="306"/>
      <c r="AF1117" s="306"/>
      <c r="AG1117" s="306"/>
      <c r="AH1117" s="306"/>
      <c r="AI1117" s="306"/>
      <c r="AJ1117" s="306"/>
      <c r="AK1117" s="306"/>
      <c r="AL1117" s="306"/>
      <c r="AM1117" s="651"/>
      <c r="AN1117" s="306"/>
      <c r="AO1117" s="306"/>
    </row>
    <row r="1118" spans="2:41" s="134" customFormat="1">
      <c r="B1118" s="228"/>
      <c r="C1118" s="229"/>
      <c r="G1118" s="306"/>
      <c r="H1118" s="306"/>
      <c r="I1118" s="306"/>
      <c r="J1118" s="306"/>
      <c r="K1118" s="306"/>
      <c r="L1118" s="307"/>
      <c r="M1118" s="307"/>
      <c r="N1118" s="307"/>
      <c r="O1118" s="307"/>
      <c r="P1118" s="306"/>
      <c r="Q1118" s="307"/>
      <c r="R1118" s="307"/>
      <c r="S1118" s="307"/>
      <c r="T1118" s="307"/>
      <c r="U1118" s="306"/>
      <c r="V1118" s="307"/>
      <c r="W1118" s="307"/>
      <c r="X1118" s="307"/>
      <c r="Y1118" s="307"/>
      <c r="Z1118" s="306"/>
      <c r="AA1118" s="307"/>
      <c r="AB1118" s="307"/>
      <c r="AC1118" s="307"/>
      <c r="AD1118" s="307"/>
      <c r="AE1118" s="306"/>
      <c r="AF1118" s="306"/>
      <c r="AG1118" s="306"/>
      <c r="AH1118" s="306"/>
      <c r="AI1118" s="306"/>
      <c r="AJ1118" s="306"/>
      <c r="AK1118" s="306"/>
      <c r="AL1118" s="306"/>
      <c r="AM1118" s="651"/>
      <c r="AN1118" s="306"/>
      <c r="AO1118" s="306"/>
    </row>
    <row r="1119" spans="2:41" s="134" customFormat="1">
      <c r="B1119" s="292" t="s">
        <v>64</v>
      </c>
      <c r="C1119" s="269" t="s">
        <v>65</v>
      </c>
      <c r="D1119" s="136" t="s">
        <v>228</v>
      </c>
      <c r="E1119" s="136"/>
      <c r="F1119" s="136"/>
      <c r="G1119" s="237">
        <f>G1111-G1105</f>
        <v>-7</v>
      </c>
      <c r="H1119" s="237">
        <f t="shared" ref="H1119:V1119" si="962">H1111-H1105</f>
        <v>-3</v>
      </c>
      <c r="I1119" s="237">
        <f t="shared" si="962"/>
        <v>-1073</v>
      </c>
      <c r="J1119" s="237">
        <f t="shared" si="962"/>
        <v>-276</v>
      </c>
      <c r="K1119" s="237">
        <f t="shared" si="962"/>
        <v>-3</v>
      </c>
      <c r="L1119" s="238">
        <f t="shared" si="962"/>
        <v>11</v>
      </c>
      <c r="M1119" s="238">
        <f t="shared" si="962"/>
        <v>11</v>
      </c>
      <c r="N1119" s="238">
        <f t="shared" si="962"/>
        <v>5</v>
      </c>
      <c r="O1119" s="238">
        <f t="shared" si="962"/>
        <v>-132</v>
      </c>
      <c r="P1119" s="237">
        <f t="shared" si="962"/>
        <v>-105</v>
      </c>
      <c r="Q1119" s="238">
        <f t="shared" si="962"/>
        <v>14</v>
      </c>
      <c r="R1119" s="238">
        <f t="shared" si="962"/>
        <v>67</v>
      </c>
      <c r="S1119" s="238">
        <f t="shared" si="962"/>
        <v>40</v>
      </c>
      <c r="T1119" s="238">
        <f t="shared" si="962"/>
        <v>-2373</v>
      </c>
      <c r="U1119" s="237">
        <f>U1111-U1105</f>
        <v>-2252</v>
      </c>
      <c r="V1119" s="238">
        <f t="shared" si="962"/>
        <v>-742</v>
      </c>
      <c r="W1119" s="238">
        <f t="shared" ref="W1119:AD1119" si="963">W1111-W1105</f>
        <v>-79</v>
      </c>
      <c r="X1119" s="238">
        <f t="shared" si="963"/>
        <v>-33</v>
      </c>
      <c r="Y1119" s="238">
        <f t="shared" si="963"/>
        <v>-641</v>
      </c>
      <c r="Z1119" s="237">
        <f>Z1111-Z1105</f>
        <v>-1495</v>
      </c>
      <c r="AA1119" s="238">
        <f>AA1111-AA1105</f>
        <v>120.32553440444994</v>
      </c>
      <c r="AB1119" s="238">
        <f t="shared" si="963"/>
        <v>120.32553440444994</v>
      </c>
      <c r="AC1119" s="238">
        <f t="shared" si="963"/>
        <v>120.32553440444994</v>
      </c>
      <c r="AD1119" s="238">
        <f t="shared" si="963"/>
        <v>120.32553440444994</v>
      </c>
      <c r="AE1119" s="237">
        <f>SUM(AA1119:AD1119)</f>
        <v>481.30213761779976</v>
      </c>
      <c r="AF1119" s="237">
        <f>AF1111-AF1105</f>
        <v>114.21608560579909</v>
      </c>
      <c r="AG1119" s="237">
        <f t="shared" ref="AG1119:AL1119" si="964">AG1111-AG1105</f>
        <v>137.91876654009894</v>
      </c>
      <c r="AH1119" s="237">
        <f t="shared" si="964"/>
        <v>137.91876654009894</v>
      </c>
      <c r="AI1119" s="237">
        <f t="shared" si="964"/>
        <v>137.91876654009894</v>
      </c>
      <c r="AJ1119" s="237">
        <f t="shared" si="964"/>
        <v>137.91876654009894</v>
      </c>
      <c r="AK1119" s="237">
        <f t="shared" si="964"/>
        <v>137.91876654009894</v>
      </c>
      <c r="AL1119" s="237">
        <f t="shared" si="964"/>
        <v>137.91876654009894</v>
      </c>
      <c r="AM1119" s="651"/>
      <c r="AN1119" s="306"/>
      <c r="AO1119" s="306"/>
    </row>
    <row r="1120" spans="2:41" s="134" customFormat="1">
      <c r="B1120" s="292" t="s">
        <v>64</v>
      </c>
      <c r="C1120" s="269" t="s">
        <v>65</v>
      </c>
      <c r="D1120" s="136" t="s">
        <v>236</v>
      </c>
      <c r="E1120" s="136"/>
      <c r="F1120" s="136"/>
      <c r="G1120" s="237">
        <f>G1119-G1110</f>
        <v>-7</v>
      </c>
      <c r="H1120" s="237">
        <f t="shared" ref="H1120:V1120" si="965">H1119-H1110</f>
        <v>-3</v>
      </c>
      <c r="I1120" s="237">
        <f t="shared" si="965"/>
        <v>-11</v>
      </c>
      <c r="J1120" s="237">
        <f t="shared" si="965"/>
        <v>-28</v>
      </c>
      <c r="K1120" s="237">
        <f t="shared" si="965"/>
        <v>0</v>
      </c>
      <c r="L1120" s="238">
        <f t="shared" si="965"/>
        <v>11</v>
      </c>
      <c r="M1120" s="238">
        <f t="shared" si="965"/>
        <v>11</v>
      </c>
      <c r="N1120" s="238">
        <f t="shared" si="965"/>
        <v>5</v>
      </c>
      <c r="O1120" s="238">
        <f t="shared" si="965"/>
        <v>-132</v>
      </c>
      <c r="P1120" s="237">
        <f t="shared" si="965"/>
        <v>-105</v>
      </c>
      <c r="Q1120" s="238">
        <f t="shared" si="965"/>
        <v>14</v>
      </c>
      <c r="R1120" s="238">
        <f t="shared" si="965"/>
        <v>67</v>
      </c>
      <c r="S1120" s="238">
        <f t="shared" si="965"/>
        <v>40</v>
      </c>
      <c r="T1120" s="238">
        <f t="shared" si="965"/>
        <v>-3</v>
      </c>
      <c r="U1120" s="237">
        <f t="shared" si="965"/>
        <v>118</v>
      </c>
      <c r="V1120" s="238">
        <f t="shared" si="965"/>
        <v>-95</v>
      </c>
      <c r="W1120" s="238">
        <f t="shared" ref="W1120:AF1120" si="966">W1119-W1110</f>
        <v>-79</v>
      </c>
      <c r="X1120" s="238">
        <f t="shared" si="966"/>
        <v>-33</v>
      </c>
      <c r="Y1120" s="238">
        <f t="shared" si="966"/>
        <v>-44</v>
      </c>
      <c r="Z1120" s="237">
        <f t="shared" si="966"/>
        <v>-251</v>
      </c>
      <c r="AA1120" s="238">
        <f t="shared" si="966"/>
        <v>120.32553440444994</v>
      </c>
      <c r="AB1120" s="238">
        <f t="shared" si="966"/>
        <v>120.32553440444994</v>
      </c>
      <c r="AC1120" s="238">
        <f t="shared" si="966"/>
        <v>120.32553440444994</v>
      </c>
      <c r="AD1120" s="238">
        <f t="shared" si="966"/>
        <v>120.32553440444994</v>
      </c>
      <c r="AE1120" s="237">
        <f>SUM(AA1120:AD1120)</f>
        <v>481.30213761779976</v>
      </c>
      <c r="AF1120" s="237">
        <f t="shared" si="966"/>
        <v>114.21608560579909</v>
      </c>
      <c r="AG1120" s="237">
        <f t="shared" ref="AG1120:AL1120" si="967">AG1119-AG1110</f>
        <v>137.91876654009894</v>
      </c>
      <c r="AH1120" s="237">
        <f t="shared" si="967"/>
        <v>137.91876654009894</v>
      </c>
      <c r="AI1120" s="237">
        <f t="shared" si="967"/>
        <v>137.91876654009894</v>
      </c>
      <c r="AJ1120" s="237">
        <f t="shared" si="967"/>
        <v>137.91876654009894</v>
      </c>
      <c r="AK1120" s="237">
        <f t="shared" si="967"/>
        <v>137.91876654009894</v>
      </c>
      <c r="AL1120" s="237">
        <f t="shared" si="967"/>
        <v>137.91876654009894</v>
      </c>
      <c r="AM1120" s="651"/>
      <c r="AN1120" s="306"/>
      <c r="AO1120" s="306"/>
    </row>
    <row r="1121" spans="1:41" s="134" customFormat="1">
      <c r="B1121" s="228"/>
      <c r="C1121" s="229"/>
      <c r="G1121" s="306"/>
      <c r="H1121" s="306"/>
      <c r="I1121" s="306"/>
      <c r="J1121" s="306"/>
      <c r="K1121" s="306"/>
      <c r="L1121" s="307"/>
      <c r="M1121" s="307"/>
      <c r="N1121" s="307"/>
      <c r="O1121" s="307"/>
      <c r="P1121" s="306"/>
      <c r="Q1121" s="307"/>
      <c r="R1121" s="307"/>
      <c r="S1121" s="307"/>
      <c r="T1121" s="307"/>
      <c r="U1121" s="306"/>
      <c r="V1121" s="307"/>
      <c r="W1121" s="307"/>
      <c r="X1121" s="307"/>
      <c r="Y1121" s="307"/>
      <c r="Z1121" s="306"/>
      <c r="AA1121" s="307"/>
      <c r="AB1121" s="307"/>
      <c r="AC1121" s="307"/>
      <c r="AD1121" s="307"/>
      <c r="AE1121" s="306"/>
      <c r="AF1121" s="306"/>
      <c r="AG1121" s="306"/>
      <c r="AH1121" s="306"/>
      <c r="AI1121" s="306"/>
      <c r="AJ1121" s="306"/>
      <c r="AK1121" s="306"/>
      <c r="AL1121" s="306"/>
      <c r="AM1121" s="651"/>
      <c r="AN1121" s="306"/>
      <c r="AO1121" s="306"/>
    </row>
    <row r="1122" spans="1:41" s="134" customFormat="1">
      <c r="B1122" s="228"/>
      <c r="C1122" s="229"/>
      <c r="D1122" s="134" t="s">
        <v>949</v>
      </c>
      <c r="G1122" s="306"/>
      <c r="H1122" s="306"/>
      <c r="I1122" s="306"/>
      <c r="J1122" s="306"/>
      <c r="K1122" s="306"/>
      <c r="L1122" s="307"/>
      <c r="M1122" s="307"/>
      <c r="N1122" s="307"/>
      <c r="O1122" s="307"/>
      <c r="P1122" s="306"/>
      <c r="Q1122" s="307"/>
      <c r="R1122" s="307"/>
      <c r="S1122" s="307"/>
      <c r="T1122" s="307"/>
      <c r="U1122" s="310">
        <f t="shared" ref="U1122:Z1122" si="968">(U1120*(1-U1115))+(-U1105*U1115)-U1133</f>
        <v>-73</v>
      </c>
      <c r="V1122" s="311">
        <f t="shared" si="968"/>
        <v>-136</v>
      </c>
      <c r="W1122" s="311">
        <f t="shared" si="968"/>
        <v>-93.666666666666671</v>
      </c>
      <c r="X1122" s="311">
        <f t="shared" si="968"/>
        <v>-47.666666666666671</v>
      </c>
      <c r="Y1122" s="311">
        <f t="shared" si="968"/>
        <v>-58.666666666666671</v>
      </c>
      <c r="Z1122" s="310">
        <f t="shared" si="968"/>
        <v>-342</v>
      </c>
      <c r="AA1122" s="307"/>
      <c r="AB1122" s="307"/>
      <c r="AC1122" s="307"/>
      <c r="AD1122" s="307"/>
      <c r="AE1122" s="310">
        <f>(AE1120*(1-AE1115))+(-AE1105*AE1115)-AE1133</f>
        <v>289.24321880398207</v>
      </c>
      <c r="AF1122" s="306"/>
      <c r="AG1122" s="306"/>
      <c r="AH1122" s="306"/>
      <c r="AI1122" s="306"/>
      <c r="AJ1122" s="306"/>
      <c r="AK1122" s="306"/>
      <c r="AL1122" s="306"/>
      <c r="AM1122" s="651"/>
      <c r="AN1122" s="306"/>
      <c r="AO1122" s="306"/>
    </row>
    <row r="1123" spans="1:41" s="134" customFormat="1">
      <c r="B1123" s="228"/>
      <c r="C1123" s="229"/>
      <c r="G1123" s="306"/>
      <c r="H1123" s="306"/>
      <c r="I1123" s="306"/>
      <c r="J1123" s="306"/>
      <c r="K1123" s="306"/>
      <c r="L1123" s="307"/>
      <c r="M1123" s="307"/>
      <c r="N1123" s="307"/>
      <c r="O1123" s="307"/>
      <c r="P1123" s="306"/>
      <c r="Q1123" s="307"/>
      <c r="R1123" s="307"/>
      <c r="S1123" s="307"/>
      <c r="T1123" s="307"/>
      <c r="U1123" s="306"/>
      <c r="V1123" s="307"/>
      <c r="W1123" s="307"/>
      <c r="X1123" s="307"/>
      <c r="Y1123" s="307"/>
      <c r="Z1123" s="306"/>
      <c r="AA1123" s="307"/>
      <c r="AB1123" s="307"/>
      <c r="AC1123" s="307"/>
      <c r="AD1123" s="307"/>
      <c r="AE1123" s="306"/>
      <c r="AF1123" s="306"/>
      <c r="AG1123" s="306"/>
      <c r="AH1123" s="306"/>
      <c r="AI1123" s="306"/>
      <c r="AJ1123" s="306"/>
      <c r="AK1123" s="306"/>
      <c r="AL1123" s="306"/>
      <c r="AM1123" s="651"/>
      <c r="AN1123" s="306"/>
      <c r="AO1123" s="306"/>
    </row>
    <row r="1124" spans="1:41" s="134" customFormat="1">
      <c r="B1124" s="228"/>
      <c r="C1124" s="229"/>
      <c r="D1124" s="174" t="s">
        <v>207</v>
      </c>
      <c r="E1124" s="174"/>
      <c r="F1124" s="174"/>
      <c r="G1124" s="174"/>
      <c r="H1124" s="174"/>
      <c r="I1124" s="174"/>
      <c r="J1124" s="174"/>
      <c r="K1124" s="174"/>
      <c r="L1124" s="778"/>
      <c r="M1124" s="778"/>
      <c r="N1124" s="778"/>
      <c r="O1124" s="778"/>
      <c r="P1124" s="174"/>
      <c r="Q1124" s="778"/>
      <c r="R1124" s="778"/>
      <c r="S1124" s="778"/>
      <c r="T1124" s="778"/>
      <c r="U1124" s="174"/>
      <c r="V1124" s="778"/>
      <c r="W1124" s="778"/>
      <c r="X1124" s="778"/>
      <c r="Y1124" s="778"/>
      <c r="Z1124" s="174"/>
      <c r="AA1124" s="778"/>
      <c r="AB1124" s="778"/>
      <c r="AC1124" s="778"/>
      <c r="AD1124" s="778"/>
      <c r="AE1124" s="174"/>
      <c r="AF1124" s="174"/>
      <c r="AG1124" s="174"/>
      <c r="AH1124" s="174"/>
      <c r="AI1124" s="174"/>
      <c r="AJ1124" s="174"/>
      <c r="AK1124" s="174"/>
      <c r="AL1124" s="174"/>
      <c r="AM1124" s="651"/>
      <c r="AN1124" s="306"/>
      <c r="AO1124" s="306"/>
    </row>
    <row r="1125" spans="1:41" s="134" customFormat="1">
      <c r="B1125" s="228"/>
      <c r="C1125" s="229"/>
      <c r="D1125" s="134" t="s">
        <v>416</v>
      </c>
      <c r="G1125" s="306"/>
      <c r="H1125" s="306"/>
      <c r="I1125" s="306"/>
      <c r="J1125" s="306"/>
      <c r="K1125" s="306"/>
      <c r="L1125" s="315"/>
      <c r="M1125" s="774">
        <f t="shared" ref="M1125:AL1125" si="969">M1107/M1101</f>
        <v>0.16666666666666666</v>
      </c>
      <c r="N1125" s="774">
        <f t="shared" si="969"/>
        <v>3.3492822966507178E-2</v>
      </c>
      <c r="O1125" s="774">
        <f t="shared" si="969"/>
        <v>-1.05</v>
      </c>
      <c r="P1125" s="788">
        <f t="shared" si="969"/>
        <v>-0.26044226044226043</v>
      </c>
      <c r="Q1125" s="774">
        <f t="shared" si="969"/>
        <v>0.10377358490566038</v>
      </c>
      <c r="R1125" s="774">
        <f t="shared" si="969"/>
        <v>0.23728813559322035</v>
      </c>
      <c r="S1125" s="774">
        <f t="shared" si="969"/>
        <v>0.19215686274509805</v>
      </c>
      <c r="T1125" s="774">
        <f t="shared" si="969"/>
        <v>1.4084507042253521E-2</v>
      </c>
      <c r="U1125" s="788">
        <f t="shared" si="969"/>
        <v>0.14769230769230771</v>
      </c>
      <c r="V1125" s="774">
        <f t="shared" si="969"/>
        <v>-0.51136363636363635</v>
      </c>
      <c r="W1125" s="774">
        <f t="shared" si="969"/>
        <v>-1.6590909090909092</v>
      </c>
      <c r="X1125" s="774">
        <f t="shared" si="969"/>
        <v>-0.38297872340425532</v>
      </c>
      <c r="Y1125" s="774">
        <f t="shared" si="969"/>
        <v>-0.17142857142857143</v>
      </c>
      <c r="Z1125" s="788">
        <f>Z1107/Z1101</f>
        <v>-0.49118942731277532</v>
      </c>
      <c r="AA1125" s="774">
        <f t="shared" si="969"/>
        <v>0.49660788648692311</v>
      </c>
      <c r="AB1125" s="774">
        <f t="shared" si="969"/>
        <v>0.53717965349538332</v>
      </c>
      <c r="AC1125" s="774">
        <f t="shared" si="969"/>
        <v>0.53522222589364088</v>
      </c>
      <c r="AD1125" s="774">
        <f t="shared" si="969"/>
        <v>0.53522222589364088</v>
      </c>
      <c r="AE1125" s="788">
        <f t="shared" si="969"/>
        <v>0.52548598259348933</v>
      </c>
      <c r="AF1125" s="788">
        <f t="shared" si="969"/>
        <v>0.56720516381504671</v>
      </c>
      <c r="AG1125" s="788">
        <f t="shared" si="969"/>
        <v>0.54598331609855955</v>
      </c>
      <c r="AH1125" s="788">
        <f t="shared" si="969"/>
        <v>0.51097832646833341</v>
      </c>
      <c r="AI1125" s="788">
        <f t="shared" si="969"/>
        <v>0.51097832646833341</v>
      </c>
      <c r="AJ1125" s="788">
        <f t="shared" si="969"/>
        <v>0.51097832646833341</v>
      </c>
      <c r="AK1125" s="788">
        <f t="shared" si="969"/>
        <v>0.51097832646833341</v>
      </c>
      <c r="AL1125" s="788">
        <f t="shared" si="969"/>
        <v>0.51097832646833341</v>
      </c>
      <c r="AM1125" s="651"/>
      <c r="AN1125" s="306"/>
      <c r="AO1125" s="306"/>
    </row>
    <row r="1126" spans="1:41" s="134" customFormat="1">
      <c r="B1126" s="228"/>
      <c r="C1126" s="229"/>
      <c r="D1126" s="134" t="s">
        <v>417</v>
      </c>
      <c r="G1126" s="306"/>
      <c r="H1126" s="306"/>
      <c r="I1126" s="306"/>
      <c r="J1126" s="306"/>
      <c r="K1126" s="306"/>
      <c r="L1126" s="316"/>
      <c r="M1126" s="316">
        <f t="shared" ref="M1126:AL1126" si="970">M1105/M1106</f>
        <v>0.15584415584415584</v>
      </c>
      <c r="N1126" s="316">
        <f t="shared" si="970"/>
        <v>9.417040358744394E-2</v>
      </c>
      <c r="O1126" s="316">
        <f t="shared" si="970"/>
        <v>9.5588235294117641E-2</v>
      </c>
      <c r="P1126" s="569">
        <f t="shared" si="970"/>
        <v>0.10314685314685315</v>
      </c>
      <c r="Q1126" s="316">
        <f t="shared" si="970"/>
        <v>0.12442396313364056</v>
      </c>
      <c r="R1126" s="316">
        <f t="shared" si="970"/>
        <v>0.13793103448275862</v>
      </c>
      <c r="S1126" s="316">
        <f t="shared" si="970"/>
        <v>0.15226337448559671</v>
      </c>
      <c r="T1126" s="316">
        <f t="shared" si="970"/>
        <v>0.13934426229508196</v>
      </c>
      <c r="U1126" s="569">
        <f t="shared" si="970"/>
        <v>0.13886010362694301</v>
      </c>
      <c r="V1126" s="316">
        <f t="shared" si="970"/>
        <v>0.11036789297658862</v>
      </c>
      <c r="W1126" s="316">
        <f t="shared" si="970"/>
        <v>0.15827338129496402</v>
      </c>
      <c r="X1126" s="316">
        <f t="shared" si="970"/>
        <v>0.16666666666666666</v>
      </c>
      <c r="Y1126" s="316">
        <f t="shared" si="970"/>
        <v>0.11827956989247312</v>
      </c>
      <c r="Z1126" s="569">
        <f t="shared" si="970"/>
        <v>0.13205128205128205</v>
      </c>
      <c r="AA1126" s="316">
        <f t="shared" si="970"/>
        <v>0.24103964538794359</v>
      </c>
      <c r="AB1126" s="316">
        <f t="shared" si="970"/>
        <v>0.28358835045144648</v>
      </c>
      <c r="AC1126" s="316">
        <f t="shared" si="970"/>
        <v>0.2813649935234297</v>
      </c>
      <c r="AD1126" s="316">
        <f t="shared" si="970"/>
        <v>0.2813649935234297</v>
      </c>
      <c r="AE1126" s="569">
        <f t="shared" si="970"/>
        <v>0.27057854947830878</v>
      </c>
      <c r="AF1126" s="569">
        <f t="shared" si="970"/>
        <v>0.3202133104302104</v>
      </c>
      <c r="AG1126" s="569">
        <f t="shared" si="970"/>
        <v>0.29382506067054032</v>
      </c>
      <c r="AH1126" s="569">
        <f t="shared" si="970"/>
        <v>0.25530284056710073</v>
      </c>
      <c r="AI1126" s="569">
        <f t="shared" si="970"/>
        <v>0.25530284056710073</v>
      </c>
      <c r="AJ1126" s="569">
        <f t="shared" si="970"/>
        <v>0.25530284056710073</v>
      </c>
      <c r="AK1126" s="569">
        <f t="shared" si="970"/>
        <v>0.25530284056710073</v>
      </c>
      <c r="AL1126" s="569">
        <f t="shared" si="970"/>
        <v>0.25530284056710073</v>
      </c>
      <c r="AM1126" s="651"/>
      <c r="AN1126" s="306"/>
      <c r="AO1126" s="306"/>
    </row>
    <row r="1127" spans="1:41" s="134" customFormat="1">
      <c r="G1127" s="306"/>
      <c r="H1127" s="306"/>
      <c r="I1127" s="306"/>
      <c r="J1127" s="306"/>
      <c r="K1127" s="306"/>
      <c r="L1127" s="307"/>
      <c r="M1127" s="307"/>
      <c r="N1127" s="307"/>
      <c r="O1127" s="307"/>
      <c r="P1127" s="306"/>
      <c r="Q1127" s="307"/>
      <c r="R1127" s="307"/>
      <c r="S1127" s="307"/>
      <c r="T1127" s="307"/>
      <c r="U1127" s="306"/>
      <c r="V1127" s="307"/>
      <c r="W1127" s="307"/>
      <c r="X1127" s="307"/>
      <c r="Y1127" s="307"/>
      <c r="Z1127" s="306"/>
      <c r="AA1127" s="307"/>
      <c r="AB1127" s="307"/>
      <c r="AC1127" s="307"/>
      <c r="AD1127" s="307"/>
      <c r="AE1127" s="306"/>
      <c r="AF1127" s="306"/>
      <c r="AG1127" s="306"/>
      <c r="AH1127" s="306"/>
      <c r="AI1127" s="306"/>
      <c r="AJ1127" s="306"/>
      <c r="AK1127" s="306"/>
      <c r="AL1127" s="306"/>
      <c r="AM1127" s="651"/>
      <c r="AN1127" s="306"/>
      <c r="AO1127" s="306"/>
    </row>
    <row r="1128" spans="1:41" s="134" customFormat="1">
      <c r="G1128" s="306"/>
      <c r="H1128" s="306"/>
      <c r="I1128" s="306"/>
      <c r="J1128" s="306"/>
      <c r="K1128" s="306"/>
      <c r="L1128" s="307"/>
      <c r="M1128" s="307"/>
      <c r="N1128" s="307"/>
      <c r="O1128" s="307"/>
      <c r="P1128" s="306"/>
      <c r="Q1128" s="307"/>
      <c r="R1128" s="307"/>
      <c r="S1128" s="307"/>
      <c r="T1128" s="307"/>
      <c r="U1128" s="306"/>
      <c r="V1128" s="307"/>
      <c r="W1128" s="307"/>
      <c r="X1128" s="307"/>
      <c r="Y1128" s="307"/>
      <c r="Z1128" s="306"/>
      <c r="AA1128" s="307"/>
      <c r="AB1128" s="307"/>
      <c r="AC1128" s="307"/>
      <c r="AD1128" s="307"/>
      <c r="AE1128" s="306"/>
      <c r="AF1128" s="306"/>
      <c r="AG1128" s="306"/>
      <c r="AH1128" s="306"/>
      <c r="AI1128" s="306"/>
      <c r="AJ1128" s="306"/>
      <c r="AK1128" s="306"/>
      <c r="AL1128" s="306"/>
      <c r="AM1128" s="651"/>
      <c r="AN1128" s="306"/>
      <c r="AO1128" s="306"/>
    </row>
    <row r="1129" spans="1:41" s="134" customFormat="1">
      <c r="B1129" s="266"/>
      <c r="C1129" s="268"/>
      <c r="D1129" s="174" t="s">
        <v>218</v>
      </c>
      <c r="E1129" s="174"/>
      <c r="F1129" s="174"/>
      <c r="G1129" s="174"/>
      <c r="H1129" s="174"/>
      <c r="I1129" s="174"/>
      <c r="J1129" s="174"/>
      <c r="K1129" s="174"/>
      <c r="L1129" s="778"/>
      <c r="M1129" s="778"/>
      <c r="N1129" s="778"/>
      <c r="O1129" s="778"/>
      <c r="P1129" s="174"/>
      <c r="Q1129" s="778"/>
      <c r="R1129" s="778"/>
      <c r="S1129" s="778"/>
      <c r="T1129" s="778"/>
      <c r="U1129" s="174"/>
      <c r="V1129" s="778"/>
      <c r="W1129" s="778"/>
      <c r="X1129" s="778"/>
      <c r="Y1129" s="778"/>
      <c r="Z1129" s="174"/>
      <c r="AA1129" s="984"/>
      <c r="AB1129" s="984"/>
      <c r="AC1129" s="984"/>
      <c r="AD1129" s="984"/>
      <c r="AE1129" s="136"/>
      <c r="AF1129" s="136"/>
      <c r="AG1129" s="174"/>
      <c r="AH1129" s="174"/>
      <c r="AI1129" s="174"/>
      <c r="AJ1129" s="174"/>
      <c r="AK1129" s="174"/>
      <c r="AL1129" s="174"/>
      <c r="AM1129" s="651"/>
      <c r="AN1129" s="306"/>
      <c r="AO1129" s="306"/>
    </row>
    <row r="1130" spans="1:41" s="134" customFormat="1">
      <c r="A1130" s="1169"/>
      <c r="B1130" s="266"/>
      <c r="C1130" s="268"/>
      <c r="D1130" s="269" t="s">
        <v>253</v>
      </c>
      <c r="E1130" s="269"/>
      <c r="G1130" s="306"/>
      <c r="H1130" s="306"/>
      <c r="I1130" s="306"/>
      <c r="J1130" s="306"/>
      <c r="K1130" s="306"/>
      <c r="L1130" s="317">
        <v>5</v>
      </c>
      <c r="M1130" s="317">
        <v>1</v>
      </c>
      <c r="N1130" s="91">
        <v>3</v>
      </c>
      <c r="O1130" s="91">
        <v>12</v>
      </c>
      <c r="P1130" s="196">
        <v>21</v>
      </c>
      <c r="Q1130" s="317">
        <v>19</v>
      </c>
      <c r="R1130" s="91">
        <v>6</v>
      </c>
      <c r="S1130" s="91">
        <v>8</v>
      </c>
      <c r="T1130" s="97">
        <f>U1130-Q1130-R1130-S1130</f>
        <v>12</v>
      </c>
      <c r="U1130" s="196">
        <v>45</v>
      </c>
      <c r="V1130" s="317">
        <v>24</v>
      </c>
      <c r="W1130" s="965">
        <f>(Z1130-V1130)/3</f>
        <v>8.6666666666666661</v>
      </c>
      <c r="X1130" s="965">
        <f>(Z1130-V1130-W1130)/2</f>
        <v>8.6666666666666679</v>
      </c>
      <c r="Y1130" s="965">
        <f>Z1130-V1130-W1130-X1130</f>
        <v>8.6666666666666679</v>
      </c>
      <c r="Z1130" s="957">
        <v>50</v>
      </c>
      <c r="AA1130" s="181">
        <f>AE1130/4</f>
        <v>12.5</v>
      </c>
      <c r="AB1130" s="181">
        <f>(AE1130-AA1130)/3</f>
        <v>12.5</v>
      </c>
      <c r="AC1130" s="181">
        <f>(AE1130-AA1130-AB1130)/2</f>
        <v>12.5</v>
      </c>
      <c r="AD1130" s="181">
        <f>AE1130-AA1130-AB1130-AC1130</f>
        <v>12.5</v>
      </c>
      <c r="AE1130" s="957">
        <v>50</v>
      </c>
      <c r="AF1130" s="312">
        <f>AE1130</f>
        <v>50</v>
      </c>
      <c r="AG1130" s="312">
        <f t="shared" ref="AG1130:AL1132" si="971">AF1130</f>
        <v>50</v>
      </c>
      <c r="AH1130" s="312">
        <f t="shared" si="971"/>
        <v>50</v>
      </c>
      <c r="AI1130" s="312">
        <f t="shared" si="971"/>
        <v>50</v>
      </c>
      <c r="AJ1130" s="312">
        <f t="shared" si="971"/>
        <v>50</v>
      </c>
      <c r="AK1130" s="312">
        <f t="shared" si="971"/>
        <v>50</v>
      </c>
      <c r="AL1130" s="312">
        <f t="shared" si="971"/>
        <v>50</v>
      </c>
      <c r="AM1130" s="651"/>
      <c r="AN1130" s="306"/>
      <c r="AO1130" s="306"/>
    </row>
    <row r="1131" spans="1:41" s="134" customFormat="1">
      <c r="A1131" s="1169"/>
      <c r="B1131" s="266"/>
      <c r="C1131" s="268"/>
      <c r="D1131" s="269" t="s">
        <v>254</v>
      </c>
      <c r="E1131" s="269"/>
      <c r="G1131" s="306"/>
      <c r="H1131" s="306"/>
      <c r="I1131" s="306"/>
      <c r="J1131" s="306"/>
      <c r="K1131" s="306"/>
      <c r="L1131" s="317">
        <v>13</v>
      </c>
      <c r="M1131" s="317">
        <v>11</v>
      </c>
      <c r="N1131" s="91">
        <v>13</v>
      </c>
      <c r="O1131" s="91">
        <v>32</v>
      </c>
      <c r="P1131" s="196">
        <v>69</v>
      </c>
      <c r="Q1131" s="317">
        <v>15</v>
      </c>
      <c r="R1131" s="91">
        <v>32</v>
      </c>
      <c r="S1131" s="91">
        <v>34</v>
      </c>
      <c r="T1131" s="97">
        <f>U1131-Q1131-R1131-S1131</f>
        <v>24</v>
      </c>
      <c r="U1131" s="196">
        <v>105</v>
      </c>
      <c r="V1131" s="317">
        <v>16</v>
      </c>
      <c r="W1131" s="965">
        <f>(Z1131-V1131)/3</f>
        <v>3</v>
      </c>
      <c r="X1131" s="965">
        <f>(Z1131-V1131-W1131)/2</f>
        <v>3</v>
      </c>
      <c r="Y1131" s="965">
        <f>Z1131-V1131-W1131-X1131</f>
        <v>3</v>
      </c>
      <c r="Z1131" s="957">
        <v>25</v>
      </c>
      <c r="AA1131" s="181">
        <f>AE1131/4</f>
        <v>6.25</v>
      </c>
      <c r="AB1131" s="181">
        <f>(AE1131-AA1131)/3</f>
        <v>6.25</v>
      </c>
      <c r="AC1131" s="181">
        <f>(AE1131-AA1131-AB1131)/2</f>
        <v>6.25</v>
      </c>
      <c r="AD1131" s="181">
        <f>AE1131-AA1131-AB1131-AC1131</f>
        <v>6.25</v>
      </c>
      <c r="AE1131" s="957">
        <v>25</v>
      </c>
      <c r="AF1131" s="312">
        <f>AE1131</f>
        <v>25</v>
      </c>
      <c r="AG1131" s="312">
        <f t="shared" si="971"/>
        <v>25</v>
      </c>
      <c r="AH1131" s="312">
        <f t="shared" si="971"/>
        <v>25</v>
      </c>
      <c r="AI1131" s="312">
        <f t="shared" si="971"/>
        <v>25</v>
      </c>
      <c r="AJ1131" s="312">
        <f t="shared" si="971"/>
        <v>25</v>
      </c>
      <c r="AK1131" s="312">
        <f t="shared" si="971"/>
        <v>25</v>
      </c>
      <c r="AL1131" s="312">
        <f t="shared" si="971"/>
        <v>25</v>
      </c>
      <c r="AM1131" s="651"/>
      <c r="AN1131" s="306"/>
      <c r="AO1131" s="306"/>
    </row>
    <row r="1132" spans="1:41" s="134" customFormat="1">
      <c r="A1132" s="1169"/>
      <c r="B1132" s="266"/>
      <c r="C1132" s="268"/>
      <c r="D1132" s="269" t="s">
        <v>255</v>
      </c>
      <c r="E1132" s="269"/>
      <c r="G1132" s="306"/>
      <c r="H1132" s="306"/>
      <c r="I1132" s="306"/>
      <c r="J1132" s="306"/>
      <c r="K1132" s="306"/>
      <c r="L1132" s="317">
        <v>194</v>
      </c>
      <c r="M1132" s="317">
        <v>65</v>
      </c>
      <c r="N1132" s="91">
        <v>19</v>
      </c>
      <c r="O1132" s="91">
        <v>8</v>
      </c>
      <c r="P1132" s="196">
        <v>285</v>
      </c>
      <c r="Q1132" s="317">
        <v>22</v>
      </c>
      <c r="R1132" s="91">
        <v>3</v>
      </c>
      <c r="S1132" s="91">
        <v>8</v>
      </c>
      <c r="T1132" s="97">
        <f>U1132-Q1132-R1132-S1132</f>
        <v>8</v>
      </c>
      <c r="U1132" s="196">
        <v>41</v>
      </c>
      <c r="V1132" s="317">
        <v>1</v>
      </c>
      <c r="W1132" s="965">
        <f>(Z1132-V1132)/3</f>
        <v>3</v>
      </c>
      <c r="X1132" s="965">
        <f>(Z1132-V1132-W1132)/2</f>
        <v>3</v>
      </c>
      <c r="Y1132" s="965">
        <f>Z1132-V1132-W1132-X1132</f>
        <v>3</v>
      </c>
      <c r="Z1132" s="957">
        <v>10</v>
      </c>
      <c r="AA1132" s="181">
        <f>AE1132/4</f>
        <v>2.5</v>
      </c>
      <c r="AB1132" s="181">
        <f>(AE1132-AA1132)/3</f>
        <v>2.5</v>
      </c>
      <c r="AC1132" s="181">
        <f>(AE1132-AA1132-AB1132)/2</f>
        <v>2.5</v>
      </c>
      <c r="AD1132" s="181">
        <f>AE1132-AA1132-AB1132-AC1132</f>
        <v>2.5</v>
      </c>
      <c r="AE1132" s="957">
        <v>10</v>
      </c>
      <c r="AF1132" s="312">
        <f>AE1132</f>
        <v>10</v>
      </c>
      <c r="AG1132" s="312">
        <f t="shared" si="971"/>
        <v>10</v>
      </c>
      <c r="AH1132" s="312">
        <f t="shared" si="971"/>
        <v>10</v>
      </c>
      <c r="AI1132" s="312">
        <f t="shared" si="971"/>
        <v>10</v>
      </c>
      <c r="AJ1132" s="312">
        <f t="shared" si="971"/>
        <v>10</v>
      </c>
      <c r="AK1132" s="312">
        <f t="shared" si="971"/>
        <v>10</v>
      </c>
      <c r="AL1132" s="312">
        <f t="shared" si="971"/>
        <v>10</v>
      </c>
      <c r="AM1132" s="651"/>
      <c r="AN1132" s="306"/>
      <c r="AO1132" s="306"/>
    </row>
    <row r="1133" spans="1:41" s="134" customFormat="1">
      <c r="A1133" s="1169"/>
      <c r="B1133" s="228"/>
      <c r="C1133" s="229"/>
      <c r="D1133" s="283" t="s">
        <v>181</v>
      </c>
      <c r="E1133" s="283"/>
      <c r="F1133" s="103"/>
      <c r="G1133" s="104">
        <v>125</v>
      </c>
      <c r="H1133" s="104">
        <v>702</v>
      </c>
      <c r="I1133" s="104">
        <v>997</v>
      </c>
      <c r="J1133" s="104">
        <v>1010</v>
      </c>
      <c r="K1133" s="104">
        <v>911</v>
      </c>
      <c r="L1133" s="106">
        <f t="shared" ref="L1133:AL1133" si="972">SUM(L1130:L1132)</f>
        <v>212</v>
      </c>
      <c r="M1133" s="106">
        <f t="shared" si="972"/>
        <v>77</v>
      </c>
      <c r="N1133" s="106">
        <v>36</v>
      </c>
      <c r="O1133" s="106">
        <v>52</v>
      </c>
      <c r="P1133" s="104">
        <f t="shared" si="972"/>
        <v>375</v>
      </c>
      <c r="Q1133" s="106">
        <f t="shared" si="972"/>
        <v>56</v>
      </c>
      <c r="R1133" s="106">
        <f t="shared" si="972"/>
        <v>41</v>
      </c>
      <c r="S1133" s="106">
        <f>SUM(S1130:S1132)</f>
        <v>50</v>
      </c>
      <c r="T1133" s="106">
        <f t="shared" si="972"/>
        <v>44</v>
      </c>
      <c r="U1133" s="104">
        <f t="shared" si="972"/>
        <v>191</v>
      </c>
      <c r="V1133" s="106">
        <v>41</v>
      </c>
      <c r="W1133" s="1017">
        <f>SUM(W1130:W1132)</f>
        <v>14.666666666666666</v>
      </c>
      <c r="X1133" s="1017">
        <f>SUM(X1130:X1132)</f>
        <v>14.666666666666668</v>
      </c>
      <c r="Y1133" s="1017">
        <f>SUM(Y1130:Y1132)</f>
        <v>14.666666666666668</v>
      </c>
      <c r="Z1133" s="184">
        <v>91</v>
      </c>
      <c r="AA1133" s="106">
        <f>SUM(AA1130:AA1132)</f>
        <v>21.25</v>
      </c>
      <c r="AB1133" s="106">
        <f>SUM(AB1130:AB1132)</f>
        <v>21.25</v>
      </c>
      <c r="AC1133" s="106">
        <f>SUM(AC1130:AC1132)</f>
        <v>21.25</v>
      </c>
      <c r="AD1133" s="106">
        <f>SUM(AD1130:AD1132)</f>
        <v>21.25</v>
      </c>
      <c r="AE1133" s="675">
        <f t="shared" si="972"/>
        <v>85</v>
      </c>
      <c r="AF1133" s="675">
        <f t="shared" si="972"/>
        <v>85</v>
      </c>
      <c r="AG1133" s="675">
        <f t="shared" si="972"/>
        <v>85</v>
      </c>
      <c r="AH1133" s="675">
        <f t="shared" si="972"/>
        <v>85</v>
      </c>
      <c r="AI1133" s="675">
        <f t="shared" si="972"/>
        <v>85</v>
      </c>
      <c r="AJ1133" s="675">
        <f t="shared" si="972"/>
        <v>85</v>
      </c>
      <c r="AK1133" s="675">
        <f t="shared" si="972"/>
        <v>85</v>
      </c>
      <c r="AL1133" s="675">
        <f t="shared" si="972"/>
        <v>85</v>
      </c>
      <c r="AM1133" s="651"/>
      <c r="AN1133" s="306"/>
      <c r="AO1133" s="306"/>
    </row>
    <row r="1134" spans="1:41" s="134" customFormat="1">
      <c r="A1134" s="1169"/>
      <c r="B1134" s="228"/>
      <c r="C1134" s="229"/>
      <c r="D1134" s="318"/>
      <c r="E1134" s="318"/>
      <c r="F1134" s="136"/>
      <c r="G1134" s="187"/>
      <c r="H1134" s="187"/>
      <c r="I1134" s="187"/>
      <c r="J1134" s="187"/>
      <c r="K1134" s="187"/>
      <c r="L1134" s="188"/>
      <c r="M1134" s="188"/>
      <c r="N1134" s="188"/>
      <c r="O1134" s="188"/>
      <c r="P1134" s="187"/>
      <c r="Q1134" s="188"/>
      <c r="R1134" s="188"/>
      <c r="S1134" s="188"/>
      <c r="T1134" s="188"/>
      <c r="U1134" s="187"/>
      <c r="V1134" s="188"/>
      <c r="W1134" s="188"/>
      <c r="X1134" s="188"/>
      <c r="Y1134" s="188"/>
      <c r="Z1134" s="189"/>
      <c r="AA1134" s="686"/>
      <c r="AB1134" s="686"/>
      <c r="AC1134" s="686"/>
      <c r="AD1134" s="686"/>
      <c r="AE1134" s="189"/>
      <c r="AF1134" s="189"/>
      <c r="AG1134" s="189"/>
      <c r="AH1134" s="189"/>
      <c r="AI1134" s="189"/>
      <c r="AJ1134" s="189"/>
      <c r="AK1134" s="306"/>
      <c r="AL1134" s="306"/>
      <c r="AM1134" s="651"/>
      <c r="AN1134" s="306"/>
      <c r="AO1134" s="306"/>
    </row>
    <row r="1135" spans="1:41" s="134" customFormat="1">
      <c r="B1135" s="228"/>
      <c r="C1135" s="229"/>
      <c r="D1135" s="318"/>
      <c r="E1135" s="318"/>
      <c r="F1135" s="136"/>
      <c r="G1135" s="187"/>
      <c r="H1135" s="187"/>
      <c r="I1135" s="187"/>
      <c r="J1135" s="187"/>
      <c r="K1135" s="187"/>
      <c r="L1135" s="188"/>
      <c r="M1135" s="188"/>
      <c r="N1135" s="188"/>
      <c r="O1135" s="188"/>
      <c r="P1135" s="187"/>
      <c r="Q1135" s="188"/>
      <c r="R1135" s="188"/>
      <c r="S1135" s="188"/>
      <c r="T1135" s="188"/>
      <c r="U1135" s="187"/>
      <c r="V1135" s="188"/>
      <c r="W1135" s="188"/>
      <c r="X1135" s="188"/>
      <c r="Y1135" s="188"/>
      <c r="Z1135" s="189"/>
      <c r="AA1135" s="686"/>
      <c r="AB1135" s="686"/>
      <c r="AC1135" s="686"/>
      <c r="AD1135" s="686"/>
      <c r="AE1135" s="189"/>
      <c r="AF1135" s="189"/>
      <c r="AG1135" s="189"/>
      <c r="AH1135" s="189"/>
      <c r="AI1135" s="189"/>
      <c r="AJ1135" s="189"/>
      <c r="AK1135" s="306"/>
      <c r="AL1135" s="306"/>
      <c r="AM1135" s="651"/>
      <c r="AN1135" s="306"/>
      <c r="AO1135" s="306"/>
    </row>
    <row r="1136" spans="1:41" s="134" customFormat="1">
      <c r="B1136" s="228"/>
      <c r="C1136" s="229"/>
      <c r="D1136" s="174" t="s">
        <v>820</v>
      </c>
      <c r="E1136" s="174"/>
      <c r="F1136" s="174"/>
      <c r="G1136" s="174"/>
      <c r="H1136" s="174"/>
      <c r="I1136" s="174"/>
      <c r="J1136" s="174"/>
      <c r="K1136" s="174"/>
      <c r="L1136" s="778"/>
      <c r="M1136" s="778"/>
      <c r="N1136" s="778"/>
      <c r="O1136" s="778"/>
      <c r="P1136" s="174"/>
      <c r="Q1136" s="778"/>
      <c r="R1136" s="778"/>
      <c r="S1136" s="778"/>
      <c r="T1136" s="778"/>
      <c r="U1136" s="174"/>
      <c r="V1136" s="778"/>
      <c r="W1136" s="778"/>
      <c r="X1136" s="778"/>
      <c r="Y1136" s="778"/>
      <c r="Z1136" s="174"/>
      <c r="AA1136" s="778"/>
      <c r="AB1136" s="778"/>
      <c r="AC1136" s="778"/>
      <c r="AD1136" s="778"/>
      <c r="AE1136" s="174"/>
      <c r="AF1136" s="174"/>
      <c r="AG1136" s="174"/>
      <c r="AH1136" s="174"/>
      <c r="AI1136" s="174"/>
      <c r="AJ1136" s="174"/>
      <c r="AK1136" s="174"/>
      <c r="AL1136" s="174"/>
      <c r="AM1136" s="651"/>
      <c r="AN1136" s="306"/>
      <c r="AO1136" s="306"/>
    </row>
    <row r="1137" spans="2:41" s="134" customFormat="1">
      <c r="B1137" s="228"/>
      <c r="C1137" s="229"/>
      <c r="D1137" s="134" t="s">
        <v>230</v>
      </c>
      <c r="E1137" s="318"/>
      <c r="F1137" s="136"/>
      <c r="G1137" s="187"/>
      <c r="H1137" s="187"/>
      <c r="I1137" s="187"/>
      <c r="J1137" s="187"/>
      <c r="K1137" s="187"/>
      <c r="L1137" s="188"/>
      <c r="M1137" s="188"/>
      <c r="N1137" s="188"/>
      <c r="O1137" s="188"/>
      <c r="P1137" s="187"/>
      <c r="Q1137" s="188"/>
      <c r="R1137" s="188"/>
      <c r="S1137" s="188"/>
      <c r="T1137" s="188"/>
      <c r="U1137" s="187"/>
      <c r="V1137" s="188"/>
      <c r="W1137" s="188"/>
      <c r="X1137" s="188"/>
      <c r="Y1137" s="188"/>
      <c r="Z1137" s="189"/>
      <c r="AA1137" s="686"/>
      <c r="AB1137" s="686"/>
      <c r="AC1137" s="686"/>
      <c r="AD1137" s="686"/>
      <c r="AE1137" s="189"/>
      <c r="AF1137" s="189"/>
      <c r="AG1137" s="189"/>
      <c r="AH1137" s="189"/>
      <c r="AI1137" s="189"/>
      <c r="AJ1137" s="189"/>
      <c r="AK1137" s="306"/>
      <c r="AL1137" s="306"/>
      <c r="AM1137" s="651"/>
      <c r="AN1137" s="306"/>
      <c r="AO1137" s="306"/>
    </row>
    <row r="1138" spans="2:41" s="134" customFormat="1">
      <c r="B1138" s="228"/>
      <c r="C1138" s="229"/>
      <c r="D1138" s="134" t="s">
        <v>257</v>
      </c>
      <c r="E1138" s="318"/>
      <c r="F1138" s="136"/>
      <c r="G1138" s="187"/>
      <c r="H1138" s="187"/>
      <c r="I1138" s="187"/>
      <c r="J1138" s="187"/>
      <c r="K1138" s="187"/>
      <c r="L1138" s="188"/>
      <c r="M1138" s="188"/>
      <c r="N1138" s="188"/>
      <c r="O1138" s="188"/>
      <c r="P1138" s="187"/>
      <c r="Q1138" s="188"/>
      <c r="R1138" s="188"/>
      <c r="S1138" s="188"/>
      <c r="T1138" s="188"/>
      <c r="U1138" s="187"/>
      <c r="V1138" s="188"/>
      <c r="W1138" s="188"/>
      <c r="X1138" s="188"/>
      <c r="Y1138" s="188"/>
      <c r="Z1138" s="189"/>
      <c r="AA1138" s="686"/>
      <c r="AB1138" s="686"/>
      <c r="AC1138" s="686"/>
      <c r="AD1138" s="686"/>
      <c r="AE1138" s="189"/>
      <c r="AF1138" s="189"/>
      <c r="AG1138" s="189"/>
      <c r="AH1138" s="189"/>
      <c r="AI1138" s="189"/>
      <c r="AJ1138" s="189"/>
      <c r="AK1138" s="306"/>
      <c r="AL1138" s="306"/>
      <c r="AM1138" s="651"/>
      <c r="AN1138" s="306"/>
      <c r="AO1138" s="306"/>
    </row>
    <row r="1139" spans="2:41" s="134" customFormat="1">
      <c r="B1139" s="228"/>
      <c r="C1139" s="229"/>
      <c r="E1139" s="318"/>
      <c r="F1139" s="136"/>
      <c r="G1139" s="187"/>
      <c r="H1139" s="187"/>
      <c r="I1139" s="187"/>
      <c r="J1139" s="187"/>
      <c r="K1139" s="187"/>
      <c r="L1139" s="188"/>
      <c r="M1139" s="188"/>
      <c r="N1139" s="188"/>
      <c r="O1139" s="188"/>
      <c r="P1139" s="187"/>
      <c r="Q1139" s="188"/>
      <c r="R1139" s="188"/>
      <c r="S1139" s="188"/>
      <c r="T1139" s="188"/>
      <c r="U1139" s="187"/>
      <c r="V1139" s="188"/>
      <c r="W1139" s="188"/>
      <c r="X1139" s="188"/>
      <c r="Y1139" s="188"/>
      <c r="Z1139" s="189"/>
      <c r="AA1139" s="686"/>
      <c r="AB1139" s="686"/>
      <c r="AC1139" s="686"/>
      <c r="AD1139" s="686"/>
      <c r="AE1139" s="189"/>
      <c r="AF1139" s="189"/>
      <c r="AG1139" s="189"/>
      <c r="AH1139" s="189"/>
      <c r="AI1139" s="189"/>
      <c r="AJ1139" s="189"/>
      <c r="AK1139" s="306"/>
      <c r="AL1139" s="306"/>
      <c r="AM1139" s="651"/>
      <c r="AN1139" s="306"/>
      <c r="AO1139" s="306"/>
    </row>
    <row r="1140" spans="2:41" s="134" customFormat="1">
      <c r="B1140" s="228"/>
      <c r="C1140" s="229"/>
      <c r="D1140" s="318"/>
      <c r="E1140" s="318"/>
      <c r="F1140" s="136"/>
      <c r="G1140" s="187"/>
      <c r="H1140" s="187"/>
      <c r="I1140" s="187"/>
      <c r="J1140" s="187"/>
      <c r="K1140" s="187"/>
      <c r="L1140" s="188"/>
      <c r="M1140" s="188"/>
      <c r="N1140" s="188"/>
      <c r="O1140" s="188"/>
      <c r="P1140" s="187"/>
      <c r="Q1140" s="188"/>
      <c r="R1140" s="188"/>
      <c r="S1140" s="188"/>
      <c r="T1140" s="188"/>
      <c r="U1140" s="187"/>
      <c r="V1140" s="188"/>
      <c r="W1140" s="188"/>
      <c r="X1140" s="188"/>
      <c r="Y1140" s="188"/>
      <c r="Z1140" s="189"/>
      <c r="AA1140" s="686"/>
      <c r="AB1140" s="686"/>
      <c r="AC1140" s="686"/>
      <c r="AD1140" s="686"/>
      <c r="AE1140" s="189"/>
      <c r="AF1140" s="189"/>
      <c r="AG1140" s="189"/>
      <c r="AH1140" s="189"/>
      <c r="AI1140" s="189"/>
      <c r="AJ1140" s="189"/>
      <c r="AK1140" s="306"/>
      <c r="AL1140" s="306"/>
      <c r="AM1140" s="651"/>
      <c r="AN1140" s="306"/>
      <c r="AO1140" s="306"/>
    </row>
    <row r="1141" spans="2:41" s="134" customFormat="1">
      <c r="B1141" s="228"/>
      <c r="C1141" s="229"/>
      <c r="D1141" s="318"/>
      <c r="E1141" s="318"/>
      <c r="F1141" s="136"/>
      <c r="G1141" s="187"/>
      <c r="H1141" s="187"/>
      <c r="I1141" s="187"/>
      <c r="J1141" s="187"/>
      <c r="K1141" s="187"/>
      <c r="L1141" s="188"/>
      <c r="M1141" s="188"/>
      <c r="N1141" s="188"/>
      <c r="O1141" s="188"/>
      <c r="P1141" s="187"/>
      <c r="Q1141" s="188"/>
      <c r="R1141" s="188"/>
      <c r="S1141" s="188"/>
      <c r="T1141" s="188"/>
      <c r="U1141" s="187"/>
      <c r="V1141" s="188"/>
      <c r="W1141" s="188"/>
      <c r="X1141" s="188"/>
      <c r="Y1141" s="188"/>
      <c r="Z1141" s="189"/>
      <c r="AA1141" s="686"/>
      <c r="AB1141" s="686"/>
      <c r="AC1141" s="686"/>
      <c r="AD1141" s="686"/>
      <c r="AE1141" s="189"/>
      <c r="AF1141" s="189"/>
      <c r="AG1141" s="189"/>
      <c r="AH1141" s="189"/>
      <c r="AI1141" s="189"/>
      <c r="AJ1141" s="189"/>
      <c r="AK1141" s="306"/>
      <c r="AL1141" s="306"/>
      <c r="AM1141" s="651"/>
      <c r="AN1141" s="306"/>
      <c r="AO1141" s="306"/>
    </row>
    <row r="1142" spans="2:41" s="134" customFormat="1">
      <c r="B1142" s="228"/>
      <c r="C1142" s="229"/>
      <c r="D1142" s="318"/>
      <c r="E1142" s="318"/>
      <c r="F1142" s="136"/>
      <c r="G1142" s="187"/>
      <c r="H1142" s="187"/>
      <c r="I1142" s="187"/>
      <c r="J1142" s="187"/>
      <c r="K1142" s="187"/>
      <c r="L1142" s="188"/>
      <c r="M1142" s="188"/>
      <c r="N1142" s="188"/>
      <c r="O1142" s="188"/>
      <c r="P1142" s="187"/>
      <c r="Q1142" s="188"/>
      <c r="R1142" s="188"/>
      <c r="S1142" s="188"/>
      <c r="T1142" s="188"/>
      <c r="U1142" s="187"/>
      <c r="V1142" s="188"/>
      <c r="W1142" s="188"/>
      <c r="X1142" s="188"/>
      <c r="Y1142" s="188"/>
      <c r="Z1142" s="189"/>
      <c r="AA1142" s="686"/>
      <c r="AB1142" s="686"/>
      <c r="AC1142" s="686"/>
      <c r="AD1142" s="686"/>
      <c r="AE1142" s="189"/>
      <c r="AF1142" s="189"/>
      <c r="AG1142" s="189"/>
      <c r="AH1142" s="189"/>
      <c r="AI1142" s="189"/>
      <c r="AJ1142" s="189"/>
      <c r="AK1142" s="306"/>
      <c r="AL1142" s="306"/>
      <c r="AM1142" s="651"/>
      <c r="AN1142" s="306"/>
      <c r="AO1142" s="306"/>
    </row>
    <row r="1143" spans="2:41" s="134" customFormat="1">
      <c r="B1143" s="228"/>
      <c r="C1143" s="229"/>
      <c r="D1143" s="174" t="s">
        <v>41</v>
      </c>
      <c r="E1143" s="174"/>
      <c r="F1143" s="174"/>
      <c r="G1143" s="174"/>
      <c r="H1143" s="174"/>
      <c r="I1143" s="174"/>
      <c r="J1143" s="174"/>
      <c r="K1143" s="174"/>
      <c r="L1143" s="778"/>
      <c r="M1143" s="778"/>
      <c r="N1143" s="778"/>
      <c r="O1143" s="778"/>
      <c r="P1143" s="174"/>
      <c r="Q1143" s="778"/>
      <c r="R1143" s="778"/>
      <c r="S1143" s="778"/>
      <c r="T1143" s="778"/>
      <c r="U1143" s="174"/>
      <c r="V1143" s="778"/>
      <c r="W1143" s="778"/>
      <c r="X1143" s="778"/>
      <c r="Y1143" s="778"/>
      <c r="Z1143" s="174"/>
      <c r="AA1143" s="984"/>
      <c r="AB1143" s="984"/>
      <c r="AC1143" s="984"/>
      <c r="AD1143" s="984"/>
      <c r="AE1143" s="136"/>
      <c r="AF1143" s="136"/>
      <c r="AG1143" s="174"/>
      <c r="AH1143" s="174"/>
      <c r="AI1143" s="174"/>
      <c r="AJ1143" s="174"/>
      <c r="AK1143" s="174"/>
      <c r="AL1143" s="174"/>
      <c r="AM1143" s="651"/>
      <c r="AN1143" s="306"/>
      <c r="AO1143" s="306"/>
    </row>
    <row r="1144" spans="2:41" s="134" customFormat="1">
      <c r="B1144" s="228"/>
      <c r="C1144" s="229"/>
      <c r="D1144" s="134" t="s">
        <v>182</v>
      </c>
      <c r="G1144" s="259">
        <v>2517</v>
      </c>
      <c r="H1144" s="259">
        <v>3292</v>
      </c>
      <c r="I1144" s="259">
        <v>3269</v>
      </c>
      <c r="J1144" s="259">
        <v>4129</v>
      </c>
      <c r="K1144" s="259">
        <v>5667</v>
      </c>
      <c r="L1144" s="180">
        <v>5984</v>
      </c>
      <c r="M1144" s="180">
        <v>6167</v>
      </c>
      <c r="N1144" s="180"/>
      <c r="O1144" s="180">
        <f>P1144</f>
        <v>6131</v>
      </c>
      <c r="P1144" s="259">
        <v>6131</v>
      </c>
      <c r="Q1144" s="180">
        <v>6229</v>
      </c>
      <c r="R1144" s="180">
        <v>6208</v>
      </c>
      <c r="S1144" s="180">
        <f>U1144</f>
        <v>3916</v>
      </c>
      <c r="T1144" s="180">
        <f>U1144</f>
        <v>3916</v>
      </c>
      <c r="U1144" s="259">
        <v>3916</v>
      </c>
      <c r="V1144" s="180">
        <v>3145</v>
      </c>
      <c r="W1144" s="180">
        <v>3179</v>
      </c>
      <c r="X1144" s="965">
        <f>Z1144</f>
        <v>2658</v>
      </c>
      <c r="Y1144" s="180">
        <f>Z1144</f>
        <v>2658</v>
      </c>
      <c r="Z1144" s="259">
        <v>2658</v>
      </c>
      <c r="AA1144" s="761">
        <f>AE1144</f>
        <v>2658</v>
      </c>
      <c r="AB1144" s="181">
        <f>AE1144</f>
        <v>2658</v>
      </c>
      <c r="AC1144" s="181">
        <f>AE1144</f>
        <v>2658</v>
      </c>
      <c r="AD1144" s="181">
        <f>AE1144</f>
        <v>2658</v>
      </c>
      <c r="AE1144" s="312">
        <f>Z1144</f>
        <v>2658</v>
      </c>
      <c r="AF1144" s="312">
        <f>AE1144</f>
        <v>2658</v>
      </c>
      <c r="AG1144" s="312">
        <f t="shared" ref="AG1144:AL1144" si="973">AF1144</f>
        <v>2658</v>
      </c>
      <c r="AH1144" s="312">
        <f t="shared" si="973"/>
        <v>2658</v>
      </c>
      <c r="AI1144" s="312">
        <f t="shared" si="973"/>
        <v>2658</v>
      </c>
      <c r="AJ1144" s="312">
        <f t="shared" si="973"/>
        <v>2658</v>
      </c>
      <c r="AK1144" s="312">
        <f t="shared" si="973"/>
        <v>2658</v>
      </c>
      <c r="AL1144" s="312">
        <f t="shared" si="973"/>
        <v>2658</v>
      </c>
      <c r="AM1144" s="651"/>
      <c r="AN1144" s="306"/>
      <c r="AO1144" s="306"/>
    </row>
    <row r="1145" spans="2:41" s="134" customFormat="1">
      <c r="B1145" s="228"/>
      <c r="C1145" s="229"/>
      <c r="D1145" s="134" t="s">
        <v>185</v>
      </c>
      <c r="G1145" s="259"/>
      <c r="H1145" s="259">
        <v>2612</v>
      </c>
      <c r="I1145" s="259">
        <v>2846</v>
      </c>
      <c r="J1145" s="259">
        <v>3648</v>
      </c>
      <c r="K1145" s="259"/>
      <c r="L1145" s="180"/>
      <c r="M1145" s="180"/>
      <c r="N1145" s="180"/>
      <c r="O1145" s="180"/>
      <c r="P1145" s="259"/>
      <c r="Q1145" s="180"/>
      <c r="R1145" s="180"/>
      <c r="S1145" s="180"/>
      <c r="T1145" s="180"/>
      <c r="U1145" s="259"/>
      <c r="V1145" s="180"/>
      <c r="W1145" s="180"/>
      <c r="X1145" s="180"/>
      <c r="Y1145" s="180"/>
      <c r="Z1145" s="306"/>
      <c r="AA1145" s="307"/>
      <c r="AB1145" s="307"/>
      <c r="AC1145" s="307"/>
      <c r="AD1145" s="307"/>
      <c r="AE1145" s="306"/>
      <c r="AF1145" s="306"/>
      <c r="AG1145" s="306"/>
      <c r="AH1145" s="306"/>
      <c r="AI1145" s="306"/>
      <c r="AJ1145" s="306"/>
      <c r="AK1145" s="306"/>
      <c r="AL1145" s="306"/>
      <c r="AM1145" s="651"/>
      <c r="AN1145" s="306"/>
      <c r="AO1145" s="306"/>
    </row>
    <row r="1146" spans="2:41" s="134" customFormat="1">
      <c r="B1146" s="228"/>
      <c r="C1146" s="229"/>
      <c r="D1146" s="134" t="s">
        <v>53</v>
      </c>
      <c r="G1146" s="259">
        <v>0</v>
      </c>
      <c r="H1146" s="259">
        <v>0</v>
      </c>
      <c r="I1146" s="259">
        <v>0</v>
      </c>
      <c r="J1146" s="259">
        <v>0</v>
      </c>
      <c r="K1146" s="259">
        <v>0</v>
      </c>
      <c r="L1146" s="180">
        <v>0</v>
      </c>
      <c r="M1146" s="180">
        <v>0</v>
      </c>
      <c r="N1146" s="180"/>
      <c r="O1146" s="180">
        <v>0</v>
      </c>
      <c r="P1146" s="259">
        <v>0</v>
      </c>
      <c r="Q1146" s="180">
        <v>0</v>
      </c>
      <c r="R1146" s="180">
        <v>0</v>
      </c>
      <c r="S1146" s="180">
        <v>0</v>
      </c>
      <c r="T1146" s="180">
        <v>0</v>
      </c>
      <c r="U1146" s="259">
        <v>0</v>
      </c>
      <c r="V1146" s="180">
        <v>0</v>
      </c>
      <c r="W1146" s="180">
        <v>0</v>
      </c>
      <c r="X1146" s="180">
        <v>0</v>
      </c>
      <c r="Y1146" s="180">
        <v>0</v>
      </c>
      <c r="Z1146" s="259">
        <v>0</v>
      </c>
      <c r="AA1146" s="307"/>
      <c r="AB1146" s="307"/>
      <c r="AC1146" s="307"/>
      <c r="AD1146" s="307"/>
      <c r="AE1146" s="306"/>
      <c r="AF1146" s="306"/>
      <c r="AG1146" s="306"/>
      <c r="AH1146" s="306"/>
      <c r="AI1146" s="306"/>
      <c r="AJ1146" s="306"/>
      <c r="AK1146" s="306"/>
      <c r="AL1146" s="306"/>
      <c r="AM1146" s="651"/>
      <c r="AN1146" s="306"/>
      <c r="AO1146" s="306"/>
    </row>
    <row r="1147" spans="2:41" s="134" customFormat="1">
      <c r="B1147" s="228"/>
      <c r="C1147" s="229"/>
      <c r="G1147" s="259"/>
      <c r="H1147" s="259"/>
      <c r="I1147" s="259"/>
      <c r="J1147" s="259"/>
      <c r="K1147" s="259"/>
      <c r="L1147" s="180"/>
      <c r="M1147" s="180"/>
      <c r="N1147" s="180"/>
      <c r="O1147" s="180"/>
      <c r="P1147" s="259"/>
      <c r="Q1147" s="180"/>
      <c r="R1147" s="180"/>
      <c r="S1147" s="180"/>
      <c r="T1147" s="180"/>
      <c r="U1147" s="259"/>
      <c r="V1147" s="180"/>
      <c r="W1147" s="180"/>
      <c r="X1147" s="180"/>
      <c r="Y1147" s="180"/>
      <c r="Z1147" s="306"/>
      <c r="AA1147" s="307"/>
      <c r="AB1147" s="307"/>
      <c r="AC1147" s="307"/>
      <c r="AD1147" s="307"/>
      <c r="AE1147" s="306"/>
      <c r="AF1147" s="306"/>
      <c r="AG1147" s="306"/>
      <c r="AH1147" s="306"/>
      <c r="AI1147" s="306"/>
      <c r="AJ1147" s="306"/>
      <c r="AK1147" s="306"/>
      <c r="AL1147" s="306"/>
      <c r="AM1147" s="651"/>
      <c r="AN1147" s="306"/>
      <c r="AO1147" s="306"/>
    </row>
    <row r="1148" spans="2:41" s="134" customFormat="1">
      <c r="B1148" s="228"/>
      <c r="C1148" s="229"/>
      <c r="G1148" s="259"/>
      <c r="H1148" s="259"/>
      <c r="I1148" s="259"/>
      <c r="J1148" s="259"/>
      <c r="K1148" s="259"/>
      <c r="L1148" s="180"/>
      <c r="M1148" s="180"/>
      <c r="N1148" s="180"/>
      <c r="O1148" s="180"/>
      <c r="P1148" s="259"/>
      <c r="Q1148" s="180"/>
      <c r="R1148" s="180"/>
      <c r="S1148" s="180"/>
      <c r="T1148" s="180"/>
      <c r="U1148" s="259"/>
      <c r="V1148" s="180"/>
      <c r="W1148" s="180"/>
      <c r="X1148" s="180"/>
      <c r="Y1148" s="180"/>
      <c r="Z1148" s="306"/>
      <c r="AA1148" s="307"/>
      <c r="AB1148" s="307"/>
      <c r="AC1148" s="307"/>
      <c r="AD1148" s="307"/>
      <c r="AE1148" s="306"/>
      <c r="AF1148" s="306"/>
      <c r="AG1148" s="306"/>
      <c r="AH1148" s="306"/>
      <c r="AI1148" s="306"/>
      <c r="AJ1148" s="306"/>
      <c r="AK1148" s="306"/>
      <c r="AL1148" s="306"/>
      <c r="AM1148" s="651"/>
      <c r="AN1148" s="306"/>
      <c r="AO1148" s="306"/>
    </row>
    <row r="1149" spans="2:41" s="134" customFormat="1">
      <c r="B1149" s="228"/>
      <c r="C1149" s="229"/>
      <c r="G1149" s="259"/>
      <c r="H1149" s="259"/>
      <c r="I1149" s="259"/>
      <c r="J1149" s="259"/>
      <c r="K1149" s="259"/>
      <c r="L1149" s="180"/>
      <c r="M1149" s="180"/>
      <c r="N1149" s="180"/>
      <c r="O1149" s="180"/>
      <c r="P1149" s="259"/>
      <c r="Q1149" s="180"/>
      <c r="R1149" s="180"/>
      <c r="S1149" s="180"/>
      <c r="T1149" s="180"/>
      <c r="U1149" s="259"/>
      <c r="V1149" s="180"/>
      <c r="W1149" s="180"/>
      <c r="X1149" s="180"/>
      <c r="Y1149" s="180"/>
      <c r="Z1149" s="306"/>
      <c r="AA1149" s="307"/>
      <c r="AB1149" s="307"/>
      <c r="AC1149" s="307"/>
      <c r="AD1149" s="307"/>
      <c r="AE1149" s="306"/>
      <c r="AF1149" s="306"/>
      <c r="AG1149" s="306"/>
      <c r="AH1149" s="306"/>
      <c r="AI1149" s="306"/>
      <c r="AJ1149" s="306"/>
      <c r="AK1149" s="306"/>
      <c r="AL1149" s="306"/>
      <c r="AM1149" s="651"/>
      <c r="AN1149" s="306"/>
      <c r="AO1149" s="306"/>
    </row>
    <row r="1150" spans="2:41" s="134" customFormat="1">
      <c r="B1150" s="228"/>
      <c r="C1150" s="229"/>
      <c r="G1150" s="306"/>
      <c r="H1150" s="306"/>
      <c r="I1150" s="259"/>
      <c r="J1150" s="259"/>
      <c r="K1150" s="259"/>
      <c r="L1150" s="180"/>
      <c r="M1150" s="180"/>
      <c r="N1150" s="180"/>
      <c r="O1150" s="180"/>
      <c r="P1150" s="259"/>
      <c r="Q1150" s="180"/>
      <c r="R1150" s="180"/>
      <c r="S1150" s="180"/>
      <c r="T1150" s="180"/>
      <c r="U1150" s="259"/>
      <c r="V1150" s="180"/>
      <c r="W1150" s="180"/>
      <c r="X1150" s="180"/>
      <c r="Y1150" s="180"/>
      <c r="Z1150" s="306"/>
      <c r="AA1150" s="307"/>
      <c r="AB1150" s="307"/>
      <c r="AC1150" s="307"/>
      <c r="AD1150" s="307"/>
      <c r="AE1150" s="306"/>
      <c r="AF1150" s="306"/>
      <c r="AG1150" s="306"/>
      <c r="AH1150" s="306"/>
      <c r="AI1150" s="306"/>
      <c r="AJ1150" s="306"/>
      <c r="AK1150" s="306"/>
      <c r="AL1150" s="306"/>
      <c r="AM1150" s="651"/>
      <c r="AN1150" s="306"/>
      <c r="AO1150" s="306"/>
    </row>
    <row r="1151" spans="2:41" s="134" customFormat="1">
      <c r="B1151" s="228"/>
      <c r="C1151" s="229"/>
      <c r="G1151" s="306"/>
      <c r="H1151" s="306"/>
      <c r="I1151" s="306"/>
      <c r="J1151" s="306"/>
      <c r="K1151" s="306"/>
      <c r="L1151" s="307"/>
      <c r="M1151" s="307"/>
      <c r="N1151" s="307"/>
      <c r="O1151" s="307"/>
      <c r="P1151" s="306"/>
      <c r="Q1151" s="307"/>
      <c r="R1151" s="307"/>
      <c r="S1151" s="307"/>
      <c r="T1151" s="307"/>
      <c r="U1151" s="306"/>
      <c r="V1151" s="307"/>
      <c r="W1151" s="307"/>
      <c r="X1151" s="307"/>
      <c r="Y1151" s="307"/>
      <c r="Z1151" s="306"/>
      <c r="AA1151" s="307"/>
      <c r="AB1151" s="307"/>
      <c r="AC1151" s="307"/>
      <c r="AD1151" s="307"/>
      <c r="AE1151" s="306"/>
      <c r="AF1151" s="306"/>
      <c r="AG1151" s="306"/>
      <c r="AH1151" s="306"/>
      <c r="AI1151" s="306"/>
      <c r="AJ1151" s="306"/>
      <c r="AK1151" s="306"/>
      <c r="AL1151" s="306"/>
      <c r="AM1151" s="651"/>
      <c r="AN1151" s="306"/>
      <c r="AO1151" s="306"/>
    </row>
    <row r="1152" spans="2:41" s="134" customFormat="1">
      <c r="B1152" s="228"/>
      <c r="C1152" s="229"/>
      <c r="G1152" s="306"/>
      <c r="H1152" s="306"/>
      <c r="I1152" s="306"/>
      <c r="J1152" s="306"/>
      <c r="K1152" s="306"/>
      <c r="L1152" s="307"/>
      <c r="M1152" s="307"/>
      <c r="N1152" s="307"/>
      <c r="O1152" s="307"/>
      <c r="P1152" s="306"/>
      <c r="Q1152" s="307"/>
      <c r="R1152" s="307"/>
      <c r="S1152" s="307"/>
      <c r="T1152" s="307"/>
      <c r="U1152" s="306"/>
      <c r="V1152" s="307"/>
      <c r="W1152" s="307"/>
      <c r="X1152" s="307"/>
      <c r="Y1152" s="307"/>
      <c r="Z1152" s="306"/>
      <c r="AA1152" s="307"/>
      <c r="AB1152" s="307"/>
      <c r="AC1152" s="307"/>
      <c r="AD1152" s="307"/>
      <c r="AE1152" s="306"/>
      <c r="AF1152" s="306"/>
      <c r="AG1152" s="306"/>
      <c r="AH1152" s="306"/>
      <c r="AI1152" s="306"/>
      <c r="AJ1152" s="306"/>
      <c r="AK1152" s="306"/>
      <c r="AL1152" s="306"/>
      <c r="AM1152" s="651"/>
      <c r="AN1152" s="306"/>
      <c r="AO1152" s="306"/>
    </row>
    <row r="1153" spans="2:41" s="134" customFormat="1">
      <c r="B1153" s="228"/>
      <c r="C1153" s="229"/>
      <c r="G1153" s="306"/>
      <c r="H1153" s="306"/>
      <c r="I1153" s="306"/>
      <c r="J1153" s="306"/>
      <c r="K1153" s="306"/>
      <c r="L1153" s="307"/>
      <c r="M1153" s="307"/>
      <c r="N1153" s="307"/>
      <c r="O1153" s="307"/>
      <c r="P1153" s="306"/>
      <c r="Q1153" s="307"/>
      <c r="R1153" s="307"/>
      <c r="S1153" s="307"/>
      <c r="T1153" s="307"/>
      <c r="U1153" s="306"/>
      <c r="V1153" s="307"/>
      <c r="W1153" s="307"/>
      <c r="X1153" s="307"/>
      <c r="Y1153" s="307"/>
      <c r="Z1153" s="306"/>
      <c r="AA1153" s="307"/>
      <c r="AB1153" s="307"/>
      <c r="AC1153" s="307"/>
      <c r="AD1153" s="307"/>
      <c r="AE1153" s="306"/>
      <c r="AF1153" s="306"/>
      <c r="AG1153" s="306"/>
      <c r="AH1153" s="306"/>
      <c r="AI1153" s="306"/>
      <c r="AJ1153" s="306"/>
      <c r="AK1153" s="306"/>
      <c r="AL1153" s="306"/>
      <c r="AM1153" s="651"/>
      <c r="AN1153" s="306"/>
      <c r="AO1153" s="306"/>
    </row>
    <row r="1154" spans="2:41" s="134" customFormat="1">
      <c r="B1154" s="83"/>
      <c r="C1154" s="83"/>
      <c r="D1154" s="83" t="s">
        <v>780</v>
      </c>
      <c r="E1154" s="83"/>
      <c r="F1154" s="83"/>
      <c r="G1154" s="83"/>
      <c r="H1154" s="83"/>
      <c r="I1154" s="83"/>
      <c r="J1154" s="83"/>
      <c r="K1154" s="83"/>
      <c r="L1154" s="385"/>
      <c r="M1154" s="232">
        <f>M1101</f>
        <v>78</v>
      </c>
      <c r="N1154" s="385">
        <v>209</v>
      </c>
      <c r="O1154" s="385"/>
      <c r="P1154" s="141">
        <v>407</v>
      </c>
      <c r="Q1154" s="385">
        <v>212</v>
      </c>
      <c r="R1154" s="385">
        <v>295</v>
      </c>
      <c r="S1154" s="385">
        <v>255</v>
      </c>
      <c r="T1154" s="385"/>
      <c r="U1154" s="141">
        <v>975</v>
      </c>
      <c r="V1154" s="148">
        <f>V1101</f>
        <v>176</v>
      </c>
      <c r="W1154" s="148">
        <f>W1101</f>
        <v>44</v>
      </c>
      <c r="X1154" s="232">
        <f>X1101</f>
        <v>94</v>
      </c>
      <c r="Y1154" s="232">
        <f>Y1101</f>
        <v>140</v>
      </c>
      <c r="Z1154" s="231">
        <f>Z1101</f>
        <v>454</v>
      </c>
      <c r="AA1154" s="232">
        <f t="shared" ref="AA1154:AL1154" si="974">AA1101</f>
        <v>256.39048003278685</v>
      </c>
      <c r="AB1154" s="232">
        <f t="shared" si="974"/>
        <v>237.0259811144247</v>
      </c>
      <c r="AC1154" s="232">
        <f t="shared" si="974"/>
        <v>237.89283823529411</v>
      </c>
      <c r="AD1154" s="232">
        <f t="shared" si="974"/>
        <v>237.89283823529411</v>
      </c>
      <c r="AE1154" s="231">
        <f>AE1101</f>
        <v>969.20213761779974</v>
      </c>
      <c r="AF1154" s="231">
        <f t="shared" si="974"/>
        <v>1026.1887990122584</v>
      </c>
      <c r="AG1154" s="231">
        <f t="shared" si="974"/>
        <v>1243.7550687009436</v>
      </c>
      <c r="AH1154" s="231">
        <f t="shared" si="974"/>
        <v>1328.9595304700592</v>
      </c>
      <c r="AI1154" s="231">
        <f t="shared" si="974"/>
        <v>1328.9595304700592</v>
      </c>
      <c r="AJ1154" s="231">
        <f t="shared" si="974"/>
        <v>1328.9595304700592</v>
      </c>
      <c r="AK1154" s="231">
        <f t="shared" si="974"/>
        <v>1328.9595304700592</v>
      </c>
      <c r="AL1154" s="231">
        <f t="shared" si="974"/>
        <v>1328.9595304700592</v>
      </c>
      <c r="AM1154" s="651"/>
      <c r="AN1154" s="306"/>
      <c r="AO1154" s="306"/>
    </row>
    <row r="1155" spans="2:41" s="134" customFormat="1">
      <c r="B1155" s="83"/>
      <c r="C1155" s="83"/>
      <c r="D1155" s="83" t="s">
        <v>525</v>
      </c>
      <c r="E1155" s="83"/>
      <c r="F1155" s="83"/>
      <c r="G1155" s="83"/>
      <c r="H1155" s="83"/>
      <c r="I1155" s="83"/>
      <c r="J1155" s="83"/>
      <c r="K1155" s="83"/>
      <c r="L1155" s="385"/>
      <c r="M1155" s="148"/>
      <c r="N1155" s="385"/>
      <c r="O1155" s="385"/>
      <c r="P1155" s="141"/>
      <c r="Q1155" s="385"/>
      <c r="R1155" s="385"/>
      <c r="S1155" s="385"/>
      <c r="T1155" s="385"/>
      <c r="U1155" s="141"/>
      <c r="V1155" s="148"/>
      <c r="W1155" s="148"/>
      <c r="X1155" s="148"/>
      <c r="Y1155" s="148"/>
      <c r="Z1155" s="310"/>
      <c r="AA1155" s="148"/>
      <c r="AB1155" s="148"/>
      <c r="AC1155" s="148"/>
      <c r="AD1155" s="148"/>
      <c r="AE1155" s="113"/>
      <c r="AF1155" s="113"/>
      <c r="AG1155" s="113"/>
      <c r="AH1155" s="113"/>
      <c r="AI1155" s="113"/>
      <c r="AJ1155" s="113"/>
      <c r="AK1155" s="113"/>
      <c r="AL1155" s="113"/>
      <c r="AM1155" s="651"/>
      <c r="AN1155" s="306"/>
      <c r="AO1155" s="306"/>
    </row>
    <row r="1156" spans="2:41" s="134" customFormat="1">
      <c r="B1156" s="83" t="s">
        <v>810</v>
      </c>
      <c r="C1156" s="83"/>
      <c r="D1156" s="83" t="s">
        <v>781</v>
      </c>
      <c r="E1156" s="83"/>
      <c r="F1156" s="83"/>
      <c r="G1156" s="83"/>
      <c r="H1156" s="83"/>
      <c r="I1156" s="83"/>
      <c r="J1156" s="83"/>
      <c r="K1156" s="83"/>
      <c r="L1156" s="385" t="s">
        <v>787</v>
      </c>
      <c r="M1156" s="775">
        <f>M1104</f>
        <v>-22</v>
      </c>
      <c r="N1156" s="385">
        <v>-66</v>
      </c>
      <c r="O1156" s="385"/>
      <c r="P1156" s="141">
        <v>-181</v>
      </c>
      <c r="Q1156" s="385">
        <v>-73</v>
      </c>
      <c r="R1156" s="385">
        <v>-90</v>
      </c>
      <c r="S1156" s="385">
        <v>-79</v>
      </c>
      <c r="T1156" s="385"/>
      <c r="U1156" s="141">
        <v>-322</v>
      </c>
      <c r="V1156" s="148">
        <v>-97</v>
      </c>
      <c r="W1156" s="148">
        <f>W1104</f>
        <v>-34</v>
      </c>
      <c r="X1156" s="148">
        <v>-33</v>
      </c>
      <c r="Y1156" s="148">
        <v>-54</v>
      </c>
      <c r="Z1156" s="383">
        <f>SUM(V1156:Y1156)</f>
        <v>-218</v>
      </c>
      <c r="AA1156" s="775">
        <f t="shared" ref="AA1156:AL1156" si="975">AA1104</f>
        <v>0</v>
      </c>
      <c r="AB1156" s="775">
        <f t="shared" si="975"/>
        <v>0</v>
      </c>
      <c r="AC1156" s="775">
        <f t="shared" si="975"/>
        <v>0</v>
      </c>
      <c r="AD1156" s="775">
        <f t="shared" si="975"/>
        <v>0</v>
      </c>
      <c r="AE1156" s="383">
        <f t="shared" si="975"/>
        <v>0</v>
      </c>
      <c r="AF1156" s="383">
        <f t="shared" si="975"/>
        <v>0</v>
      </c>
      <c r="AG1156" s="383">
        <f t="shared" si="975"/>
        <v>0</v>
      </c>
      <c r="AH1156" s="383">
        <f t="shared" si="975"/>
        <v>0</v>
      </c>
      <c r="AI1156" s="383">
        <f t="shared" si="975"/>
        <v>0</v>
      </c>
      <c r="AJ1156" s="383">
        <f t="shared" si="975"/>
        <v>0</v>
      </c>
      <c r="AK1156" s="383">
        <f t="shared" si="975"/>
        <v>0</v>
      </c>
      <c r="AL1156" s="383">
        <f t="shared" si="975"/>
        <v>0</v>
      </c>
      <c r="AM1156" s="651"/>
      <c r="AN1156" s="306"/>
      <c r="AO1156" s="306"/>
    </row>
    <row r="1157" spans="2:41" s="134" customFormat="1">
      <c r="B1157" s="83"/>
      <c r="C1157" s="83"/>
      <c r="D1157" s="83" t="s">
        <v>782</v>
      </c>
      <c r="E1157" s="83"/>
      <c r="F1157" s="83"/>
      <c r="G1157" s="83"/>
      <c r="H1157" s="83"/>
      <c r="I1157" s="83"/>
      <c r="J1157" s="83"/>
      <c r="K1157" s="83"/>
      <c r="L1157" s="385" t="s">
        <v>787</v>
      </c>
      <c r="M1157" s="180">
        <v>0</v>
      </c>
      <c r="N1157" s="385">
        <v>-18</v>
      </c>
      <c r="O1157" s="385"/>
      <c r="P1157" s="141">
        <v>-18</v>
      </c>
      <c r="Q1157" s="385">
        <v>-8</v>
      </c>
      <c r="R1157" s="385">
        <v>-9</v>
      </c>
      <c r="S1157" s="385">
        <v>-7</v>
      </c>
      <c r="T1157" s="385"/>
      <c r="U1157" s="141">
        <v>-32</v>
      </c>
      <c r="V1157" s="148">
        <v>-7</v>
      </c>
      <c r="W1157" s="148">
        <v>0</v>
      </c>
      <c r="X1157" s="148">
        <v>-9</v>
      </c>
      <c r="Y1157" s="148">
        <v>-4</v>
      </c>
      <c r="Z1157" s="383">
        <f>SUM(V1157:Y1157)</f>
        <v>-20</v>
      </c>
      <c r="AA1157" s="180">
        <v>0</v>
      </c>
      <c r="AB1157" s="180">
        <v>0</v>
      </c>
      <c r="AC1157" s="180">
        <v>0</v>
      </c>
      <c r="AD1157" s="180">
        <v>0</v>
      </c>
      <c r="AE1157" s="259">
        <v>1</v>
      </c>
      <c r="AF1157" s="259">
        <v>2</v>
      </c>
      <c r="AG1157" s="259">
        <v>3</v>
      </c>
      <c r="AH1157" s="259">
        <v>4</v>
      </c>
      <c r="AI1157" s="259">
        <v>5</v>
      </c>
      <c r="AJ1157" s="259">
        <v>6</v>
      </c>
      <c r="AK1157" s="259">
        <v>7</v>
      </c>
      <c r="AL1157" s="259">
        <v>8</v>
      </c>
      <c r="AM1157" s="651"/>
      <c r="AN1157" s="306"/>
      <c r="AO1157" s="306"/>
    </row>
    <row r="1158" spans="2:41" s="134" customFormat="1">
      <c r="B1158" s="83"/>
      <c r="C1158" s="83"/>
      <c r="D1158" s="83" t="s">
        <v>783</v>
      </c>
      <c r="E1158" s="83"/>
      <c r="F1158" s="83"/>
      <c r="G1158" s="83"/>
      <c r="H1158" s="83"/>
      <c r="I1158" s="83"/>
      <c r="J1158" s="83"/>
      <c r="K1158" s="83"/>
      <c r="L1158" s="385" t="s">
        <v>787</v>
      </c>
      <c r="M1158" s="232" t="e">
        <f ca="1">M1100</f>
        <v>#NAME?</v>
      </c>
      <c r="N1158" s="385">
        <v>7</v>
      </c>
      <c r="O1158" s="385"/>
      <c r="P1158" s="141">
        <v>14</v>
      </c>
      <c r="Q1158" s="385">
        <v>5</v>
      </c>
      <c r="R1158" s="385">
        <v>4</v>
      </c>
      <c r="S1158" s="385">
        <v>6</v>
      </c>
      <c r="T1158" s="385"/>
      <c r="U1158" s="141">
        <v>18</v>
      </c>
      <c r="V1158" s="1107">
        <v>3</v>
      </c>
      <c r="W1158" s="1107" t="e">
        <f ca="1">W1100</f>
        <v>#NAME?</v>
      </c>
      <c r="X1158" s="1107" t="e">
        <f ca="1">X1100</f>
        <v>#NAME?</v>
      </c>
      <c r="Y1158" s="1107">
        <v>1</v>
      </c>
      <c r="Z1158" s="383" t="e">
        <f ca="1">SUM(V1158:Y1158)</f>
        <v>#NAME?</v>
      </c>
      <c r="AA1158" s="232">
        <f t="shared" ref="AA1158:AL1158" si="976">AA1100</f>
        <v>1.2862499999999999</v>
      </c>
      <c r="AB1158" s="232">
        <f t="shared" si="976"/>
        <v>1.2862499999999999</v>
      </c>
      <c r="AC1158" s="232">
        <f t="shared" si="976"/>
        <v>1.2862499999999999</v>
      </c>
      <c r="AD1158" s="232">
        <f t="shared" si="976"/>
        <v>1.2862499999999999</v>
      </c>
      <c r="AE1158" s="231">
        <f t="shared" si="976"/>
        <v>5.1449999999999996</v>
      </c>
      <c r="AF1158" s="231">
        <f t="shared" si="976"/>
        <v>5.88</v>
      </c>
      <c r="AG1158" s="231">
        <f t="shared" si="976"/>
        <v>6.86</v>
      </c>
      <c r="AH1158" s="231">
        <f t="shared" si="976"/>
        <v>6.86</v>
      </c>
      <c r="AI1158" s="231">
        <f t="shared" si="976"/>
        <v>6.86</v>
      </c>
      <c r="AJ1158" s="231">
        <f t="shared" si="976"/>
        <v>6.86</v>
      </c>
      <c r="AK1158" s="231">
        <f t="shared" si="976"/>
        <v>6.86</v>
      </c>
      <c r="AL1158" s="231">
        <f t="shared" si="976"/>
        <v>6.86</v>
      </c>
      <c r="AM1158" s="651"/>
      <c r="AN1158" s="306"/>
      <c r="AO1158" s="306"/>
    </row>
    <row r="1159" spans="2:41" s="134" customFormat="1">
      <c r="B1159" s="83"/>
      <c r="C1159" s="83"/>
      <c r="D1159" s="83" t="s">
        <v>784</v>
      </c>
      <c r="E1159" s="83"/>
      <c r="F1159" s="83"/>
      <c r="G1159" s="83"/>
      <c r="H1159" s="83"/>
      <c r="I1159" s="83"/>
      <c r="J1159" s="83"/>
      <c r="K1159" s="83"/>
      <c r="L1159" s="385" t="s">
        <v>811</v>
      </c>
      <c r="M1159" s="232" t="e">
        <f ca="1">M1154+M1156+M1157+M1158</f>
        <v>#NAME?</v>
      </c>
      <c r="N1159" s="385">
        <v>132</v>
      </c>
      <c r="O1159" s="385"/>
      <c r="P1159" s="141">
        <v>222</v>
      </c>
      <c r="Q1159" s="385">
        <v>136</v>
      </c>
      <c r="R1159" s="385">
        <v>200</v>
      </c>
      <c r="S1159" s="385">
        <v>175</v>
      </c>
      <c r="T1159" s="385"/>
      <c r="U1159" s="141">
        <v>639</v>
      </c>
      <c r="V1159" s="232">
        <f>V1154+V1156+V1157+V1158</f>
        <v>75</v>
      </c>
      <c r="W1159" s="1107" t="e">
        <f ca="1">W1154+W1156+W1157+W1158</f>
        <v>#NAME?</v>
      </c>
      <c r="X1159" s="232" t="e">
        <f ca="1">X1154+X1156+X1157+X1158</f>
        <v>#NAME?</v>
      </c>
      <c r="Y1159" s="232">
        <f>Y1154+Y1156+Y1157+Y1158</f>
        <v>83</v>
      </c>
      <c r="Z1159" s="383" t="e">
        <f ca="1">SUM(V1159:Y1159)</f>
        <v>#NAME?</v>
      </c>
      <c r="AA1159" s="232">
        <f t="shared" ref="AA1159:AL1159" si="977">AA1154+AA1156+AA1157+AA1158</f>
        <v>257.67673003278685</v>
      </c>
      <c r="AB1159" s="232">
        <f t="shared" si="977"/>
        <v>238.31223111442469</v>
      </c>
      <c r="AC1159" s="232">
        <f t="shared" si="977"/>
        <v>239.1790882352941</v>
      </c>
      <c r="AD1159" s="232">
        <f>AD1154+AD1156+AD1157+AD1158</f>
        <v>239.1790882352941</v>
      </c>
      <c r="AE1159" s="231">
        <f t="shared" si="977"/>
        <v>975.34713761779972</v>
      </c>
      <c r="AF1159" s="231">
        <f t="shared" si="977"/>
        <v>1034.0687990122585</v>
      </c>
      <c r="AG1159" s="231">
        <f t="shared" si="977"/>
        <v>1253.6150687009435</v>
      </c>
      <c r="AH1159" s="231">
        <f t="shared" si="977"/>
        <v>1339.8195304700591</v>
      </c>
      <c r="AI1159" s="231">
        <f t="shared" si="977"/>
        <v>1340.8195304700591</v>
      </c>
      <c r="AJ1159" s="231">
        <f t="shared" si="977"/>
        <v>1341.8195304700591</v>
      </c>
      <c r="AK1159" s="231">
        <f t="shared" si="977"/>
        <v>1342.8195304700591</v>
      </c>
      <c r="AL1159" s="231">
        <f t="shared" si="977"/>
        <v>1343.8195304700591</v>
      </c>
      <c r="AM1159" s="651"/>
      <c r="AN1159" s="306"/>
      <c r="AO1159" s="306"/>
    </row>
    <row r="1160" spans="2:41" s="134" customFormat="1">
      <c r="B1160" s="83"/>
      <c r="C1160" s="83"/>
      <c r="D1160" s="83" t="s">
        <v>785</v>
      </c>
      <c r="E1160" s="83"/>
      <c r="F1160" s="83"/>
      <c r="G1160" s="83"/>
      <c r="H1160" s="83"/>
      <c r="I1160" s="83"/>
      <c r="J1160" s="83"/>
      <c r="K1160" s="83"/>
      <c r="L1160" s="385" t="s">
        <v>811</v>
      </c>
      <c r="M1160" s="775">
        <f>M1106</f>
        <v>-77</v>
      </c>
      <c r="N1160" s="385">
        <v>223</v>
      </c>
      <c r="O1160" s="385"/>
      <c r="P1160" s="141">
        <v>572</v>
      </c>
      <c r="Q1160" s="385">
        <v>217</v>
      </c>
      <c r="R1160" s="385">
        <v>261</v>
      </c>
      <c r="S1160" s="385">
        <v>243</v>
      </c>
      <c r="T1160" s="385"/>
      <c r="U1160" s="141">
        <v>965</v>
      </c>
      <c r="V1160" s="775">
        <f>-V1106</f>
        <v>299</v>
      </c>
      <c r="W1160" s="148">
        <f>-W1106</f>
        <v>139</v>
      </c>
      <c r="X1160" s="775">
        <v>156</v>
      </c>
      <c r="Y1160" s="775">
        <f>-Y1106</f>
        <v>186</v>
      </c>
      <c r="Z1160" s="383">
        <f>SUM(V1160:Y1160)</f>
        <v>780</v>
      </c>
      <c r="AA1160" s="775">
        <f t="shared" ref="AA1160:AD1160" si="978">AA1106</f>
        <v>-129.06494562833691</v>
      </c>
      <c r="AB1160" s="775">
        <f t="shared" si="978"/>
        <v>-109.70044670997476</v>
      </c>
      <c r="AC1160" s="775">
        <f t="shared" si="978"/>
        <v>-110.56730383084417</v>
      </c>
      <c r="AD1160" s="775">
        <f t="shared" si="978"/>
        <v>-110.56730383084417</v>
      </c>
      <c r="AE1160" s="383">
        <f>-AE1106</f>
        <v>459.9</v>
      </c>
      <c r="AF1160" s="383">
        <f>-AF1106</f>
        <v>444.12921316334439</v>
      </c>
      <c r="AG1160" s="383">
        <f t="shared" ref="AG1160:AL1160" si="979">(AG1106)*-1</f>
        <v>564.68555187721063</v>
      </c>
      <c r="AH1160" s="383">
        <f t="shared" si="979"/>
        <v>649.89001364632622</v>
      </c>
      <c r="AI1160" s="383">
        <f t="shared" si="979"/>
        <v>649.89001364632622</v>
      </c>
      <c r="AJ1160" s="383">
        <f t="shared" si="979"/>
        <v>649.89001364632622</v>
      </c>
      <c r="AK1160" s="383">
        <f t="shared" si="979"/>
        <v>649.89001364632622</v>
      </c>
      <c r="AL1160" s="383">
        <f t="shared" si="979"/>
        <v>649.89001364632622</v>
      </c>
      <c r="AM1160" s="651"/>
      <c r="AN1160" s="306"/>
      <c r="AO1160" s="306"/>
    </row>
    <row r="1161" spans="2:41" s="134" customFormat="1">
      <c r="B1161" s="83"/>
      <c r="C1161" s="83"/>
      <c r="D1161" s="83" t="s">
        <v>525</v>
      </c>
      <c r="E1161" s="83"/>
      <c r="F1161" s="83"/>
      <c r="G1161" s="83"/>
      <c r="H1161" s="83"/>
      <c r="I1161" s="83"/>
      <c r="J1161" s="83"/>
      <c r="K1161" s="83"/>
      <c r="L1161" s="385"/>
      <c r="M1161" s="148"/>
      <c r="N1161" s="385"/>
      <c r="O1161" s="385"/>
      <c r="P1161" s="141"/>
      <c r="Q1161" s="385"/>
      <c r="R1161" s="385"/>
      <c r="S1161" s="385"/>
      <c r="T1161" s="385"/>
      <c r="U1161" s="141"/>
      <c r="V1161" s="148"/>
      <c r="W1161" s="148"/>
      <c r="X1161" s="148"/>
      <c r="Y1161" s="148"/>
      <c r="Z1161" s="306"/>
      <c r="AA1161" s="148"/>
      <c r="AB1161" s="148"/>
      <c r="AC1161" s="148"/>
      <c r="AD1161" s="148"/>
      <c r="AE1161" s="113"/>
      <c r="AF1161" s="113"/>
      <c r="AG1161" s="113"/>
      <c r="AH1161" s="113"/>
      <c r="AI1161" s="113"/>
      <c r="AJ1161" s="113"/>
      <c r="AK1161" s="113"/>
      <c r="AL1161" s="113"/>
      <c r="AM1161" s="651"/>
      <c r="AN1161" s="306"/>
      <c r="AO1161" s="306"/>
    </row>
    <row r="1162" spans="2:41" s="134" customFormat="1">
      <c r="B1162" s="83"/>
      <c r="C1162" s="83"/>
      <c r="D1162" s="83" t="s">
        <v>67</v>
      </c>
      <c r="E1162" s="83"/>
      <c r="F1162" s="83"/>
      <c r="G1162" s="83"/>
      <c r="H1162" s="83"/>
      <c r="I1162" s="83"/>
      <c r="J1162" s="83"/>
      <c r="K1162" s="83"/>
      <c r="L1162" s="385" t="s">
        <v>787</v>
      </c>
      <c r="M1162" s="775">
        <f>M1105</f>
        <v>-12</v>
      </c>
      <c r="N1162" s="385">
        <v>-21</v>
      </c>
      <c r="O1162" s="385"/>
      <c r="P1162" s="141">
        <v>-59</v>
      </c>
      <c r="Q1162" s="385">
        <v>-27</v>
      </c>
      <c r="R1162" s="385">
        <v>-36</v>
      </c>
      <c r="S1162" s="385">
        <v>-37</v>
      </c>
      <c r="T1162" s="385"/>
      <c r="U1162" s="141">
        <v>-134</v>
      </c>
      <c r="V1162" s="775">
        <f>V1105</f>
        <v>-33</v>
      </c>
      <c r="W1162" s="148">
        <f>W1105</f>
        <v>-22</v>
      </c>
      <c r="X1162" s="775">
        <f>X1105</f>
        <v>-26</v>
      </c>
      <c r="Y1162" s="775">
        <f>Y1105</f>
        <v>-22</v>
      </c>
      <c r="Z1162" s="383">
        <f>SUM(V1162:Y1162)</f>
        <v>-103</v>
      </c>
      <c r="AA1162" s="775">
        <f t="shared" ref="AA1162:AL1162" si="980">AA1105</f>
        <v>-31.109768726268552</v>
      </c>
      <c r="AB1162" s="775">
        <f t="shared" si="980"/>
        <v>-31.109768726268552</v>
      </c>
      <c r="AC1162" s="775">
        <f t="shared" si="980"/>
        <v>-31.109768726268552</v>
      </c>
      <c r="AD1162" s="775">
        <f t="shared" si="980"/>
        <v>-31.109768726268552</v>
      </c>
      <c r="AE1162" s="383">
        <f t="shared" si="980"/>
        <v>-124.43907490507421</v>
      </c>
      <c r="AF1162" s="383">
        <f t="shared" si="980"/>
        <v>-142.21608560579909</v>
      </c>
      <c r="AG1162" s="383">
        <f t="shared" si="980"/>
        <v>-165.91876654009894</v>
      </c>
      <c r="AH1162" s="383">
        <f t="shared" si="980"/>
        <v>-165.91876654009894</v>
      </c>
      <c r="AI1162" s="383">
        <f t="shared" si="980"/>
        <v>-165.91876654009894</v>
      </c>
      <c r="AJ1162" s="383">
        <f t="shared" si="980"/>
        <v>-165.91876654009894</v>
      </c>
      <c r="AK1162" s="383">
        <f t="shared" si="980"/>
        <v>-165.91876654009894</v>
      </c>
      <c r="AL1162" s="383">
        <f t="shared" si="980"/>
        <v>-165.91876654009894</v>
      </c>
      <c r="AM1162" s="651"/>
      <c r="AN1162" s="306"/>
      <c r="AO1162" s="306"/>
    </row>
    <row r="1163" spans="2:41" s="134" customFormat="1">
      <c r="B1163" s="83"/>
      <c r="C1163" s="83"/>
      <c r="D1163" s="83" t="s">
        <v>786</v>
      </c>
      <c r="E1163" s="83"/>
      <c r="F1163" s="83"/>
      <c r="G1163" s="83"/>
      <c r="H1163" s="83"/>
      <c r="I1163" s="83"/>
      <c r="J1163" s="83"/>
      <c r="K1163" s="83"/>
      <c r="L1163" s="385">
        <v>0</v>
      </c>
      <c r="M1163" s="148">
        <v>0</v>
      </c>
      <c r="N1163" s="385">
        <v>0</v>
      </c>
      <c r="O1163" s="385"/>
      <c r="P1163" s="141">
        <v>-34</v>
      </c>
      <c r="Q1163" s="385"/>
      <c r="R1163" s="385">
        <v>0</v>
      </c>
      <c r="S1163" s="385">
        <v>0</v>
      </c>
      <c r="T1163" s="385"/>
      <c r="U1163" s="141" t="s">
        <v>787</v>
      </c>
      <c r="V1163" s="148">
        <v>-23</v>
      </c>
      <c r="W1163" s="148">
        <v>-23</v>
      </c>
      <c r="X1163" s="148"/>
      <c r="Y1163" s="148">
        <v>-8</v>
      </c>
      <c r="Z1163" s="383">
        <f>SUM(V1163:Y1163)</f>
        <v>-54</v>
      </c>
      <c r="AA1163" s="148"/>
      <c r="AB1163" s="148"/>
      <c r="AC1163" s="148"/>
      <c r="AD1163" s="148"/>
      <c r="AE1163" s="113"/>
      <c r="AF1163" s="113"/>
      <c r="AG1163" s="113"/>
      <c r="AH1163" s="113"/>
      <c r="AI1163" s="113"/>
      <c r="AJ1163" s="113"/>
      <c r="AK1163" s="113"/>
      <c r="AL1163" s="113"/>
      <c r="AM1163" s="651"/>
      <c r="AN1163" s="306"/>
      <c r="AO1163" s="306"/>
    </row>
    <row r="1164" spans="2:41" s="134" customFormat="1">
      <c r="B1164" s="83"/>
      <c r="C1164" s="83"/>
      <c r="D1164" s="83" t="s">
        <v>788</v>
      </c>
      <c r="E1164" s="83"/>
      <c r="F1164" s="83"/>
      <c r="G1164" s="83"/>
      <c r="H1164" s="83"/>
      <c r="I1164" s="83"/>
      <c r="J1164" s="83"/>
      <c r="K1164" s="83"/>
      <c r="L1164" s="385" t="s">
        <v>811</v>
      </c>
      <c r="M1164" s="775">
        <f>SUM(M1102:M1104)</f>
        <v>-65</v>
      </c>
      <c r="N1164" s="385">
        <v>202</v>
      </c>
      <c r="O1164" s="385"/>
      <c r="P1164" s="141">
        <v>479</v>
      </c>
      <c r="Q1164" s="385">
        <v>190</v>
      </c>
      <c r="R1164" s="385">
        <v>225</v>
      </c>
      <c r="S1164" s="385">
        <v>206</v>
      </c>
      <c r="T1164" s="385"/>
      <c r="U1164" s="141">
        <v>831</v>
      </c>
      <c r="V1164" s="775">
        <f>V1160+V1162+V1163</f>
        <v>243</v>
      </c>
      <c r="W1164" s="148">
        <f>W1160+W1162+W1163</f>
        <v>94</v>
      </c>
      <c r="X1164" s="775">
        <v>130</v>
      </c>
      <c r="Y1164" s="775">
        <f>Y1160+Y1162+Y1163</f>
        <v>156</v>
      </c>
      <c r="Z1164" s="383">
        <f>SUM(V1164:Y1164)</f>
        <v>623</v>
      </c>
      <c r="AA1164" s="775">
        <f t="shared" ref="AA1164:AL1164" si="981">SUM(AA1102:AA1104)</f>
        <v>-97.955176902068359</v>
      </c>
      <c r="AB1164" s="775">
        <f t="shared" si="981"/>
        <v>-78.5906779837062</v>
      </c>
      <c r="AC1164" s="775">
        <f t="shared" si="981"/>
        <v>-79.457535104575612</v>
      </c>
      <c r="AD1164" s="775">
        <f t="shared" si="981"/>
        <v>-79.457535104575612</v>
      </c>
      <c r="AE1164" s="383">
        <f t="shared" si="981"/>
        <v>-335.46092509492576</v>
      </c>
      <c r="AF1164" s="383">
        <f t="shared" si="981"/>
        <v>-301.91312755754529</v>
      </c>
      <c r="AG1164" s="383">
        <f t="shared" si="981"/>
        <v>-398.76678533711168</v>
      </c>
      <c r="AH1164" s="383">
        <f t="shared" si="981"/>
        <v>-483.97124710622728</v>
      </c>
      <c r="AI1164" s="383">
        <f t="shared" si="981"/>
        <v>-483.97124710622728</v>
      </c>
      <c r="AJ1164" s="383">
        <f t="shared" si="981"/>
        <v>-483.97124710622728</v>
      </c>
      <c r="AK1164" s="383">
        <f t="shared" si="981"/>
        <v>-483.97124710622728</v>
      </c>
      <c r="AL1164" s="383">
        <f t="shared" si="981"/>
        <v>-483.97124710622728</v>
      </c>
      <c r="AM1164" s="651"/>
      <c r="AN1164" s="306"/>
      <c r="AO1164" s="306"/>
    </row>
    <row r="1165" spans="2:41" s="134" customFormat="1">
      <c r="B1165" s="83"/>
      <c r="C1165" s="83"/>
      <c r="D1165" s="83" t="s">
        <v>525</v>
      </c>
      <c r="E1165" s="83"/>
      <c r="F1165" s="83"/>
      <c r="G1165" s="83"/>
      <c r="H1165" s="83"/>
      <c r="I1165" s="83"/>
      <c r="J1165" s="83"/>
      <c r="K1165" s="83"/>
      <c r="L1165" s="385"/>
      <c r="M1165" s="148"/>
      <c r="N1165" s="385"/>
      <c r="O1165" s="385"/>
      <c r="P1165" s="141"/>
      <c r="Q1165" s="385"/>
      <c r="R1165" s="385"/>
      <c r="S1165" s="385"/>
      <c r="T1165" s="385"/>
      <c r="U1165" s="141"/>
      <c r="V1165" s="148"/>
      <c r="W1165" s="148"/>
      <c r="X1165" s="148"/>
      <c r="Y1165" s="148"/>
      <c r="Z1165" s="306"/>
      <c r="AA1165" s="148"/>
      <c r="AB1165" s="148"/>
      <c r="AC1165" s="148"/>
      <c r="AD1165" s="148"/>
      <c r="AE1165" s="113"/>
      <c r="AF1165" s="113"/>
      <c r="AG1165" s="113"/>
      <c r="AH1165" s="113"/>
      <c r="AI1165" s="113"/>
      <c r="AJ1165" s="113"/>
      <c r="AK1165" s="113"/>
      <c r="AL1165" s="113"/>
      <c r="AM1165" s="651"/>
      <c r="AN1165" s="306"/>
      <c r="AO1165" s="306"/>
    </row>
    <row r="1166" spans="2:41" s="134" customFormat="1">
      <c r="B1166" s="83"/>
      <c r="C1166" s="83"/>
      <c r="D1166" s="83" t="s">
        <v>781</v>
      </c>
      <c r="E1166" s="83"/>
      <c r="F1166" s="83"/>
      <c r="G1166" s="83"/>
      <c r="H1166" s="83"/>
      <c r="I1166" s="83"/>
      <c r="J1166" s="83"/>
      <c r="K1166" s="83"/>
      <c r="L1166" s="385" t="s">
        <v>787</v>
      </c>
      <c r="M1166" s="775">
        <f>M1104</f>
        <v>-22</v>
      </c>
      <c r="N1166" s="385">
        <v>-66</v>
      </c>
      <c r="O1166" s="385"/>
      <c r="P1166" s="141">
        <v>-181</v>
      </c>
      <c r="Q1166" s="385">
        <v>-73</v>
      </c>
      <c r="R1166" s="385">
        <v>-90</v>
      </c>
      <c r="S1166" s="385">
        <v>-79</v>
      </c>
      <c r="T1166" s="385"/>
      <c r="U1166" s="141">
        <v>-322</v>
      </c>
      <c r="V1166" s="775">
        <f>V1104</f>
        <v>-100</v>
      </c>
      <c r="W1166" s="148">
        <f>W1104</f>
        <v>-34</v>
      </c>
      <c r="X1166" s="775">
        <v>-33</v>
      </c>
      <c r="Y1166" s="775">
        <v>-54</v>
      </c>
      <c r="Z1166" s="383">
        <f>SUM(V1166:Y1166)</f>
        <v>-221</v>
      </c>
      <c r="AA1166" s="775">
        <f t="shared" ref="AA1166:AL1166" si="982">AA1104</f>
        <v>0</v>
      </c>
      <c r="AB1166" s="775">
        <f t="shared" si="982"/>
        <v>0</v>
      </c>
      <c r="AC1166" s="775">
        <f t="shared" si="982"/>
        <v>0</v>
      </c>
      <c r="AD1166" s="775">
        <f t="shared" si="982"/>
        <v>0</v>
      </c>
      <c r="AE1166" s="383">
        <f t="shared" si="982"/>
        <v>0</v>
      </c>
      <c r="AF1166" s="383">
        <f t="shared" si="982"/>
        <v>0</v>
      </c>
      <c r="AG1166" s="383">
        <f t="shared" si="982"/>
        <v>0</v>
      </c>
      <c r="AH1166" s="383">
        <f t="shared" si="982"/>
        <v>0</v>
      </c>
      <c r="AI1166" s="383">
        <f t="shared" si="982"/>
        <v>0</v>
      </c>
      <c r="AJ1166" s="383">
        <f t="shared" si="982"/>
        <v>0</v>
      </c>
      <c r="AK1166" s="383">
        <f t="shared" si="982"/>
        <v>0</v>
      </c>
      <c r="AL1166" s="383">
        <f t="shared" si="982"/>
        <v>0</v>
      </c>
      <c r="AM1166" s="651"/>
      <c r="AN1166" s="306"/>
      <c r="AO1166" s="306"/>
    </row>
    <row r="1167" spans="2:41" s="134" customFormat="1">
      <c r="B1167" s="83"/>
      <c r="C1167" s="83"/>
      <c r="D1167" s="83" t="s">
        <v>789</v>
      </c>
      <c r="E1167" s="83"/>
      <c r="F1167" s="83"/>
      <c r="G1167" s="83"/>
      <c r="H1167" s="83"/>
      <c r="I1167" s="83"/>
      <c r="J1167" s="83"/>
      <c r="K1167" s="83"/>
      <c r="L1167" s="385" t="s">
        <v>787</v>
      </c>
      <c r="M1167" s="148" t="s">
        <v>787</v>
      </c>
      <c r="N1167" s="385">
        <v>-12</v>
      </c>
      <c r="O1167" s="385"/>
      <c r="P1167" s="141">
        <v>-12</v>
      </c>
      <c r="Q1167" s="385">
        <v>-9</v>
      </c>
      <c r="R1167" s="385">
        <v>-10</v>
      </c>
      <c r="S1167" s="385">
        <v>-5</v>
      </c>
      <c r="T1167" s="385"/>
      <c r="U1167" s="141">
        <v>-31</v>
      </c>
      <c r="V1167" s="148">
        <v>-1</v>
      </c>
      <c r="W1167" s="148"/>
      <c r="X1167" s="148">
        <v>-9</v>
      </c>
      <c r="Y1167" s="148">
        <v>-4</v>
      </c>
      <c r="Z1167" s="306"/>
      <c r="AA1167" s="148" t="s">
        <v>787</v>
      </c>
      <c r="AB1167" s="148" t="s">
        <v>787</v>
      </c>
      <c r="AC1167" s="148" t="s">
        <v>787</v>
      </c>
      <c r="AD1167" s="148" t="s">
        <v>787</v>
      </c>
      <c r="AE1167" s="113" t="s">
        <v>787</v>
      </c>
      <c r="AF1167" s="113" t="s">
        <v>787</v>
      </c>
      <c r="AG1167" s="113" t="s">
        <v>787</v>
      </c>
      <c r="AH1167" s="113" t="s">
        <v>787</v>
      </c>
      <c r="AI1167" s="113" t="s">
        <v>787</v>
      </c>
      <c r="AJ1167" s="113" t="s">
        <v>787</v>
      </c>
      <c r="AK1167" s="113" t="s">
        <v>787</v>
      </c>
      <c r="AL1167" s="113" t="s">
        <v>787</v>
      </c>
      <c r="AM1167" s="651"/>
      <c r="AN1167" s="306"/>
      <c r="AO1167" s="306"/>
    </row>
    <row r="1168" spans="2:41" s="134" customFormat="1">
      <c r="B1168" s="83"/>
      <c r="C1168" s="83"/>
      <c r="D1168" s="83" t="s">
        <v>790</v>
      </c>
      <c r="E1168" s="83"/>
      <c r="F1168" s="83"/>
      <c r="G1168" s="83"/>
      <c r="H1168" s="83"/>
      <c r="I1168" s="83"/>
      <c r="J1168" s="83"/>
      <c r="K1168" s="83"/>
      <c r="L1168" s="385" t="s">
        <v>787</v>
      </c>
      <c r="M1168" s="775">
        <f>M1103</f>
        <v>-8</v>
      </c>
      <c r="N1168" s="385">
        <v>-24</v>
      </c>
      <c r="O1168" s="385"/>
      <c r="P1168" s="141">
        <v>-60</v>
      </c>
      <c r="Q1168" s="385">
        <v>3</v>
      </c>
      <c r="R1168" s="385">
        <v>-30</v>
      </c>
      <c r="S1168" s="385">
        <v>-30</v>
      </c>
      <c r="T1168" s="385"/>
      <c r="U1168" s="141">
        <v>-118</v>
      </c>
      <c r="V1168" s="775">
        <v>-29</v>
      </c>
      <c r="W1168" s="148">
        <v>-28</v>
      </c>
      <c r="X1168" s="775">
        <v>-26</v>
      </c>
      <c r="Y1168" s="775">
        <v>-26</v>
      </c>
      <c r="Z1168" s="383">
        <f>SUM(V1168:Y1168)</f>
        <v>-109</v>
      </c>
      <c r="AA1168" s="775">
        <f t="shared" ref="AA1168:AL1168" si="983">AA1103</f>
        <v>-31.08</v>
      </c>
      <c r="AB1168" s="775">
        <f t="shared" si="983"/>
        <v>-31.08</v>
      </c>
      <c r="AC1168" s="775">
        <f t="shared" si="983"/>
        <v>-31.08</v>
      </c>
      <c r="AD1168" s="775">
        <f t="shared" si="983"/>
        <v>-31.08</v>
      </c>
      <c r="AE1168" s="383">
        <f t="shared" si="983"/>
        <v>-124.32</v>
      </c>
      <c r="AF1168" s="383">
        <f t="shared" si="983"/>
        <v>-142.08000000000001</v>
      </c>
      <c r="AG1168" s="383">
        <f t="shared" si="983"/>
        <v>-165.76</v>
      </c>
      <c r="AH1168" s="383">
        <f t="shared" si="983"/>
        <v>-165.76</v>
      </c>
      <c r="AI1168" s="383">
        <f t="shared" si="983"/>
        <v>-165.76</v>
      </c>
      <c r="AJ1168" s="383">
        <f t="shared" si="983"/>
        <v>-165.76</v>
      </c>
      <c r="AK1168" s="383">
        <f t="shared" si="983"/>
        <v>-165.76</v>
      </c>
      <c r="AL1168" s="383">
        <f t="shared" si="983"/>
        <v>-165.76</v>
      </c>
      <c r="AM1168" s="651"/>
      <c r="AN1168" s="306"/>
      <c r="AO1168" s="306"/>
    </row>
    <row r="1169" spans="2:41" s="134" customFormat="1">
      <c r="B1169" s="83"/>
      <c r="C1169" s="83"/>
      <c r="D1169" s="83" t="s">
        <v>791</v>
      </c>
      <c r="E1169" s="83"/>
      <c r="F1169" s="83"/>
      <c r="G1169" s="83"/>
      <c r="H1169" s="83"/>
      <c r="I1169" s="83"/>
      <c r="J1169" s="83"/>
      <c r="K1169" s="83"/>
      <c r="L1169" s="385" t="s">
        <v>787</v>
      </c>
      <c r="M1169" s="148" t="s">
        <v>787</v>
      </c>
      <c r="N1169" s="385">
        <v>-3</v>
      </c>
      <c r="O1169" s="385"/>
      <c r="P1169" s="141">
        <v>-3</v>
      </c>
      <c r="Q1169" s="385">
        <v>-29</v>
      </c>
      <c r="R1169" s="385">
        <v>-4</v>
      </c>
      <c r="S1169" s="385">
        <v>-1</v>
      </c>
      <c r="T1169" s="385"/>
      <c r="U1169" s="141">
        <v>-2</v>
      </c>
      <c r="V1169" s="148"/>
      <c r="W1169" s="148"/>
      <c r="X1169" s="148" t="s">
        <v>787</v>
      </c>
      <c r="Y1169" s="148" t="s">
        <v>787</v>
      </c>
      <c r="Z1169" s="306"/>
      <c r="AA1169" s="148" t="s">
        <v>787</v>
      </c>
      <c r="AB1169" s="148" t="s">
        <v>787</v>
      </c>
      <c r="AC1169" s="148" t="s">
        <v>787</v>
      </c>
      <c r="AD1169" s="148" t="s">
        <v>787</v>
      </c>
      <c r="AE1169" s="113" t="s">
        <v>787</v>
      </c>
      <c r="AF1169" s="113" t="s">
        <v>787</v>
      </c>
      <c r="AG1169" s="113" t="s">
        <v>787</v>
      </c>
      <c r="AH1169" s="113" t="s">
        <v>787</v>
      </c>
      <c r="AI1169" s="113" t="s">
        <v>787</v>
      </c>
      <c r="AJ1169" s="113" t="s">
        <v>787</v>
      </c>
      <c r="AK1169" s="113" t="s">
        <v>787</v>
      </c>
      <c r="AL1169" s="113" t="s">
        <v>787</v>
      </c>
      <c r="AM1169" s="651"/>
      <c r="AN1169" s="306"/>
      <c r="AO1169" s="306"/>
    </row>
    <row r="1170" spans="2:41" s="134" customFormat="1">
      <c r="B1170" s="83"/>
      <c r="C1170" s="83"/>
      <c r="D1170" s="83" t="s">
        <v>792</v>
      </c>
      <c r="E1170" s="83"/>
      <c r="F1170" s="83"/>
      <c r="G1170" s="83"/>
      <c r="H1170" s="83"/>
      <c r="I1170" s="83"/>
      <c r="J1170" s="83"/>
      <c r="K1170" s="83"/>
      <c r="L1170" s="385" t="s">
        <v>811</v>
      </c>
      <c r="M1170" s="775">
        <f>-M1102</f>
        <v>35</v>
      </c>
      <c r="N1170" s="385">
        <v>97</v>
      </c>
      <c r="O1170" s="385"/>
      <c r="P1170" s="141">
        <v>223</v>
      </c>
      <c r="Q1170" s="385">
        <v>82</v>
      </c>
      <c r="R1170" s="385">
        <v>91</v>
      </c>
      <c r="S1170" s="385">
        <v>91</v>
      </c>
      <c r="T1170" s="385"/>
      <c r="U1170" s="141">
        <v>358</v>
      </c>
      <c r="V1170" s="148">
        <f>V1164+V1166+V1167+V1168+V1169</f>
        <v>113</v>
      </c>
      <c r="W1170" s="148">
        <f>W1164+W1166+W1167+W1168+W1169</f>
        <v>32</v>
      </c>
      <c r="X1170" s="148">
        <f>-X1102</f>
        <v>62</v>
      </c>
      <c r="Y1170" s="148">
        <v>72</v>
      </c>
      <c r="Z1170" s="383">
        <f>SUM(V1170:Y1170)</f>
        <v>279</v>
      </c>
      <c r="AA1170" s="775">
        <f t="shared" ref="AA1170:AL1170" si="984">-AA1102</f>
        <v>66.875176902068361</v>
      </c>
      <c r="AB1170" s="775">
        <f t="shared" si="984"/>
        <v>47.510677983706202</v>
      </c>
      <c r="AC1170" s="775">
        <f t="shared" si="984"/>
        <v>48.377535104575614</v>
      </c>
      <c r="AD1170" s="775">
        <f t="shared" si="984"/>
        <v>48.377535104575614</v>
      </c>
      <c r="AE1170" s="383">
        <f t="shared" si="984"/>
        <v>211.14092509492576</v>
      </c>
      <c r="AF1170" s="383">
        <f t="shared" si="984"/>
        <v>159.83312755754525</v>
      </c>
      <c r="AG1170" s="383">
        <f t="shared" si="984"/>
        <v>233.00678533711169</v>
      </c>
      <c r="AH1170" s="383">
        <f t="shared" si="984"/>
        <v>318.21124710622729</v>
      </c>
      <c r="AI1170" s="383">
        <f t="shared" si="984"/>
        <v>318.21124710622729</v>
      </c>
      <c r="AJ1170" s="383">
        <f t="shared" si="984"/>
        <v>318.21124710622729</v>
      </c>
      <c r="AK1170" s="383">
        <f t="shared" si="984"/>
        <v>318.21124710622729</v>
      </c>
      <c r="AL1170" s="383">
        <f t="shared" si="984"/>
        <v>318.21124710622729</v>
      </c>
      <c r="AM1170" s="651"/>
      <c r="AN1170" s="306"/>
      <c r="AO1170" s="306"/>
    </row>
    <row r="1171" spans="2:41" s="134" customFormat="1">
      <c r="B1171" s="83"/>
      <c r="C1171" s="83"/>
      <c r="D1171" s="83" t="s">
        <v>793</v>
      </c>
      <c r="E1171" s="83"/>
      <c r="F1171" s="83"/>
      <c r="G1171" s="83"/>
      <c r="H1171" s="83"/>
      <c r="I1171" s="83"/>
      <c r="J1171" s="83"/>
      <c r="K1171" s="83"/>
      <c r="L1171" s="385" t="s">
        <v>787</v>
      </c>
      <c r="M1171" s="149">
        <f>M1097*1000</f>
        <v>1162</v>
      </c>
      <c r="N1171" s="385">
        <v>3105</v>
      </c>
      <c r="O1171" s="385"/>
      <c r="P1171" s="141">
        <v>8746</v>
      </c>
      <c r="Q1171" s="385">
        <v>3725</v>
      </c>
      <c r="R1171" s="385">
        <v>4221</v>
      </c>
      <c r="S1171" s="385">
        <v>4240</v>
      </c>
      <c r="T1171" s="385"/>
      <c r="U1171" s="141">
        <v>16023</v>
      </c>
      <c r="V1171" s="148">
        <v>4419</v>
      </c>
      <c r="W1171" s="148">
        <v>2226</v>
      </c>
      <c r="X1171" s="148">
        <v>1940</v>
      </c>
      <c r="Y1171" s="148">
        <v>3056</v>
      </c>
      <c r="Z1171" s="383">
        <f>SUM(V1171:Y1171)</f>
        <v>11641</v>
      </c>
      <c r="AA1171" s="149">
        <f t="shared" ref="AA1171:AL1171" si="985">AA1097*1000</f>
        <v>4400</v>
      </c>
      <c r="AB1171" s="775">
        <f t="shared" si="985"/>
        <v>3575.9326219243321</v>
      </c>
      <c r="AC1171" s="775">
        <f t="shared" si="985"/>
        <v>3575.9326219243321</v>
      </c>
      <c r="AD1171" s="775">
        <f t="shared" si="985"/>
        <v>3575.9326219243321</v>
      </c>
      <c r="AE1171" s="383">
        <f t="shared" si="985"/>
        <v>14303.730487697328</v>
      </c>
      <c r="AF1171" s="383">
        <f t="shared" si="985"/>
        <v>16347.120557368375</v>
      </c>
      <c r="AG1171" s="383">
        <f t="shared" si="985"/>
        <v>19071.640650263107</v>
      </c>
      <c r="AH1171" s="383">
        <f t="shared" si="985"/>
        <v>19071.640650263107</v>
      </c>
      <c r="AI1171" s="383">
        <f t="shared" si="985"/>
        <v>19071.640650263107</v>
      </c>
      <c r="AJ1171" s="383">
        <f t="shared" si="985"/>
        <v>19071.640650263107</v>
      </c>
      <c r="AK1171" s="383">
        <f t="shared" si="985"/>
        <v>19071.640650263107</v>
      </c>
      <c r="AL1171" s="383">
        <f t="shared" si="985"/>
        <v>19071.640650263107</v>
      </c>
      <c r="AM1171" s="651"/>
      <c r="AN1171" s="306"/>
      <c r="AO1171" s="306"/>
    </row>
    <row r="1172" spans="2:41" s="134" customFormat="1">
      <c r="B1172" s="83"/>
      <c r="C1172" s="83"/>
      <c r="D1172" s="83" t="s">
        <v>794</v>
      </c>
      <c r="E1172" s="83"/>
      <c r="F1172" s="83"/>
      <c r="G1172" s="83"/>
      <c r="H1172" s="83"/>
      <c r="I1172" s="83"/>
      <c r="J1172" s="83"/>
      <c r="K1172" s="83"/>
      <c r="L1172" s="385" t="s">
        <v>787</v>
      </c>
      <c r="M1172" s="149">
        <f>-M1096*1000</f>
        <v>-244</v>
      </c>
      <c r="N1172" s="385">
        <v>-621</v>
      </c>
      <c r="O1172" s="385"/>
      <c r="P1172" s="141">
        <v>-1965</v>
      </c>
      <c r="Q1172" s="385">
        <v>-925</v>
      </c>
      <c r="R1172" s="385">
        <v>-1007</v>
      </c>
      <c r="S1172" s="385">
        <v>-932</v>
      </c>
      <c r="T1172" s="385"/>
      <c r="U1172" s="141">
        <v>-3788</v>
      </c>
      <c r="V1172" s="148">
        <v>-1177</v>
      </c>
      <c r="W1172" s="148">
        <v>-568</v>
      </c>
      <c r="X1172" s="148">
        <v>-443</v>
      </c>
      <c r="Y1172" s="148">
        <v>-762</v>
      </c>
      <c r="Z1172" s="383">
        <f>SUM(V1172:Y1172)</f>
        <v>-2950</v>
      </c>
      <c r="AA1172" s="149">
        <f t="shared" ref="AA1172:AL1172" si="986">-AA1096*1000</f>
        <v>-950.93262192433201</v>
      </c>
      <c r="AB1172" s="775">
        <f t="shared" si="986"/>
        <v>-950.93262192433201</v>
      </c>
      <c r="AC1172" s="775">
        <f t="shared" si="986"/>
        <v>-950.93262192433201</v>
      </c>
      <c r="AD1172" s="775">
        <f t="shared" si="986"/>
        <v>-950.93262192433201</v>
      </c>
      <c r="AE1172" s="383">
        <f t="shared" si="986"/>
        <v>-3803.730487697328</v>
      </c>
      <c r="AF1172" s="383">
        <f t="shared" si="986"/>
        <v>-4347.1205573683746</v>
      </c>
      <c r="AG1172" s="383">
        <f t="shared" si="986"/>
        <v>-5071.6406502631044</v>
      </c>
      <c r="AH1172" s="383">
        <f t="shared" si="986"/>
        <v>-5071.6406502631044</v>
      </c>
      <c r="AI1172" s="383">
        <f t="shared" si="986"/>
        <v>-5071.6406502631044</v>
      </c>
      <c r="AJ1172" s="383">
        <f t="shared" si="986"/>
        <v>-5071.6406502631044</v>
      </c>
      <c r="AK1172" s="383">
        <f t="shared" si="986"/>
        <v>-5071.6406502631044</v>
      </c>
      <c r="AL1172" s="383">
        <f t="shared" si="986"/>
        <v>-5071.6406502631044</v>
      </c>
      <c r="AM1172" s="651"/>
      <c r="AN1172" s="306"/>
      <c r="AO1172" s="306"/>
    </row>
    <row r="1173" spans="2:41" s="134" customFormat="1">
      <c r="B1173" s="83"/>
      <c r="C1173" s="83"/>
      <c r="D1173" s="83" t="s">
        <v>795</v>
      </c>
      <c r="E1173" s="83"/>
      <c r="F1173" s="83"/>
      <c r="G1173" s="83"/>
      <c r="H1173" s="83"/>
      <c r="I1173" s="83"/>
      <c r="J1173" s="83"/>
      <c r="K1173" s="83"/>
      <c r="L1173" s="385" t="s">
        <v>787</v>
      </c>
      <c r="M1173" s="149">
        <f>M1095*1000</f>
        <v>918</v>
      </c>
      <c r="N1173" s="385">
        <v>2484</v>
      </c>
      <c r="O1173" s="385"/>
      <c r="P1173" s="141">
        <v>6781</v>
      </c>
      <c r="Q1173" s="385">
        <v>2800</v>
      </c>
      <c r="R1173" s="385">
        <v>3214</v>
      </c>
      <c r="S1173" s="385">
        <v>3308</v>
      </c>
      <c r="T1173" s="385"/>
      <c r="U1173" s="141">
        <v>12235</v>
      </c>
      <c r="V1173" s="148">
        <v>3242</v>
      </c>
      <c r="W1173" s="148">
        <v>1658</v>
      </c>
      <c r="X1173" s="148">
        <v>1497</v>
      </c>
      <c r="Y1173" s="148">
        <v>2294</v>
      </c>
      <c r="Z1173" s="383">
        <f>SUM(V1173:Y1173)</f>
        <v>8691</v>
      </c>
      <c r="AA1173" s="149">
        <f t="shared" ref="AA1173:AL1173" si="987">AA1095*1000</f>
        <v>2625</v>
      </c>
      <c r="AB1173" s="775">
        <f t="shared" si="987"/>
        <v>2625</v>
      </c>
      <c r="AC1173" s="775">
        <f t="shared" si="987"/>
        <v>2625</v>
      </c>
      <c r="AD1173" s="775">
        <f t="shared" si="987"/>
        <v>2625</v>
      </c>
      <c r="AE1173" s="383">
        <f t="shared" si="987"/>
        <v>10500</v>
      </c>
      <c r="AF1173" s="383">
        <f t="shared" si="987"/>
        <v>12000</v>
      </c>
      <c r="AG1173" s="383">
        <f t="shared" si="987"/>
        <v>14000</v>
      </c>
      <c r="AH1173" s="383">
        <f t="shared" si="987"/>
        <v>14000</v>
      </c>
      <c r="AI1173" s="383">
        <f t="shared" si="987"/>
        <v>14000</v>
      </c>
      <c r="AJ1173" s="383">
        <f t="shared" si="987"/>
        <v>14000</v>
      </c>
      <c r="AK1173" s="383">
        <f t="shared" si="987"/>
        <v>14000</v>
      </c>
      <c r="AL1173" s="383">
        <f t="shared" si="987"/>
        <v>14000</v>
      </c>
      <c r="AM1173" s="651"/>
      <c r="AN1173" s="306"/>
      <c r="AO1173" s="306"/>
    </row>
    <row r="1174" spans="2:41" s="134" customFormat="1">
      <c r="B1174" s="83"/>
      <c r="C1174" s="83"/>
      <c r="D1174" s="83" t="s">
        <v>796</v>
      </c>
      <c r="E1174" s="83"/>
      <c r="F1174" s="83"/>
      <c r="G1174" s="83"/>
      <c r="H1174" s="83"/>
      <c r="I1174" s="83"/>
      <c r="J1174" s="83"/>
      <c r="K1174" s="83"/>
      <c r="L1174" s="385"/>
      <c r="M1174" s="148"/>
      <c r="N1174" s="385"/>
      <c r="O1174" s="385"/>
      <c r="P1174" s="141"/>
      <c r="Q1174" s="385"/>
      <c r="R1174" s="385"/>
      <c r="S1174" s="385"/>
      <c r="T1174" s="385"/>
      <c r="U1174" s="141"/>
      <c r="V1174" s="148"/>
      <c r="W1174" s="148"/>
      <c r="X1174" s="148"/>
      <c r="Y1174" s="148"/>
      <c r="Z1174" s="306"/>
      <c r="AA1174" s="307"/>
      <c r="AB1174" s="307"/>
      <c r="AC1174" s="307"/>
      <c r="AD1174" s="307"/>
      <c r="AE1174" s="306"/>
      <c r="AF1174" s="306"/>
      <c r="AG1174" s="306"/>
      <c r="AH1174" s="306"/>
      <c r="AI1174" s="306"/>
      <c r="AJ1174" s="306"/>
      <c r="AK1174" s="306"/>
      <c r="AL1174" s="306"/>
      <c r="AM1174" s="651"/>
      <c r="AN1174" s="306"/>
      <c r="AO1174" s="306"/>
    </row>
    <row r="1175" spans="2:41" s="134" customFormat="1">
      <c r="B1175" s="83"/>
      <c r="C1175" s="83"/>
      <c r="D1175" s="83"/>
      <c r="E1175" s="83"/>
      <c r="F1175" s="83"/>
      <c r="G1175" s="83"/>
      <c r="H1175" s="83"/>
      <c r="I1175" s="83"/>
      <c r="J1175" s="83"/>
      <c r="K1175" s="83"/>
      <c r="L1175" s="385"/>
      <c r="M1175" s="148"/>
      <c r="N1175" s="385"/>
      <c r="O1175" s="385"/>
      <c r="P1175" s="141"/>
      <c r="Q1175" s="385"/>
      <c r="R1175" s="385"/>
      <c r="S1175" s="385"/>
      <c r="T1175" s="385"/>
      <c r="U1175" s="141"/>
      <c r="V1175" s="148"/>
      <c r="W1175" s="148"/>
      <c r="X1175" s="148"/>
      <c r="Y1175" s="148"/>
      <c r="Z1175" s="306"/>
      <c r="AA1175" s="307"/>
      <c r="AB1175" s="307"/>
      <c r="AC1175" s="307"/>
      <c r="AD1175" s="307"/>
      <c r="AE1175" s="306"/>
      <c r="AF1175" s="306"/>
      <c r="AG1175" s="306"/>
      <c r="AH1175" s="306"/>
      <c r="AI1175" s="306"/>
      <c r="AJ1175" s="306"/>
      <c r="AK1175" s="306"/>
      <c r="AL1175" s="306"/>
      <c r="AM1175" s="651"/>
      <c r="AN1175" s="306"/>
      <c r="AO1175" s="306"/>
    </row>
    <row r="1176" spans="2:41" s="134" customFormat="1">
      <c r="B1176" s="83"/>
      <c r="C1176" s="83"/>
      <c r="D1176" s="174" t="s">
        <v>821</v>
      </c>
      <c r="E1176" s="174"/>
      <c r="F1176" s="174"/>
      <c r="G1176" s="174"/>
      <c r="H1176" s="174"/>
      <c r="I1176" s="174"/>
      <c r="J1176" s="174"/>
      <c r="K1176" s="174"/>
      <c r="L1176" s="789"/>
      <c r="M1176" s="790"/>
      <c r="N1176" s="789"/>
      <c r="O1176" s="789"/>
      <c r="P1176" s="791"/>
      <c r="Q1176" s="789"/>
      <c r="R1176" s="789"/>
      <c r="S1176" s="789"/>
      <c r="T1176" s="789"/>
      <c r="U1176" s="791"/>
      <c r="V1176" s="790"/>
      <c r="W1176" s="790"/>
      <c r="X1176" s="790"/>
      <c r="Y1176" s="790"/>
      <c r="Z1176" s="179"/>
      <c r="AA1176" s="995"/>
      <c r="AB1176" s="995"/>
      <c r="AC1176" s="995"/>
      <c r="AD1176" s="995"/>
      <c r="AE1176" s="179"/>
      <c r="AF1176" s="179"/>
      <c r="AG1176" s="179"/>
      <c r="AH1176" s="179"/>
      <c r="AI1176" s="179"/>
      <c r="AJ1176" s="179"/>
      <c r="AK1176" s="179"/>
      <c r="AL1176" s="179"/>
      <c r="AM1176" s="651"/>
      <c r="AN1176" s="306"/>
      <c r="AO1176" s="306"/>
    </row>
    <row r="1177" spans="2:41" s="134" customFormat="1">
      <c r="B1177" s="92" t="s">
        <v>775</v>
      </c>
      <c r="C1177" s="83"/>
      <c r="D1177" s="83" t="s">
        <v>797</v>
      </c>
      <c r="E1177" s="83"/>
      <c r="F1177" s="83"/>
      <c r="G1177" s="83"/>
      <c r="H1177" s="83"/>
      <c r="I1177" s="83"/>
      <c r="J1177" s="83"/>
      <c r="K1177" s="83"/>
      <c r="L1177" s="385" t="s">
        <v>811</v>
      </c>
      <c r="M1177" s="776" t="e">
        <f ca="1">(M1159/M1173)*1000</f>
        <v>#NAME?</v>
      </c>
      <c r="N1177" s="385">
        <v>53.41</v>
      </c>
      <c r="O1177" s="385"/>
      <c r="P1177" s="141">
        <v>32.81</v>
      </c>
      <c r="Q1177" s="385">
        <v>48.42</v>
      </c>
      <c r="R1177" s="385">
        <v>62.28</v>
      </c>
      <c r="S1177" s="385">
        <v>52.61</v>
      </c>
      <c r="T1177" s="385"/>
      <c r="U1177" s="141">
        <v>52.21</v>
      </c>
      <c r="V1177" s="776">
        <f>(V1159/V1173)*1000</f>
        <v>23.133867982726713</v>
      </c>
      <c r="W1177" s="1167">
        <v>6.03</v>
      </c>
      <c r="X1177" s="1167">
        <v>6.03</v>
      </c>
      <c r="Y1177" s="1167">
        <v>35.92</v>
      </c>
      <c r="Z1177" s="141">
        <v>25.27</v>
      </c>
      <c r="AA1177" s="776">
        <f>(AA1159/AA1173)*1000</f>
        <v>98.162563822014036</v>
      </c>
      <c r="AB1177" s="776">
        <f>(AB1159/AB1173)*1000</f>
        <v>90.785611853114162</v>
      </c>
      <c r="AC1177" s="776">
        <f>(AC1159/AC1173)*1000</f>
        <v>91.115843137254885</v>
      </c>
      <c r="AD1177" s="776">
        <f>(AD1159/AD1173)*1000</f>
        <v>91.115843137254885</v>
      </c>
      <c r="AE1177" s="994">
        <f>AVERAGE(AA1177:AD1177)</f>
        <v>92.794965487409499</v>
      </c>
      <c r="AF1177" s="994">
        <f>AE1177</f>
        <v>92.794965487409499</v>
      </c>
      <c r="AG1177" s="994">
        <f t="shared" ref="AG1177:AL1177" si="988">AF1177</f>
        <v>92.794965487409499</v>
      </c>
      <c r="AH1177" s="994">
        <f t="shared" si="988"/>
        <v>92.794965487409499</v>
      </c>
      <c r="AI1177" s="994">
        <f t="shared" si="988"/>
        <v>92.794965487409499</v>
      </c>
      <c r="AJ1177" s="994">
        <f t="shared" si="988"/>
        <v>92.794965487409499</v>
      </c>
      <c r="AK1177" s="994">
        <f t="shared" si="988"/>
        <v>92.794965487409499</v>
      </c>
      <c r="AL1177" s="994">
        <f t="shared" si="988"/>
        <v>92.794965487409499</v>
      </c>
      <c r="AM1177" s="651"/>
      <c r="AN1177" s="306"/>
      <c r="AO1177" s="306"/>
    </row>
    <row r="1178" spans="2:41" s="134" customFormat="1">
      <c r="B1178" s="92" t="s">
        <v>775</v>
      </c>
      <c r="C1178" s="83"/>
      <c r="D1178" s="83" t="s">
        <v>798</v>
      </c>
      <c r="E1178" s="83"/>
      <c r="F1178" s="83"/>
      <c r="G1178" s="83"/>
      <c r="H1178" s="83"/>
      <c r="I1178" s="83"/>
      <c r="J1178" s="83"/>
      <c r="K1178" s="83"/>
      <c r="L1178" s="385" t="s">
        <v>787</v>
      </c>
      <c r="M1178" s="776" t="e">
        <f ca="1">-(M1158/M1173)*1000</f>
        <v>#NAME?</v>
      </c>
      <c r="N1178" s="385">
        <v>-2.9</v>
      </c>
      <c r="O1178" s="385"/>
      <c r="P1178" s="141">
        <v>-2.04</v>
      </c>
      <c r="Q1178" s="385">
        <v>-1.75</v>
      </c>
      <c r="R1178" s="385">
        <v>-1.19</v>
      </c>
      <c r="S1178" s="385">
        <v>-1.81</v>
      </c>
      <c r="T1178" s="385"/>
      <c r="U1178" s="141">
        <v>-1.5</v>
      </c>
      <c r="V1178" s="776">
        <f>-(V1158/V1173)*1000</f>
        <v>-0.92535471930906843</v>
      </c>
      <c r="W1178" s="1167">
        <v>-0.1</v>
      </c>
      <c r="X1178" s="1167">
        <v>-0.1</v>
      </c>
      <c r="Y1178" s="1167">
        <v>-0.33</v>
      </c>
      <c r="Z1178" s="141">
        <v>-0.49</v>
      </c>
      <c r="AA1178" s="776">
        <f>AE1178</f>
        <v>-0.49</v>
      </c>
      <c r="AB1178" s="776">
        <f>AE1178</f>
        <v>-0.49</v>
      </c>
      <c r="AC1178" s="776">
        <f>AE1178</f>
        <v>-0.49</v>
      </c>
      <c r="AD1178" s="776">
        <f>AE1178</f>
        <v>-0.49</v>
      </c>
      <c r="AE1178" s="1010">
        <f>Z1178</f>
        <v>-0.49</v>
      </c>
      <c r="AF1178" s="994">
        <f t="shared" ref="AF1178:AL1181" si="989">AE1178</f>
        <v>-0.49</v>
      </c>
      <c r="AG1178" s="994">
        <f t="shared" si="989"/>
        <v>-0.49</v>
      </c>
      <c r="AH1178" s="994">
        <f t="shared" si="989"/>
        <v>-0.49</v>
      </c>
      <c r="AI1178" s="994">
        <f t="shared" si="989"/>
        <v>-0.49</v>
      </c>
      <c r="AJ1178" s="994">
        <f t="shared" si="989"/>
        <v>-0.49</v>
      </c>
      <c r="AK1178" s="994">
        <f t="shared" si="989"/>
        <v>-0.49</v>
      </c>
      <c r="AL1178" s="994">
        <f t="shared" si="989"/>
        <v>-0.49</v>
      </c>
      <c r="AM1178" s="651"/>
      <c r="AN1178" s="306"/>
      <c r="AO1178" s="306"/>
    </row>
    <row r="1179" spans="2:41" s="134" customFormat="1">
      <c r="B1179" s="92" t="s">
        <v>775</v>
      </c>
      <c r="C1179" s="83"/>
      <c r="D1179" s="83" t="s">
        <v>799</v>
      </c>
      <c r="E1179" s="83"/>
      <c r="F1179" s="83"/>
      <c r="G1179" s="83"/>
      <c r="H1179" s="83"/>
      <c r="I1179" s="83"/>
      <c r="J1179" s="83"/>
      <c r="K1179" s="83"/>
      <c r="L1179" s="385" t="s">
        <v>787</v>
      </c>
      <c r="M1179" s="776">
        <f>(M1168/M1173)*1000</f>
        <v>-8.7145969498910691</v>
      </c>
      <c r="N1179" s="385">
        <v>-9.58</v>
      </c>
      <c r="O1179" s="385"/>
      <c r="P1179" s="141">
        <v>-8.83</v>
      </c>
      <c r="Q1179" s="385">
        <v>-10.3</v>
      </c>
      <c r="R1179" s="385">
        <v>-9.41</v>
      </c>
      <c r="S1179" s="385">
        <v>-9.16</v>
      </c>
      <c r="T1179" s="385"/>
      <c r="U1179" s="141">
        <v>-9.6199999999999992</v>
      </c>
      <c r="V1179" s="776">
        <f>(V1168/V1173)*1000</f>
        <v>-8.9450956199876615</v>
      </c>
      <c r="W1179" s="1167">
        <v>-16.010000000000002</v>
      </c>
      <c r="X1179" s="1167">
        <v>-16.010000000000002</v>
      </c>
      <c r="Y1179" s="1167">
        <v>-10.69</v>
      </c>
      <c r="Z1179" s="141">
        <v>-11.84</v>
      </c>
      <c r="AA1179" s="776">
        <f>AE1179</f>
        <v>-11.84</v>
      </c>
      <c r="AB1179" s="776">
        <f>AE1179</f>
        <v>-11.84</v>
      </c>
      <c r="AC1179" s="776">
        <f>AE1179</f>
        <v>-11.84</v>
      </c>
      <c r="AD1179" s="776">
        <f>AE1179</f>
        <v>-11.84</v>
      </c>
      <c r="AE1179" s="1010">
        <f>Z1179</f>
        <v>-11.84</v>
      </c>
      <c r="AF1179" s="994">
        <f t="shared" si="989"/>
        <v>-11.84</v>
      </c>
      <c r="AG1179" s="994">
        <f t="shared" si="989"/>
        <v>-11.84</v>
      </c>
      <c r="AH1179" s="994">
        <f t="shared" si="989"/>
        <v>-11.84</v>
      </c>
      <c r="AI1179" s="994">
        <f t="shared" si="989"/>
        <v>-11.84</v>
      </c>
      <c r="AJ1179" s="994">
        <f t="shared" si="989"/>
        <v>-11.84</v>
      </c>
      <c r="AK1179" s="994">
        <f t="shared" si="989"/>
        <v>-11.84</v>
      </c>
      <c r="AL1179" s="994">
        <f t="shared" si="989"/>
        <v>-11.84</v>
      </c>
      <c r="AM1179" s="651"/>
      <c r="AN1179" s="306"/>
      <c r="AO1179" s="306"/>
    </row>
    <row r="1180" spans="2:41" s="134" customFormat="1">
      <c r="B1180" s="92" t="s">
        <v>775</v>
      </c>
      <c r="C1180" s="83"/>
      <c r="D1180" s="83" t="s">
        <v>800</v>
      </c>
      <c r="E1180" s="83"/>
      <c r="F1180" s="83"/>
      <c r="G1180" s="83"/>
      <c r="H1180" s="83"/>
      <c r="I1180" s="83"/>
      <c r="J1180" s="83"/>
      <c r="K1180" s="83"/>
      <c r="L1180" s="385" t="s">
        <v>787</v>
      </c>
      <c r="M1180" s="776">
        <f>(M1170/M1173)*1000</f>
        <v>38.126361655773422</v>
      </c>
      <c r="N1180" s="385">
        <v>-39.04</v>
      </c>
      <c r="O1180" s="385"/>
      <c r="P1180" s="141">
        <v>-32.89</v>
      </c>
      <c r="Q1180" s="385">
        <v>-29.42</v>
      </c>
      <c r="R1180" s="385">
        <v>-28.06</v>
      </c>
      <c r="S1180" s="385">
        <v>-27.31</v>
      </c>
      <c r="T1180" s="385"/>
      <c r="U1180" s="141">
        <v>-29.24</v>
      </c>
      <c r="V1180" s="776">
        <f>(-V1170/V1173)*1000</f>
        <v>-34.855027760641583</v>
      </c>
      <c r="W1180" s="1167">
        <v>-19.07</v>
      </c>
      <c r="X1180" s="1167">
        <v>-19.07</v>
      </c>
      <c r="Y1180" s="1167">
        <v>-31.13</v>
      </c>
      <c r="Z1180" s="141">
        <v>-31.96</v>
      </c>
      <c r="AA1180" s="776">
        <f>AE1180</f>
        <v>-31.96</v>
      </c>
      <c r="AB1180" s="776">
        <f>AE1180</f>
        <v>-31.96</v>
      </c>
      <c r="AC1180" s="776">
        <f>AE1180</f>
        <v>-31.96</v>
      </c>
      <c r="AD1180" s="776">
        <f>AE1180</f>
        <v>-31.96</v>
      </c>
      <c r="AE1180" s="1010">
        <f>Z1180</f>
        <v>-31.96</v>
      </c>
      <c r="AF1180" s="994">
        <f t="shared" si="989"/>
        <v>-31.96</v>
      </c>
      <c r="AG1180" s="994">
        <f t="shared" si="989"/>
        <v>-31.96</v>
      </c>
      <c r="AH1180" s="994">
        <f t="shared" si="989"/>
        <v>-31.96</v>
      </c>
      <c r="AI1180" s="994">
        <f t="shared" si="989"/>
        <v>-31.96</v>
      </c>
      <c r="AJ1180" s="994">
        <f t="shared" si="989"/>
        <v>-31.96</v>
      </c>
      <c r="AK1180" s="994">
        <f t="shared" si="989"/>
        <v>-31.96</v>
      </c>
      <c r="AL1180" s="994">
        <f t="shared" si="989"/>
        <v>-31.96</v>
      </c>
      <c r="AM1180" s="651"/>
      <c r="AN1180" s="306"/>
      <c r="AO1180" s="306"/>
    </row>
    <row r="1181" spans="2:41" s="134" customFormat="1">
      <c r="B1181" s="92" t="s">
        <v>775</v>
      </c>
      <c r="C1181" s="83"/>
      <c r="D1181" s="83" t="s">
        <v>801</v>
      </c>
      <c r="E1181" s="83"/>
      <c r="F1181" s="83"/>
      <c r="G1181" s="83"/>
      <c r="H1181" s="83"/>
      <c r="I1181" s="83"/>
      <c r="J1181" s="83"/>
      <c r="K1181" s="83"/>
      <c r="L1181" s="385" t="s">
        <v>811</v>
      </c>
      <c r="M1181" s="776" t="e">
        <f ca="1">M1177+M1178+M1179+M1180</f>
        <v>#NAME?</v>
      </c>
      <c r="N1181" s="385">
        <v>1.89</v>
      </c>
      <c r="O1181" s="385"/>
      <c r="P1181" s="141">
        <v>-10.95</v>
      </c>
      <c r="Q1181" s="385">
        <v>6.95</v>
      </c>
      <c r="R1181" s="385">
        <v>23.62</v>
      </c>
      <c r="S1181" s="385">
        <v>14.33</v>
      </c>
      <c r="T1181" s="385"/>
      <c r="U1181" s="141">
        <v>11.85</v>
      </c>
      <c r="V1181" s="776">
        <f>V1177+V1178+V1179+V1180</f>
        <v>-21.591610117211602</v>
      </c>
      <c r="W1181" s="1167">
        <f>W1177+W1178+W1179+W1180</f>
        <v>-29.150000000000002</v>
      </c>
      <c r="X1181" s="1167">
        <f>X1177+X1178+X1179+X1180</f>
        <v>-29.150000000000002</v>
      </c>
      <c r="Y1181" s="1167">
        <f>Y1177+Y1178+Y1179+Y1180</f>
        <v>-6.2299999999999933</v>
      </c>
      <c r="Z1181" s="141">
        <f>SUM(Z1177:Z1180)</f>
        <v>-19.02</v>
      </c>
      <c r="AA1181" s="776">
        <f>AE1181</f>
        <v>48.5049654874095</v>
      </c>
      <c r="AB1181" s="776">
        <f>AE1181</f>
        <v>48.5049654874095</v>
      </c>
      <c r="AC1181" s="776">
        <f>AE1181</f>
        <v>48.5049654874095</v>
      </c>
      <c r="AD1181" s="776">
        <f>AE1181</f>
        <v>48.5049654874095</v>
      </c>
      <c r="AE1181" s="1010">
        <f>SUM(AE1177:AE1180)</f>
        <v>48.5049654874095</v>
      </c>
      <c r="AF1181" s="994">
        <f t="shared" si="989"/>
        <v>48.5049654874095</v>
      </c>
      <c r="AG1181" s="994">
        <f t="shared" si="989"/>
        <v>48.5049654874095</v>
      </c>
      <c r="AH1181" s="994">
        <f t="shared" si="989"/>
        <v>48.5049654874095</v>
      </c>
      <c r="AI1181" s="994">
        <f t="shared" si="989"/>
        <v>48.5049654874095</v>
      </c>
      <c r="AJ1181" s="994">
        <f t="shared" si="989"/>
        <v>48.5049654874095</v>
      </c>
      <c r="AK1181" s="994">
        <f t="shared" si="989"/>
        <v>48.5049654874095</v>
      </c>
      <c r="AL1181" s="994">
        <f t="shared" si="989"/>
        <v>48.5049654874095</v>
      </c>
      <c r="AM1181" s="651"/>
      <c r="AN1181" s="306"/>
      <c r="AO1181" s="306"/>
    </row>
    <row r="1182" spans="2:41" s="134" customFormat="1">
      <c r="B1182" s="83"/>
      <c r="C1182" s="83"/>
      <c r="D1182" s="83"/>
      <c r="E1182" s="83"/>
      <c r="F1182" s="83"/>
      <c r="G1182" s="83"/>
      <c r="H1182" s="83"/>
      <c r="I1182" s="83"/>
      <c r="J1182" s="83"/>
      <c r="K1182" s="83"/>
      <c r="L1182" s="385"/>
      <c r="M1182" s="148"/>
      <c r="N1182" s="385"/>
      <c r="O1182" s="385"/>
      <c r="P1182" s="141"/>
      <c r="Q1182" s="385"/>
      <c r="R1182" s="385"/>
      <c r="S1182" s="385"/>
      <c r="T1182" s="385"/>
      <c r="U1182" s="141"/>
      <c r="V1182" s="317"/>
      <c r="W1182" s="317"/>
      <c r="X1182" s="317"/>
      <c r="Y1182" s="317"/>
      <c r="Z1182" s="306"/>
      <c r="AA1182" s="307"/>
      <c r="AB1182" s="307"/>
      <c r="AC1182" s="307"/>
      <c r="AD1182" s="307"/>
      <c r="AE1182" s="306"/>
      <c r="AF1182" s="306"/>
      <c r="AG1182" s="306"/>
      <c r="AH1182" s="306"/>
      <c r="AI1182" s="306"/>
      <c r="AJ1182" s="306"/>
      <c r="AK1182" s="306"/>
      <c r="AL1182" s="306"/>
      <c r="AM1182" s="651"/>
      <c r="AN1182" s="306"/>
      <c r="AO1182" s="306"/>
    </row>
    <row r="1183" spans="2:41" s="134" customFormat="1">
      <c r="B1183" s="83"/>
      <c r="C1183" s="83"/>
      <c r="D1183" s="83" t="s">
        <v>876</v>
      </c>
      <c r="E1183" s="83"/>
      <c r="F1183" s="83"/>
      <c r="G1183" s="83"/>
      <c r="H1183" s="83"/>
      <c r="I1183" s="83"/>
      <c r="J1183" s="83"/>
      <c r="K1183" s="83"/>
      <c r="L1183" s="385"/>
      <c r="M1183" s="1037">
        <f t="shared" ref="M1183:U1183" si="990">M1105/M1173</f>
        <v>-1.3071895424836602E-2</v>
      </c>
      <c r="N1183" s="1037">
        <f t="shared" si="990"/>
        <v>-8.4541062801932361E-3</v>
      </c>
      <c r="O1183" s="1037" t="e">
        <f t="shared" si="990"/>
        <v>#DIV/0!</v>
      </c>
      <c r="P1183" s="1037">
        <f t="shared" si="990"/>
        <v>-8.7007815956348621E-3</v>
      </c>
      <c r="Q1183" s="1037">
        <f t="shared" si="990"/>
        <v>-9.6428571428571423E-3</v>
      </c>
      <c r="R1183" s="1037">
        <f t="shared" si="990"/>
        <v>-1.120099564405725E-2</v>
      </c>
      <c r="S1183" s="1037">
        <f t="shared" si="990"/>
        <v>-1.1185006045949214E-2</v>
      </c>
      <c r="T1183" s="1037" t="e">
        <f t="shared" si="990"/>
        <v>#DIV/0!</v>
      </c>
      <c r="U1183" s="1185">
        <f t="shared" si="990"/>
        <v>-1.0952186350633429E-2</v>
      </c>
      <c r="V1183" s="776">
        <f>V1105/V1173</f>
        <v>-1.0178901912399754E-2</v>
      </c>
      <c r="W1183" s="776">
        <f>W1105/W1173</f>
        <v>-1.3268998793727383E-2</v>
      </c>
      <c r="X1183" s="776">
        <f>X1105/X1173</f>
        <v>-1.736806947227789E-2</v>
      </c>
      <c r="Y1183" s="776">
        <f>Y1105/Y1173</f>
        <v>-9.5902353966870104E-3</v>
      </c>
      <c r="Z1183" s="1185">
        <f t="shared" ref="Z1183" si="991">Z1105/Z1173</f>
        <v>-1.1851340467149925E-2</v>
      </c>
      <c r="AA1183" s="1123">
        <f>AE1183</f>
        <v>-1.1851340467149925E-2</v>
      </c>
      <c r="AB1183" s="1123">
        <f>AE1183</f>
        <v>-1.1851340467149925E-2</v>
      </c>
      <c r="AC1183" s="1123">
        <f>AE1183</f>
        <v>-1.1851340467149925E-2</v>
      </c>
      <c r="AD1183" s="1123">
        <f>AE1183</f>
        <v>-1.1851340467149925E-2</v>
      </c>
      <c r="AE1183" s="1040">
        <f>Z1183</f>
        <v>-1.1851340467149925E-2</v>
      </c>
      <c r="AF1183" s="1040">
        <f t="shared" ref="AF1183:AL1183" si="992">AA1183</f>
        <v>-1.1851340467149925E-2</v>
      </c>
      <c r="AG1183" s="1040">
        <f t="shared" si="992"/>
        <v>-1.1851340467149925E-2</v>
      </c>
      <c r="AH1183" s="1040">
        <f t="shared" si="992"/>
        <v>-1.1851340467149925E-2</v>
      </c>
      <c r="AI1183" s="1040">
        <f t="shared" si="992"/>
        <v>-1.1851340467149925E-2</v>
      </c>
      <c r="AJ1183" s="1040">
        <f t="shared" si="992"/>
        <v>-1.1851340467149925E-2</v>
      </c>
      <c r="AK1183" s="1040">
        <f t="shared" si="992"/>
        <v>-1.1851340467149925E-2</v>
      </c>
      <c r="AL1183" s="1040">
        <f t="shared" si="992"/>
        <v>-1.1851340467149925E-2</v>
      </c>
      <c r="AM1183" s="651"/>
      <c r="AN1183" s="306"/>
      <c r="AO1183" s="306"/>
    </row>
    <row r="1184" spans="2:41" s="134" customFormat="1">
      <c r="B1184" s="83"/>
      <c r="C1184" s="83"/>
      <c r="D1184" s="83"/>
      <c r="E1184" s="83"/>
      <c r="F1184" s="83"/>
      <c r="G1184" s="83"/>
      <c r="H1184" s="83"/>
      <c r="I1184" s="83"/>
      <c r="J1184" s="83"/>
      <c r="K1184" s="83"/>
      <c r="L1184" s="385"/>
      <c r="M1184" s="148"/>
      <c r="N1184" s="385"/>
      <c r="O1184" s="385"/>
      <c r="P1184" s="141"/>
      <c r="Q1184" s="385"/>
      <c r="R1184" s="385"/>
      <c r="S1184" s="385"/>
      <c r="T1184" s="385"/>
      <c r="U1184" s="141"/>
      <c r="V1184" s="317"/>
      <c r="W1184" s="317"/>
      <c r="X1184" s="317"/>
      <c r="Y1184" s="317"/>
      <c r="Z1184" s="306"/>
      <c r="AA1184" s="307"/>
      <c r="AB1184" s="307"/>
      <c r="AC1184" s="307"/>
      <c r="AD1184" s="307"/>
      <c r="AE1184" s="306"/>
      <c r="AF1184" s="306"/>
      <c r="AG1184" s="306"/>
      <c r="AH1184" s="306"/>
      <c r="AI1184" s="306"/>
      <c r="AJ1184" s="306"/>
      <c r="AK1184" s="306"/>
      <c r="AL1184" s="306"/>
      <c r="AM1184" s="651"/>
      <c r="AN1184" s="306"/>
      <c r="AO1184" s="306"/>
    </row>
    <row r="1185" spans="2:41" s="134" customFormat="1">
      <c r="B1185" s="83"/>
      <c r="C1185" s="83"/>
      <c r="D1185" s="83"/>
      <c r="E1185" s="83"/>
      <c r="F1185" s="83"/>
      <c r="G1185" s="83"/>
      <c r="H1185" s="83"/>
      <c r="I1185" s="83"/>
      <c r="J1185" s="83"/>
      <c r="K1185" s="83"/>
      <c r="L1185" s="385"/>
      <c r="M1185" s="385"/>
      <c r="N1185" s="385"/>
      <c r="O1185" s="385"/>
      <c r="P1185" s="141"/>
      <c r="Q1185" s="385"/>
      <c r="R1185" s="385"/>
      <c r="S1185" s="385"/>
      <c r="T1185" s="385"/>
      <c r="U1185" s="141"/>
      <c r="V1185" s="317"/>
      <c r="W1185" s="317"/>
      <c r="X1185" s="317"/>
      <c r="Y1185" s="317"/>
      <c r="Z1185" s="306"/>
      <c r="AA1185" s="307"/>
      <c r="AB1185" s="307"/>
      <c r="AC1185" s="307"/>
      <c r="AD1185" s="307"/>
      <c r="AE1185" s="306"/>
      <c r="AF1185" s="306"/>
      <c r="AG1185" s="306"/>
      <c r="AH1185" s="306"/>
      <c r="AI1185" s="306"/>
      <c r="AJ1185" s="306"/>
      <c r="AK1185" s="306"/>
      <c r="AL1185" s="306"/>
      <c r="AM1185" s="651"/>
      <c r="AN1185" s="306"/>
      <c r="AO1185" s="306"/>
    </row>
    <row r="1186" spans="2:41" s="134" customFormat="1">
      <c r="B1186" s="83"/>
      <c r="C1186" s="83"/>
      <c r="D1186" s="83" t="s">
        <v>802</v>
      </c>
      <c r="E1186" s="83"/>
      <c r="F1186" s="83"/>
      <c r="G1186" s="83"/>
      <c r="H1186" s="83"/>
      <c r="I1186" s="83"/>
      <c r="J1186" s="83"/>
      <c r="K1186" s="83"/>
      <c r="L1186" s="385"/>
      <c r="M1186" s="385"/>
      <c r="N1186" s="385"/>
      <c r="O1186" s="385"/>
      <c r="P1186" s="141"/>
      <c r="Q1186" s="385"/>
      <c r="R1186" s="385"/>
      <c r="S1186" s="385"/>
      <c r="T1186" s="385"/>
      <c r="U1186" s="141"/>
      <c r="V1186" s="317"/>
      <c r="W1186" s="317"/>
      <c r="X1186" s="317"/>
      <c r="Y1186" s="317"/>
      <c r="Z1186" s="306"/>
      <c r="AA1186" s="307"/>
      <c r="AB1186" s="307"/>
      <c r="AC1186" s="307"/>
      <c r="AD1186" s="307"/>
      <c r="AE1186" s="306"/>
      <c r="AF1186" s="306"/>
      <c r="AG1186" s="306"/>
      <c r="AH1186" s="306"/>
      <c r="AI1186" s="306"/>
      <c r="AJ1186" s="306"/>
      <c r="AK1186" s="306"/>
      <c r="AL1186" s="306"/>
      <c r="AM1186" s="651"/>
      <c r="AN1186" s="306"/>
      <c r="AO1186" s="306"/>
    </row>
    <row r="1187" spans="2:41" s="134" customFormat="1">
      <c r="B1187" s="83"/>
      <c r="C1187" s="83"/>
      <c r="D1187" s="83" t="s">
        <v>780</v>
      </c>
      <c r="E1187" s="83"/>
      <c r="F1187" s="83"/>
      <c r="G1187" s="83"/>
      <c r="H1187" s="83"/>
      <c r="I1187" s="83"/>
      <c r="J1187" s="83"/>
      <c r="K1187" s="83"/>
      <c r="L1187" s="385" t="s">
        <v>811</v>
      </c>
      <c r="M1187" s="385">
        <v>78</v>
      </c>
      <c r="N1187" s="385">
        <v>209</v>
      </c>
      <c r="O1187" s="385"/>
      <c r="P1187" s="141">
        <v>407</v>
      </c>
      <c r="Q1187" s="385">
        <v>212</v>
      </c>
      <c r="R1187" s="385">
        <v>295</v>
      </c>
      <c r="S1187" s="385">
        <v>255</v>
      </c>
      <c r="T1187" s="385"/>
      <c r="U1187" s="141">
        <v>975</v>
      </c>
      <c r="V1187" s="317"/>
      <c r="W1187" s="317"/>
      <c r="X1187" s="317"/>
      <c r="Y1187" s="317"/>
      <c r="Z1187" s="306"/>
      <c r="AA1187" s="307"/>
      <c r="AB1187" s="307"/>
      <c r="AC1187" s="307"/>
      <c r="AD1187" s="307"/>
      <c r="AE1187" s="306"/>
      <c r="AF1187" s="306"/>
      <c r="AG1187" s="306"/>
      <c r="AH1187" s="306"/>
      <c r="AI1187" s="306"/>
      <c r="AJ1187" s="306"/>
      <c r="AK1187" s="306"/>
      <c r="AL1187" s="306"/>
      <c r="AM1187" s="651"/>
      <c r="AN1187" s="306"/>
      <c r="AO1187" s="306"/>
    </row>
    <row r="1188" spans="2:41" s="134" customFormat="1">
      <c r="B1188" s="83"/>
      <c r="C1188" s="83"/>
      <c r="D1188" s="83" t="s">
        <v>803</v>
      </c>
      <c r="E1188" s="83"/>
      <c r="F1188" s="83"/>
      <c r="G1188" s="83"/>
      <c r="H1188" s="83"/>
      <c r="I1188" s="83"/>
      <c r="J1188" s="83"/>
      <c r="K1188" s="83"/>
      <c r="L1188" s="385" t="s">
        <v>787</v>
      </c>
      <c r="M1188" s="385" t="s">
        <v>787</v>
      </c>
      <c r="N1188" s="385">
        <v>-18</v>
      </c>
      <c r="O1188" s="385"/>
      <c r="P1188" s="141">
        <v>-18</v>
      </c>
      <c r="Q1188" s="385">
        <v>-8</v>
      </c>
      <c r="R1188" s="385">
        <v>-9</v>
      </c>
      <c r="S1188" s="385">
        <v>-7</v>
      </c>
      <c r="T1188" s="385"/>
      <c r="U1188" s="141">
        <v>-32</v>
      </c>
      <c r="V1188" s="1186">
        <f>V1170/V1173</f>
        <v>3.4855027760641581E-2</v>
      </c>
      <c r="W1188" s="1186">
        <f>W1170/W1173</f>
        <v>1.9300361881785282E-2</v>
      </c>
      <c r="X1188" s="1186">
        <f>X1170/X1173</f>
        <v>4.1416165664662656E-2</v>
      </c>
      <c r="Y1188" s="1186">
        <f>Y1170/Y1173</f>
        <v>3.1386224934612031E-2</v>
      </c>
      <c r="Z1188" s="306"/>
      <c r="AA1188" s="307">
        <f>AA1170/AA1173</f>
        <v>2.5476257867454614E-2</v>
      </c>
      <c r="AB1188" s="307"/>
      <c r="AC1188" s="307"/>
      <c r="AD1188" s="307"/>
      <c r="AE1188" s="306"/>
      <c r="AF1188" s="306"/>
      <c r="AG1188" s="306"/>
      <c r="AH1188" s="306"/>
      <c r="AI1188" s="306"/>
      <c r="AJ1188" s="306"/>
      <c r="AK1188" s="306"/>
      <c r="AL1188" s="306"/>
      <c r="AM1188" s="651"/>
      <c r="AN1188" s="306"/>
      <c r="AO1188" s="306"/>
    </row>
    <row r="1189" spans="2:41" s="134" customFormat="1">
      <c r="B1189" s="83"/>
      <c r="C1189" s="83"/>
      <c r="D1189" s="83" t="s">
        <v>804</v>
      </c>
      <c r="E1189" s="83"/>
      <c r="F1189" s="83"/>
      <c r="G1189" s="83"/>
      <c r="H1189" s="83"/>
      <c r="I1189" s="83"/>
      <c r="J1189" s="83"/>
      <c r="K1189" s="83"/>
      <c r="L1189" s="385" t="s">
        <v>787</v>
      </c>
      <c r="M1189" s="385">
        <v>3</v>
      </c>
      <c r="N1189" s="385">
        <v>7</v>
      </c>
      <c r="O1189" s="385"/>
      <c r="P1189" s="141">
        <v>14</v>
      </c>
      <c r="Q1189" s="385">
        <v>5</v>
      </c>
      <c r="R1189" s="385">
        <v>4</v>
      </c>
      <c r="S1189" s="385">
        <v>6</v>
      </c>
      <c r="T1189" s="385"/>
      <c r="U1189" s="141">
        <v>18</v>
      </c>
      <c r="V1189" s="317"/>
      <c r="W1189" s="317"/>
      <c r="X1189" s="317"/>
      <c r="Y1189" s="317"/>
      <c r="Z1189" s="306"/>
      <c r="AA1189" s="307"/>
      <c r="AB1189" s="307"/>
      <c r="AC1189" s="307"/>
      <c r="AD1189" s="307"/>
      <c r="AE1189" s="306"/>
      <c r="AF1189" s="306"/>
      <c r="AG1189" s="306"/>
      <c r="AH1189" s="306"/>
      <c r="AI1189" s="306"/>
      <c r="AJ1189" s="306"/>
      <c r="AK1189" s="306"/>
      <c r="AL1189" s="306"/>
      <c r="AM1189" s="651"/>
      <c r="AN1189" s="306"/>
      <c r="AO1189" s="306"/>
    </row>
    <row r="1190" spans="2:41" s="134" customFormat="1">
      <c r="B1190" s="83"/>
      <c r="C1190" s="83"/>
      <c r="D1190" s="83" t="s">
        <v>805</v>
      </c>
      <c r="E1190" s="83"/>
      <c r="F1190" s="83"/>
      <c r="G1190" s="83"/>
      <c r="H1190" s="83"/>
      <c r="I1190" s="83"/>
      <c r="J1190" s="83"/>
      <c r="K1190" s="83"/>
      <c r="L1190" s="385" t="s">
        <v>811</v>
      </c>
      <c r="M1190" s="385">
        <v>81</v>
      </c>
      <c r="N1190" s="385">
        <v>198</v>
      </c>
      <c r="O1190" s="385"/>
      <c r="P1190" s="141">
        <v>403</v>
      </c>
      <c r="Q1190" s="385">
        <v>209</v>
      </c>
      <c r="R1190" s="385">
        <v>290</v>
      </c>
      <c r="S1190" s="385">
        <v>254</v>
      </c>
      <c r="T1190" s="385"/>
      <c r="U1190" s="141">
        <v>961</v>
      </c>
      <c r="V1190" s="317"/>
      <c r="W1190" s="317"/>
      <c r="X1190" s="317"/>
      <c r="Y1190" s="317"/>
      <c r="Z1190" s="306"/>
      <c r="AA1190" s="307"/>
      <c r="AB1190" s="307"/>
      <c r="AC1190" s="307"/>
      <c r="AD1190" s="307"/>
      <c r="AE1190" s="306"/>
      <c r="AF1190" s="306"/>
      <c r="AG1190" s="306"/>
      <c r="AH1190" s="306"/>
      <c r="AI1190" s="306"/>
      <c r="AJ1190" s="306"/>
      <c r="AK1190" s="306"/>
      <c r="AL1190" s="306"/>
      <c r="AM1190" s="651"/>
      <c r="AN1190" s="306"/>
      <c r="AO1190" s="306"/>
    </row>
    <row r="1191" spans="2:41" s="134" customFormat="1">
      <c r="B1191" s="83"/>
      <c r="C1191" s="83"/>
      <c r="D1191" s="83" t="s">
        <v>806</v>
      </c>
      <c r="E1191" s="83"/>
      <c r="F1191" s="83"/>
      <c r="G1191" s="83"/>
      <c r="H1191" s="83"/>
      <c r="I1191" s="83"/>
      <c r="J1191" s="83"/>
      <c r="K1191" s="83"/>
      <c r="L1191" s="385" t="s">
        <v>787</v>
      </c>
      <c r="M1191" s="385">
        <v>1162</v>
      </c>
      <c r="N1191" s="385">
        <v>3105</v>
      </c>
      <c r="O1191" s="385"/>
      <c r="P1191" s="141">
        <v>8746</v>
      </c>
      <c r="Q1191" s="385">
        <v>3725</v>
      </c>
      <c r="R1191" s="385">
        <v>4221</v>
      </c>
      <c r="S1191" s="385">
        <v>4240</v>
      </c>
      <c r="T1191" s="385"/>
      <c r="U1191" s="141">
        <v>16023</v>
      </c>
      <c r="V1191" s="317"/>
      <c r="W1191" s="317"/>
      <c r="X1191" s="317"/>
      <c r="Y1191" s="317"/>
      <c r="Z1191" s="306"/>
      <c r="AA1191" s="307"/>
      <c r="AB1191" s="307"/>
      <c r="AC1191" s="307"/>
      <c r="AD1191" s="307"/>
      <c r="AE1191" s="306"/>
      <c r="AF1191" s="306"/>
      <c r="AG1191" s="306"/>
      <c r="AH1191" s="306"/>
      <c r="AI1191" s="306"/>
      <c r="AJ1191" s="306"/>
      <c r="AK1191" s="306"/>
      <c r="AL1191" s="306"/>
      <c r="AM1191" s="651"/>
      <c r="AN1191" s="306"/>
      <c r="AO1191" s="306"/>
    </row>
    <row r="1192" spans="2:41" s="134" customFormat="1">
      <c r="B1192" s="83"/>
      <c r="C1192" s="83"/>
      <c r="D1192" s="83" t="s">
        <v>807</v>
      </c>
      <c r="E1192" s="83"/>
      <c r="F1192" s="83"/>
      <c r="G1192" s="83"/>
      <c r="H1192" s="83"/>
      <c r="I1192" s="83"/>
      <c r="J1192" s="83"/>
      <c r="K1192" s="83"/>
      <c r="L1192" s="385" t="s">
        <v>811</v>
      </c>
      <c r="M1192" s="385">
        <v>70</v>
      </c>
      <c r="N1192" s="385">
        <v>63.96</v>
      </c>
      <c r="O1192" s="385"/>
      <c r="P1192" s="141">
        <v>46.14</v>
      </c>
      <c r="Q1192" s="385">
        <v>55.99</v>
      </c>
      <c r="R1192" s="385">
        <v>68.75</v>
      </c>
      <c r="S1192" s="385">
        <v>59.78</v>
      </c>
      <c r="T1192" s="385"/>
      <c r="U1192" s="141">
        <v>59.97</v>
      </c>
      <c r="V1192" s="317"/>
      <c r="W1192" s="317"/>
      <c r="X1192" s="317"/>
      <c r="Y1192" s="317"/>
      <c r="Z1192" s="306"/>
      <c r="AA1192" s="307"/>
      <c r="AB1192" s="307"/>
      <c r="AC1192" s="307"/>
      <c r="AD1192" s="307"/>
      <c r="AE1192" s="306"/>
      <c r="AF1192" s="306"/>
      <c r="AG1192" s="306"/>
      <c r="AH1192" s="306"/>
      <c r="AI1192" s="306"/>
      <c r="AJ1192" s="306"/>
      <c r="AK1192" s="306"/>
      <c r="AL1192" s="306"/>
      <c r="AM1192" s="651"/>
      <c r="AN1192" s="306"/>
      <c r="AO1192" s="306"/>
    </row>
    <row r="1193" spans="2:41" s="134" customFormat="1">
      <c r="B1193" s="83"/>
      <c r="C1193" s="83"/>
      <c r="D1193" s="83" t="s">
        <v>808</v>
      </c>
      <c r="E1193" s="83"/>
      <c r="F1193" s="83"/>
      <c r="G1193" s="83"/>
      <c r="H1193" s="83"/>
      <c r="I1193" s="83"/>
      <c r="J1193" s="83"/>
      <c r="K1193" s="83"/>
      <c r="L1193" s="385" t="s">
        <v>787</v>
      </c>
      <c r="M1193" s="385">
        <v>1.31</v>
      </c>
      <c r="N1193" s="385">
        <v>1.31</v>
      </c>
      <c r="O1193" s="385"/>
      <c r="P1193" s="141">
        <v>1.31</v>
      </c>
      <c r="Q1193" s="385">
        <v>1.33</v>
      </c>
      <c r="R1193" s="385">
        <v>1.34</v>
      </c>
      <c r="S1193" s="385">
        <v>1.32</v>
      </c>
      <c r="T1193" s="385"/>
      <c r="U1193" s="141">
        <v>1.33</v>
      </c>
      <c r="V1193" s="317"/>
      <c r="W1193" s="317"/>
      <c r="X1193" s="317"/>
      <c r="Y1193" s="317"/>
      <c r="Z1193" s="306"/>
      <c r="AA1193" s="307"/>
      <c r="AB1193" s="307"/>
      <c r="AC1193" s="307"/>
      <c r="AD1193" s="307"/>
      <c r="AE1193" s="306"/>
      <c r="AF1193" s="306"/>
      <c r="AG1193" s="306"/>
      <c r="AH1193" s="306"/>
      <c r="AI1193" s="306"/>
      <c r="AJ1193" s="306"/>
      <c r="AK1193" s="306"/>
      <c r="AL1193" s="306"/>
      <c r="AM1193" s="651"/>
      <c r="AN1193" s="306"/>
      <c r="AO1193" s="306"/>
    </row>
    <row r="1194" spans="2:41" s="134" customFormat="1">
      <c r="B1194" s="83"/>
      <c r="C1194" s="83"/>
      <c r="D1194" s="83" t="s">
        <v>809</v>
      </c>
      <c r="E1194" s="83"/>
      <c r="F1194" s="83"/>
      <c r="G1194" s="83"/>
      <c r="H1194" s="83"/>
      <c r="I1194" s="83"/>
      <c r="J1194" s="83"/>
      <c r="K1194" s="83"/>
      <c r="L1194" s="385" t="s">
        <v>811</v>
      </c>
      <c r="M1194" s="385">
        <v>53.32</v>
      </c>
      <c r="N1194" s="385">
        <v>48.94</v>
      </c>
      <c r="O1194" s="385"/>
      <c r="P1194" s="141">
        <v>35.119999999999997</v>
      </c>
      <c r="Q1194" s="385">
        <v>42.12</v>
      </c>
      <c r="R1194" s="385">
        <v>51.4</v>
      </c>
      <c r="S1194" s="385">
        <v>45.26</v>
      </c>
      <c r="T1194" s="385"/>
      <c r="U1194" s="141">
        <v>45.2</v>
      </c>
      <c r="V1194" s="317"/>
      <c r="W1194" s="317"/>
      <c r="X1194" s="317"/>
      <c r="Y1194" s="317"/>
      <c r="Z1194" s="306"/>
      <c r="AA1194" s="307"/>
      <c r="AB1194" s="307"/>
      <c r="AC1194" s="307"/>
      <c r="AD1194" s="307"/>
      <c r="AE1194" s="306"/>
      <c r="AF1194" s="306"/>
      <c r="AG1194" s="306"/>
      <c r="AH1194" s="306"/>
      <c r="AI1194" s="306"/>
      <c r="AJ1194" s="306"/>
      <c r="AK1194" s="306"/>
      <c r="AL1194" s="306"/>
      <c r="AM1194" s="651"/>
      <c r="AN1194" s="306"/>
      <c r="AO1194" s="306"/>
    </row>
    <row r="1195" spans="2:41" s="134" customFormat="1">
      <c r="B1195" s="228"/>
      <c r="C1195" s="229"/>
      <c r="G1195" s="306"/>
      <c r="H1195" s="306"/>
      <c r="I1195" s="306"/>
      <c r="J1195" s="306"/>
      <c r="K1195" s="306"/>
      <c r="L1195" s="307"/>
      <c r="M1195" s="307"/>
      <c r="N1195" s="307"/>
      <c r="O1195" s="307"/>
      <c r="P1195" s="306"/>
      <c r="Q1195" s="307"/>
      <c r="R1195" s="307"/>
      <c r="S1195" s="307"/>
      <c r="T1195" s="307"/>
      <c r="U1195" s="306"/>
      <c r="V1195" s="307"/>
      <c r="W1195" s="307"/>
      <c r="X1195" s="307"/>
      <c r="Y1195" s="307"/>
      <c r="Z1195" s="306"/>
      <c r="AA1195" s="307"/>
      <c r="AB1195" s="307"/>
      <c r="AC1195" s="307"/>
      <c r="AD1195" s="307"/>
      <c r="AE1195" s="306"/>
      <c r="AF1195" s="306"/>
      <c r="AG1195" s="306"/>
      <c r="AH1195" s="306"/>
      <c r="AI1195" s="306"/>
      <c r="AJ1195" s="306"/>
      <c r="AK1195" s="306"/>
      <c r="AL1195" s="306"/>
      <c r="AM1195" s="651"/>
      <c r="AN1195" s="306"/>
      <c r="AO1195" s="306"/>
    </row>
    <row r="1196" spans="2:41" s="134" customFormat="1">
      <c r="B1196" s="228"/>
      <c r="C1196" s="229"/>
      <c r="G1196" s="306"/>
      <c r="H1196" s="306"/>
      <c r="I1196" s="306"/>
      <c r="J1196" s="306"/>
      <c r="K1196" s="306"/>
      <c r="L1196" s="307"/>
      <c r="M1196" s="307"/>
      <c r="N1196" s="307"/>
      <c r="O1196" s="307"/>
      <c r="P1196" s="306"/>
      <c r="Q1196" s="307"/>
      <c r="R1196" s="307"/>
      <c r="S1196" s="307"/>
      <c r="T1196" s="307"/>
      <c r="U1196" s="306"/>
      <c r="V1196" s="307"/>
      <c r="W1196" s="307"/>
      <c r="X1196" s="307"/>
      <c r="Y1196" s="307"/>
      <c r="Z1196" s="306"/>
      <c r="AA1196" s="307"/>
      <c r="AB1196" s="307"/>
      <c r="AC1196" s="307"/>
      <c r="AD1196" s="307"/>
      <c r="AE1196" s="306"/>
      <c r="AF1196" s="306"/>
      <c r="AG1196" s="306"/>
      <c r="AH1196" s="306"/>
      <c r="AI1196" s="306"/>
      <c r="AJ1196" s="306"/>
      <c r="AK1196" s="306"/>
      <c r="AL1196" s="306"/>
      <c r="AM1196" s="651"/>
      <c r="AN1196" s="306"/>
      <c r="AO1196" s="306"/>
    </row>
    <row r="1197" spans="2:41" s="134" customFormat="1">
      <c r="B1197" s="228"/>
      <c r="C1197" s="229"/>
      <c r="G1197" s="306"/>
      <c r="H1197" s="306"/>
      <c r="I1197" s="306"/>
      <c r="J1197" s="306"/>
      <c r="K1197" s="306"/>
      <c r="L1197" s="307"/>
      <c r="M1197" s="307"/>
      <c r="N1197" s="307"/>
      <c r="O1197" s="307"/>
      <c r="P1197" s="306"/>
      <c r="Q1197" s="307"/>
      <c r="R1197" s="307"/>
      <c r="S1197" s="307"/>
      <c r="T1197" s="307"/>
      <c r="U1197" s="306"/>
      <c r="V1197" s="307"/>
      <c r="W1197" s="307"/>
      <c r="X1197" s="307"/>
      <c r="Y1197" s="307"/>
      <c r="Z1197" s="306"/>
      <c r="AA1197" s="307"/>
      <c r="AB1197" s="307"/>
      <c r="AC1197" s="307"/>
      <c r="AD1197" s="307"/>
      <c r="AE1197" s="306"/>
      <c r="AF1197" s="306"/>
      <c r="AG1197" s="306"/>
      <c r="AH1197" s="306"/>
      <c r="AI1197" s="306"/>
      <c r="AJ1197" s="306"/>
      <c r="AK1197" s="306"/>
      <c r="AL1197" s="306"/>
      <c r="AM1197" s="651"/>
      <c r="AN1197" s="306"/>
      <c r="AO1197" s="306"/>
    </row>
    <row r="1198" spans="2:41" s="134" customFormat="1">
      <c r="B1198" s="228"/>
      <c r="C1198" s="229"/>
      <c r="G1198" s="306"/>
      <c r="H1198" s="306"/>
      <c r="I1198" s="306"/>
      <c r="J1198" s="306"/>
      <c r="K1198" s="306"/>
      <c r="L1198" s="307"/>
      <c r="M1198" s="307"/>
      <c r="N1198" s="307"/>
      <c r="O1198" s="307"/>
      <c r="P1198" s="306"/>
      <c r="Q1198" s="307"/>
      <c r="R1198" s="307"/>
      <c r="S1198" s="307"/>
      <c r="T1198" s="307"/>
      <c r="U1198" s="306"/>
      <c r="V1198" s="307"/>
      <c r="W1198" s="307"/>
      <c r="X1198" s="307"/>
      <c r="Y1198" s="307"/>
      <c r="Z1198" s="306"/>
      <c r="AA1198" s="307"/>
      <c r="AB1198" s="307"/>
      <c r="AC1198" s="307"/>
      <c r="AD1198" s="307"/>
      <c r="AE1198" s="306"/>
      <c r="AF1198" s="306"/>
      <c r="AG1198" s="306"/>
      <c r="AH1198" s="306"/>
      <c r="AI1198" s="306"/>
      <c r="AJ1198" s="306"/>
      <c r="AK1198" s="306"/>
      <c r="AL1198" s="306"/>
      <c r="AM1198" s="651"/>
      <c r="AN1198" s="306"/>
      <c r="AO1198" s="306"/>
    </row>
    <row r="1199" spans="2:41" s="134" customFormat="1">
      <c r="B1199" s="228"/>
      <c r="C1199" s="229"/>
      <c r="D1199" s="134" t="s">
        <v>286</v>
      </c>
      <c r="G1199" s="306"/>
      <c r="H1199" s="306"/>
      <c r="I1199" s="306"/>
      <c r="J1199" s="306"/>
      <c r="K1199" s="306"/>
      <c r="L1199" s="307"/>
      <c r="M1199" s="308">
        <v>64.59</v>
      </c>
      <c r="N1199" s="308">
        <v>53.41</v>
      </c>
      <c r="O1199" s="578">
        <v>8.98</v>
      </c>
      <c r="P1199" s="309">
        <v>32.81</v>
      </c>
      <c r="Q1199" s="308">
        <v>48.42</v>
      </c>
      <c r="R1199" s="308">
        <v>62.28</v>
      </c>
      <c r="S1199" s="308">
        <v>52.61</v>
      </c>
      <c r="T1199" s="308">
        <v>44.29</v>
      </c>
      <c r="U1199" s="309">
        <v>52.21</v>
      </c>
      <c r="V1199" s="308">
        <v>23.12</v>
      </c>
      <c r="W1199" s="308"/>
      <c r="X1199" s="308"/>
      <c r="Y1199" s="308"/>
      <c r="Z1199" s="306"/>
      <c r="AA1199" s="307"/>
      <c r="AB1199" s="307"/>
      <c r="AC1199" s="307"/>
      <c r="AD1199" s="307"/>
      <c r="AE1199" s="306"/>
      <c r="AF1199" s="306"/>
      <c r="AG1199" s="306"/>
      <c r="AH1199" s="306"/>
      <c r="AI1199" s="306"/>
      <c r="AJ1199" s="306"/>
      <c r="AK1199" s="306"/>
      <c r="AL1199" s="306"/>
      <c r="AM1199" s="651"/>
      <c r="AN1199" s="306"/>
      <c r="AO1199" s="306"/>
    </row>
    <row r="1200" spans="2:41" s="134" customFormat="1">
      <c r="B1200" s="228"/>
      <c r="C1200" s="229"/>
      <c r="G1200" s="306"/>
      <c r="H1200" s="306"/>
      <c r="I1200" s="306"/>
      <c r="J1200" s="306"/>
      <c r="K1200" s="306"/>
      <c r="L1200" s="307"/>
      <c r="M1200" s="307"/>
      <c r="N1200" s="307"/>
      <c r="O1200" s="307"/>
      <c r="P1200" s="306"/>
      <c r="Q1200" s="307"/>
      <c r="R1200" s="307"/>
      <c r="S1200" s="307"/>
      <c r="T1200" s="307"/>
      <c r="U1200" s="306"/>
      <c r="V1200" s="307"/>
      <c r="W1200" s="307"/>
      <c r="X1200" s="307"/>
      <c r="Y1200" s="307"/>
      <c r="Z1200" s="306"/>
      <c r="AA1200" s="307"/>
      <c r="AB1200" s="307"/>
      <c r="AC1200" s="307"/>
      <c r="AD1200" s="307"/>
      <c r="AE1200" s="306"/>
      <c r="AF1200" s="306"/>
      <c r="AG1200" s="306"/>
      <c r="AH1200" s="306"/>
      <c r="AI1200" s="306"/>
      <c r="AJ1200" s="306"/>
      <c r="AK1200" s="306"/>
      <c r="AL1200" s="306"/>
      <c r="AM1200" s="651"/>
      <c r="AN1200" s="306"/>
      <c r="AO1200" s="306"/>
    </row>
    <row r="1201" spans="2:41" s="134" customFormat="1">
      <c r="B1201" s="228"/>
      <c r="C1201" s="229"/>
      <c r="G1201" s="306"/>
      <c r="H1201" s="306"/>
      <c r="I1201" s="306"/>
      <c r="J1201" s="306"/>
      <c r="K1201" s="306"/>
      <c r="L1201" s="307"/>
      <c r="M1201" s="307"/>
      <c r="N1201" s="307"/>
      <c r="O1201" s="307"/>
      <c r="P1201" s="306"/>
      <c r="Q1201" s="307"/>
      <c r="R1201" s="307"/>
      <c r="S1201" s="307"/>
      <c r="T1201" s="307"/>
      <c r="U1201" s="306"/>
      <c r="V1201" s="307"/>
      <c r="W1201" s="307"/>
      <c r="X1201" s="307"/>
      <c r="Y1201" s="307"/>
      <c r="Z1201" s="306"/>
      <c r="AA1201" s="307"/>
      <c r="AB1201" s="307"/>
      <c r="AC1201" s="307"/>
      <c r="AD1201" s="307"/>
      <c r="AE1201" s="306"/>
      <c r="AF1201" s="306"/>
      <c r="AG1201" s="306"/>
      <c r="AH1201" s="306"/>
      <c r="AI1201" s="306"/>
      <c r="AJ1201" s="306"/>
      <c r="AK1201" s="306"/>
      <c r="AL1201" s="306"/>
      <c r="AM1201" s="651"/>
      <c r="AN1201" s="306"/>
      <c r="AO1201" s="306"/>
    </row>
    <row r="1202" spans="2:41" s="134" customFormat="1">
      <c r="B1202" s="228"/>
      <c r="C1202" s="229"/>
      <c r="G1202" s="306"/>
      <c r="H1202" s="306"/>
      <c r="I1202" s="306"/>
      <c r="J1202" s="306"/>
      <c r="K1202" s="306"/>
      <c r="L1202" s="307"/>
      <c r="M1202" s="307"/>
      <c r="N1202" s="307"/>
      <c r="O1202" s="307"/>
      <c r="P1202" s="306"/>
      <c r="Q1202" s="307"/>
      <c r="R1202" s="307"/>
      <c r="S1202" s="307"/>
      <c r="T1202" s="307"/>
      <c r="U1202" s="306"/>
      <c r="V1202" s="307"/>
      <c r="W1202" s="307"/>
      <c r="X1202" s="307"/>
      <c r="Y1202" s="307"/>
      <c r="Z1202" s="306"/>
      <c r="AA1202" s="307"/>
      <c r="AB1202" s="307"/>
      <c r="AC1202" s="307"/>
      <c r="AD1202" s="307"/>
      <c r="AE1202" s="306"/>
      <c r="AF1202" s="306"/>
      <c r="AG1202" s="306"/>
      <c r="AH1202" s="306"/>
      <c r="AI1202" s="306"/>
      <c r="AJ1202" s="306"/>
      <c r="AK1202" s="306"/>
      <c r="AL1202" s="306"/>
      <c r="AM1202" s="651"/>
      <c r="AN1202" s="306"/>
      <c r="AO1202" s="306"/>
    </row>
    <row r="1203" spans="2:41" s="134" customFormat="1">
      <c r="B1203" s="228"/>
      <c r="C1203" s="229"/>
      <c r="G1203" s="306"/>
      <c r="H1203" s="306"/>
      <c r="I1203" s="306"/>
      <c r="J1203" s="306"/>
      <c r="K1203" s="306"/>
      <c r="L1203" s="307"/>
      <c r="M1203" s="307"/>
      <c r="N1203" s="307"/>
      <c r="O1203" s="307"/>
      <c r="P1203" s="306"/>
      <c r="Q1203" s="307"/>
      <c r="R1203" s="307"/>
      <c r="S1203" s="307"/>
      <c r="T1203" s="307"/>
      <c r="U1203" s="306"/>
      <c r="V1203" s="307"/>
      <c r="W1203" s="307"/>
      <c r="X1203" s="307"/>
      <c r="Y1203" s="307"/>
      <c r="Z1203" s="306"/>
      <c r="AA1203" s="307"/>
      <c r="AB1203" s="307"/>
      <c r="AC1203" s="307"/>
      <c r="AD1203" s="307"/>
      <c r="AE1203" s="306"/>
      <c r="AF1203" s="306"/>
      <c r="AG1203" s="306"/>
      <c r="AH1203" s="306"/>
      <c r="AI1203" s="306"/>
      <c r="AJ1203" s="306"/>
      <c r="AK1203" s="306"/>
      <c r="AL1203" s="306"/>
      <c r="AM1203" s="651"/>
      <c r="AN1203" s="306"/>
      <c r="AO1203" s="306"/>
    </row>
    <row r="1204" spans="2:41" s="134" customFormat="1">
      <c r="B1204" s="228"/>
      <c r="C1204" s="229"/>
      <c r="G1204" s="306"/>
      <c r="H1204" s="306"/>
      <c r="I1204" s="306"/>
      <c r="J1204" s="306"/>
      <c r="K1204" s="306"/>
      <c r="L1204" s="307"/>
      <c r="M1204" s="307"/>
      <c r="N1204" s="307"/>
      <c r="O1204" s="307"/>
      <c r="P1204" s="306"/>
      <c r="Q1204" s="307"/>
      <c r="R1204" s="307"/>
      <c r="S1204" s="307"/>
      <c r="T1204" s="307"/>
      <c r="U1204" s="306"/>
      <c r="V1204" s="307"/>
      <c r="W1204" s="307"/>
      <c r="X1204" s="307"/>
      <c r="Y1204" s="307"/>
      <c r="Z1204" s="306"/>
      <c r="AA1204" s="307"/>
      <c r="AB1204" s="307"/>
      <c r="AC1204" s="307"/>
      <c r="AD1204" s="307"/>
      <c r="AE1204" s="306"/>
      <c r="AF1204" s="306"/>
      <c r="AG1204" s="306"/>
      <c r="AH1204" s="306"/>
      <c r="AI1204" s="306"/>
      <c r="AJ1204" s="306"/>
      <c r="AK1204" s="306"/>
      <c r="AL1204" s="306"/>
      <c r="AM1204" s="651"/>
      <c r="AN1204" s="306"/>
      <c r="AO1204" s="306"/>
    </row>
    <row r="1205" spans="2:41" s="134" customFormat="1">
      <c r="B1205" s="228"/>
      <c r="C1205" s="229"/>
      <c r="G1205" s="306"/>
      <c r="H1205" s="306"/>
      <c r="I1205" s="306"/>
      <c r="J1205" s="306"/>
      <c r="K1205" s="306"/>
      <c r="L1205" s="307"/>
      <c r="M1205" s="307"/>
      <c r="N1205" s="307"/>
      <c r="O1205" s="307"/>
      <c r="P1205" s="306"/>
      <c r="Q1205" s="307"/>
      <c r="R1205" s="307"/>
      <c r="S1205" s="307"/>
      <c r="T1205" s="307"/>
      <c r="U1205" s="306"/>
      <c r="V1205" s="307"/>
      <c r="W1205" s="307"/>
      <c r="X1205" s="307"/>
      <c r="Y1205" s="307"/>
      <c r="Z1205" s="306"/>
      <c r="AA1205" s="307"/>
      <c r="AB1205" s="307"/>
      <c r="AC1205" s="307"/>
      <c r="AD1205" s="307"/>
      <c r="AE1205" s="306"/>
      <c r="AF1205" s="306"/>
      <c r="AG1205" s="306"/>
      <c r="AH1205" s="306"/>
      <c r="AI1205" s="306"/>
      <c r="AJ1205" s="306"/>
      <c r="AK1205" s="306"/>
      <c r="AL1205" s="306"/>
      <c r="AM1205" s="651"/>
      <c r="AN1205" s="306"/>
      <c r="AO1205" s="306"/>
    </row>
    <row r="1206" spans="2:41" s="134" customFormat="1">
      <c r="B1206" s="228"/>
      <c r="C1206" s="229"/>
      <c r="G1206" s="306"/>
      <c r="H1206" s="306"/>
      <c r="I1206" s="306"/>
      <c r="J1206" s="306"/>
      <c r="K1206" s="306"/>
      <c r="L1206" s="307"/>
      <c r="M1206" s="307"/>
      <c r="N1206" s="307"/>
      <c r="O1206" s="307"/>
      <c r="P1206" s="306"/>
      <c r="Q1206" s="307"/>
      <c r="R1206" s="307"/>
      <c r="S1206" s="307"/>
      <c r="T1206" s="307"/>
      <c r="U1206" s="306"/>
      <c r="V1206" s="307"/>
      <c r="W1206" s="307"/>
      <c r="X1206" s="307"/>
      <c r="Y1206" s="307"/>
      <c r="Z1206" s="306"/>
      <c r="AA1206" s="307"/>
      <c r="AB1206" s="307"/>
      <c r="AC1206" s="307"/>
      <c r="AD1206" s="307"/>
      <c r="AE1206" s="306"/>
      <c r="AF1206" s="306"/>
      <c r="AG1206" s="306"/>
      <c r="AH1206" s="306"/>
      <c r="AI1206" s="306"/>
      <c r="AJ1206" s="306"/>
      <c r="AK1206" s="306"/>
      <c r="AL1206" s="306"/>
      <c r="AM1206" s="651"/>
      <c r="AN1206" s="306"/>
      <c r="AO1206" s="306"/>
    </row>
    <row r="1207" spans="2:41" s="134" customFormat="1">
      <c r="B1207" s="228"/>
      <c r="C1207" s="229"/>
      <c r="G1207" s="306"/>
      <c r="H1207" s="306"/>
      <c r="I1207" s="306"/>
      <c r="J1207" s="306"/>
      <c r="K1207" s="306"/>
      <c r="L1207" s="307"/>
      <c r="M1207" s="307"/>
      <c r="N1207" s="307"/>
      <c r="O1207" s="307"/>
      <c r="P1207" s="306"/>
      <c r="Q1207" s="307"/>
      <c r="R1207" s="307"/>
      <c r="S1207" s="307"/>
      <c r="T1207" s="307"/>
      <c r="U1207" s="306"/>
      <c r="V1207" s="307"/>
      <c r="W1207" s="307"/>
      <c r="X1207" s="307"/>
      <c r="Y1207" s="307"/>
      <c r="Z1207" s="306"/>
      <c r="AA1207" s="307"/>
      <c r="AB1207" s="307"/>
      <c r="AC1207" s="307"/>
      <c r="AD1207" s="307"/>
      <c r="AE1207" s="306"/>
      <c r="AF1207" s="306"/>
      <c r="AG1207" s="306"/>
      <c r="AH1207" s="306"/>
      <c r="AI1207" s="306"/>
      <c r="AJ1207" s="306"/>
      <c r="AK1207" s="306"/>
      <c r="AL1207" s="306"/>
      <c r="AM1207" s="651"/>
      <c r="AN1207" s="306"/>
      <c r="AO1207" s="306"/>
    </row>
    <row r="1208" spans="2:41" s="134" customFormat="1">
      <c r="B1208" s="228"/>
      <c r="C1208" s="229"/>
      <c r="G1208" s="306"/>
      <c r="H1208" s="306"/>
      <c r="I1208" s="306"/>
      <c r="J1208" s="306"/>
      <c r="K1208" s="306"/>
      <c r="L1208" s="307"/>
      <c r="M1208" s="307"/>
      <c r="N1208" s="307"/>
      <c r="O1208" s="307"/>
      <c r="P1208" s="306"/>
      <c r="Q1208" s="307"/>
      <c r="R1208" s="307"/>
      <c r="S1208" s="307"/>
      <c r="T1208" s="307"/>
      <c r="U1208" s="306"/>
      <c r="V1208" s="307"/>
      <c r="W1208" s="307"/>
      <c r="X1208" s="307"/>
      <c r="Y1208" s="307"/>
      <c r="Z1208" s="306"/>
      <c r="AA1208" s="307"/>
      <c r="AB1208" s="307"/>
      <c r="AC1208" s="307"/>
      <c r="AD1208" s="307"/>
      <c r="AE1208" s="306"/>
      <c r="AF1208" s="306"/>
      <c r="AG1208" s="306"/>
      <c r="AH1208" s="306"/>
      <c r="AI1208" s="306"/>
      <c r="AJ1208" s="306"/>
      <c r="AK1208" s="306"/>
      <c r="AL1208" s="306"/>
      <c r="AM1208" s="651"/>
      <c r="AN1208" s="306"/>
      <c r="AO1208" s="306"/>
    </row>
    <row r="1209" spans="2:41" s="134" customFormat="1">
      <c r="B1209" s="228"/>
      <c r="C1209" s="229"/>
      <c r="G1209" s="306"/>
      <c r="H1209" s="306"/>
      <c r="I1209" s="306"/>
      <c r="J1209" s="306"/>
      <c r="K1209" s="306"/>
      <c r="L1209" s="307"/>
      <c r="M1209" s="307"/>
      <c r="N1209" s="307"/>
      <c r="O1209" s="307"/>
      <c r="P1209" s="306"/>
      <c r="Q1209" s="307"/>
      <c r="R1209" s="307"/>
      <c r="S1209" s="307"/>
      <c r="T1209" s="307"/>
      <c r="U1209" s="306"/>
      <c r="V1209" s="307"/>
      <c r="W1209" s="307"/>
      <c r="X1209" s="307"/>
      <c r="Y1209" s="307"/>
      <c r="Z1209" s="306"/>
      <c r="AA1209" s="307"/>
      <c r="AB1209" s="307"/>
      <c r="AC1209" s="307"/>
      <c r="AD1209" s="307"/>
      <c r="AE1209" s="306"/>
      <c r="AF1209" s="306"/>
      <c r="AG1209" s="306"/>
      <c r="AH1209" s="306"/>
      <c r="AI1209" s="306"/>
      <c r="AJ1209" s="306"/>
      <c r="AK1209" s="306"/>
      <c r="AL1209" s="306"/>
      <c r="AM1209" s="651"/>
      <c r="AN1209" s="306"/>
      <c r="AO1209" s="306"/>
    </row>
    <row r="1210" spans="2:41" s="134" customFormat="1">
      <c r="B1210" s="228"/>
      <c r="C1210" s="229"/>
      <c r="G1210" s="306"/>
      <c r="H1210" s="306"/>
      <c r="I1210" s="306"/>
      <c r="J1210" s="306"/>
      <c r="K1210" s="306"/>
      <c r="L1210" s="307"/>
      <c r="M1210" s="307"/>
      <c r="N1210" s="307"/>
      <c r="O1210" s="307"/>
      <c r="P1210" s="306"/>
      <c r="Q1210" s="307"/>
      <c r="R1210" s="307"/>
      <c r="S1210" s="307"/>
      <c r="T1210" s="307"/>
      <c r="U1210" s="306"/>
      <c r="V1210" s="307"/>
      <c r="W1210" s="307"/>
      <c r="X1210" s="307"/>
      <c r="Y1210" s="307"/>
      <c r="Z1210" s="306"/>
      <c r="AA1210" s="307"/>
      <c r="AB1210" s="307"/>
      <c r="AC1210" s="307"/>
      <c r="AD1210" s="307"/>
      <c r="AE1210" s="306"/>
      <c r="AF1210" s="306"/>
      <c r="AG1210" s="306"/>
      <c r="AH1210" s="306"/>
      <c r="AI1210" s="306"/>
      <c r="AJ1210" s="306"/>
      <c r="AK1210" s="306"/>
      <c r="AL1210" s="306"/>
      <c r="AM1210" s="651"/>
      <c r="AN1210" s="306"/>
      <c r="AO1210" s="306"/>
    </row>
    <row r="1211" spans="2:41" s="134" customFormat="1">
      <c r="B1211" s="228"/>
      <c r="C1211" s="229"/>
      <c r="G1211" s="306"/>
      <c r="H1211" s="306"/>
      <c r="I1211" s="306"/>
      <c r="J1211" s="306"/>
      <c r="K1211" s="306"/>
      <c r="L1211" s="307"/>
      <c r="M1211" s="307"/>
      <c r="N1211" s="307"/>
      <c r="O1211" s="307"/>
      <c r="P1211" s="306"/>
      <c r="Q1211" s="307"/>
      <c r="R1211" s="307"/>
      <c r="S1211" s="307"/>
      <c r="T1211" s="307"/>
      <c r="U1211" s="306"/>
      <c r="V1211" s="307"/>
      <c r="W1211" s="307"/>
      <c r="X1211" s="307"/>
      <c r="Y1211" s="307"/>
      <c r="Z1211" s="306"/>
      <c r="AA1211" s="307"/>
      <c r="AB1211" s="307"/>
      <c r="AC1211" s="307"/>
      <c r="AD1211" s="307"/>
      <c r="AE1211" s="306"/>
      <c r="AF1211" s="306"/>
      <c r="AG1211" s="306"/>
      <c r="AH1211" s="306"/>
      <c r="AI1211" s="306"/>
      <c r="AJ1211" s="306"/>
      <c r="AK1211" s="306"/>
      <c r="AL1211" s="306"/>
      <c r="AM1211" s="651"/>
      <c r="AN1211" s="306"/>
      <c r="AO1211" s="306"/>
    </row>
    <row r="1212" spans="2:41" s="134" customFormat="1">
      <c r="B1212" s="228"/>
      <c r="C1212" s="229"/>
      <c r="G1212" s="306"/>
      <c r="H1212" s="306"/>
      <c r="I1212" s="306"/>
      <c r="J1212" s="306"/>
      <c r="K1212" s="306"/>
      <c r="L1212" s="307"/>
      <c r="M1212" s="307"/>
      <c r="N1212" s="307"/>
      <c r="O1212" s="307"/>
      <c r="P1212" s="306"/>
      <c r="Q1212" s="307"/>
      <c r="R1212" s="307"/>
      <c r="S1212" s="307"/>
      <c r="T1212" s="307"/>
      <c r="U1212" s="306"/>
      <c r="V1212" s="307"/>
      <c r="W1212" s="307"/>
      <c r="X1212" s="307"/>
      <c r="Y1212" s="307"/>
      <c r="Z1212" s="306"/>
      <c r="AA1212" s="307"/>
      <c r="AB1212" s="307"/>
      <c r="AC1212" s="307"/>
      <c r="AD1212" s="307"/>
      <c r="AE1212" s="306"/>
      <c r="AF1212" s="306"/>
      <c r="AG1212" s="306"/>
      <c r="AH1212" s="306"/>
      <c r="AI1212" s="306"/>
      <c r="AJ1212" s="306"/>
      <c r="AK1212" s="306"/>
      <c r="AL1212" s="306"/>
      <c r="AM1212" s="651"/>
      <c r="AN1212" s="306"/>
      <c r="AO1212" s="306"/>
    </row>
    <row r="1213" spans="2:41" s="134" customFormat="1">
      <c r="B1213" s="228"/>
      <c r="C1213" s="229"/>
      <c r="G1213" s="306"/>
      <c r="H1213" s="306"/>
      <c r="I1213" s="306"/>
      <c r="J1213" s="306"/>
      <c r="K1213" s="306"/>
      <c r="L1213" s="307"/>
      <c r="M1213" s="307"/>
      <c r="N1213" s="307"/>
      <c r="O1213" s="307"/>
      <c r="P1213" s="306"/>
      <c r="Q1213" s="307"/>
      <c r="R1213" s="307"/>
      <c r="S1213" s="307"/>
      <c r="T1213" s="307"/>
      <c r="U1213" s="306"/>
      <c r="V1213" s="307"/>
      <c r="W1213" s="307"/>
      <c r="X1213" s="307"/>
      <c r="Y1213" s="307"/>
      <c r="Z1213" s="306"/>
      <c r="AA1213" s="307"/>
      <c r="AB1213" s="307"/>
      <c r="AC1213" s="307"/>
      <c r="AD1213" s="307"/>
      <c r="AE1213" s="306"/>
      <c r="AF1213" s="306"/>
      <c r="AG1213" s="306"/>
      <c r="AH1213" s="306"/>
      <c r="AI1213" s="306"/>
      <c r="AJ1213" s="306"/>
      <c r="AK1213" s="306"/>
      <c r="AL1213" s="306"/>
      <c r="AM1213" s="651"/>
      <c r="AN1213" s="306"/>
      <c r="AO1213" s="306"/>
    </row>
    <row r="1214" spans="2:41" s="134" customFormat="1">
      <c r="B1214" s="228"/>
      <c r="C1214" s="229"/>
      <c r="G1214" s="306"/>
      <c r="H1214" s="306"/>
      <c r="I1214" s="306"/>
      <c r="J1214" s="306"/>
      <c r="K1214" s="306"/>
      <c r="L1214" s="307"/>
      <c r="M1214" s="307"/>
      <c r="N1214" s="307"/>
      <c r="O1214" s="307"/>
      <c r="P1214" s="306"/>
      <c r="Q1214" s="307"/>
      <c r="R1214" s="307"/>
      <c r="S1214" s="307"/>
      <c r="T1214" s="307"/>
      <c r="U1214" s="306"/>
      <c r="V1214" s="307"/>
      <c r="W1214" s="307"/>
      <c r="X1214" s="307"/>
      <c r="Y1214" s="307"/>
      <c r="Z1214" s="306"/>
      <c r="AA1214" s="307"/>
      <c r="AB1214" s="307"/>
      <c r="AC1214" s="307"/>
      <c r="AD1214" s="307"/>
      <c r="AE1214" s="306"/>
      <c r="AF1214" s="306"/>
      <c r="AG1214" s="306"/>
      <c r="AH1214" s="306"/>
      <c r="AI1214" s="306"/>
      <c r="AJ1214" s="306"/>
      <c r="AK1214" s="306"/>
      <c r="AL1214" s="306"/>
      <c r="AM1214" s="651"/>
      <c r="AN1214" s="306"/>
      <c r="AO1214" s="306"/>
    </row>
    <row r="1215" spans="2:41" s="134" customFormat="1">
      <c r="B1215" s="228"/>
      <c r="C1215" s="229"/>
      <c r="G1215" s="306"/>
      <c r="H1215" s="306"/>
      <c r="I1215" s="306"/>
      <c r="J1215" s="306"/>
      <c r="K1215" s="306"/>
      <c r="L1215" s="307"/>
      <c r="M1215" s="307"/>
      <c r="N1215" s="307"/>
      <c r="O1215" s="307"/>
      <c r="P1215" s="306"/>
      <c r="Q1215" s="307"/>
      <c r="R1215" s="307"/>
      <c r="S1215" s="307"/>
      <c r="T1215" s="307"/>
      <c r="U1215" s="306"/>
      <c r="V1215" s="307"/>
      <c r="W1215" s="307"/>
      <c r="X1215" s="307"/>
      <c r="Y1215" s="307"/>
      <c r="Z1215" s="306"/>
      <c r="AA1215" s="307"/>
      <c r="AB1215" s="307"/>
      <c r="AC1215" s="307"/>
      <c r="AD1215" s="307"/>
      <c r="AE1215" s="306"/>
      <c r="AF1215" s="306"/>
      <c r="AG1215" s="306"/>
      <c r="AH1215" s="306"/>
      <c r="AI1215" s="306"/>
      <c r="AJ1215" s="306"/>
      <c r="AK1215" s="306"/>
      <c r="AL1215" s="306"/>
      <c r="AM1215" s="651"/>
      <c r="AN1215" s="306"/>
      <c r="AO1215" s="306"/>
    </row>
    <row r="1216" spans="2:41" s="134" customFormat="1">
      <c r="B1216" s="228"/>
      <c r="C1216" s="229"/>
      <c r="G1216" s="306"/>
      <c r="H1216" s="306"/>
      <c r="I1216" s="306"/>
      <c r="J1216" s="306"/>
      <c r="K1216" s="306"/>
      <c r="L1216" s="307"/>
      <c r="M1216" s="307"/>
      <c r="N1216" s="307"/>
      <c r="O1216" s="307"/>
      <c r="P1216" s="306"/>
      <c r="Q1216" s="307"/>
      <c r="R1216" s="307"/>
      <c r="S1216" s="307"/>
      <c r="T1216" s="307"/>
      <c r="U1216" s="306"/>
      <c r="V1216" s="307"/>
      <c r="W1216" s="307"/>
      <c r="X1216" s="307"/>
      <c r="Y1216" s="307"/>
      <c r="Z1216" s="306"/>
      <c r="AA1216" s="307"/>
      <c r="AB1216" s="307"/>
      <c r="AC1216" s="307"/>
      <c r="AD1216" s="307"/>
      <c r="AE1216" s="306"/>
      <c r="AF1216" s="306"/>
      <c r="AG1216" s="306"/>
      <c r="AH1216" s="306"/>
      <c r="AI1216" s="306"/>
      <c r="AJ1216" s="306"/>
      <c r="AK1216" s="306"/>
      <c r="AL1216" s="306"/>
      <c r="AM1216" s="651"/>
      <c r="AN1216" s="306"/>
      <c r="AO1216" s="306"/>
    </row>
    <row r="1217" spans="1:41" s="134" customFormat="1">
      <c r="B1217" s="228"/>
      <c r="C1217" s="229"/>
      <c r="G1217" s="306"/>
      <c r="H1217" s="306"/>
      <c r="I1217" s="306"/>
      <c r="J1217" s="306"/>
      <c r="K1217" s="306"/>
      <c r="L1217" s="307"/>
      <c r="M1217" s="307"/>
      <c r="N1217" s="307"/>
      <c r="O1217" s="307"/>
      <c r="P1217" s="306"/>
      <c r="Q1217" s="307"/>
      <c r="R1217" s="307"/>
      <c r="S1217" s="307"/>
      <c r="T1217" s="307"/>
      <c r="U1217" s="306"/>
      <c r="V1217" s="307"/>
      <c r="W1217" s="307"/>
      <c r="X1217" s="307"/>
      <c r="Y1217" s="307"/>
      <c r="Z1217" s="306"/>
      <c r="AA1217" s="307"/>
      <c r="AB1217" s="307"/>
      <c r="AC1217" s="307"/>
      <c r="AD1217" s="307"/>
      <c r="AE1217" s="306"/>
      <c r="AF1217" s="306"/>
      <c r="AG1217" s="306"/>
      <c r="AH1217" s="306"/>
      <c r="AI1217" s="306"/>
      <c r="AJ1217" s="306"/>
      <c r="AK1217" s="306"/>
      <c r="AL1217" s="306"/>
      <c r="AM1217" s="651"/>
      <c r="AN1217" s="306"/>
      <c r="AO1217" s="306"/>
    </row>
    <row r="1218" spans="1:41" s="134" customFormat="1">
      <c r="B1218" s="228"/>
      <c r="C1218" s="229"/>
      <c r="G1218" s="306"/>
      <c r="H1218" s="306"/>
      <c r="I1218" s="306"/>
      <c r="J1218" s="306"/>
      <c r="K1218" s="306"/>
      <c r="L1218" s="307"/>
      <c r="M1218" s="307"/>
      <c r="N1218" s="307"/>
      <c r="O1218" s="307"/>
      <c r="P1218" s="306"/>
      <c r="Q1218" s="307"/>
      <c r="R1218" s="307"/>
      <c r="S1218" s="307"/>
      <c r="T1218" s="307"/>
      <c r="U1218" s="306"/>
      <c r="V1218" s="307"/>
      <c r="W1218" s="307"/>
      <c r="X1218" s="307"/>
      <c r="Y1218" s="307"/>
      <c r="Z1218" s="306"/>
      <c r="AA1218" s="307"/>
      <c r="AB1218" s="307"/>
      <c r="AC1218" s="307"/>
      <c r="AD1218" s="307"/>
      <c r="AE1218" s="306"/>
      <c r="AF1218" s="306"/>
      <c r="AG1218" s="306"/>
      <c r="AH1218" s="306"/>
      <c r="AI1218" s="306"/>
      <c r="AJ1218" s="306"/>
      <c r="AK1218" s="306"/>
      <c r="AL1218" s="306"/>
      <c r="AM1218" s="651"/>
      <c r="AN1218" s="306"/>
      <c r="AO1218" s="306"/>
    </row>
    <row r="1219" spans="1:41" s="134" customFormat="1">
      <c r="B1219" s="228"/>
      <c r="C1219" s="229"/>
      <c r="G1219" s="306"/>
      <c r="H1219" s="306"/>
      <c r="I1219" s="306"/>
      <c r="J1219" s="306"/>
      <c r="K1219" s="306"/>
      <c r="L1219" s="307"/>
      <c r="M1219" s="307"/>
      <c r="N1219" s="307"/>
      <c r="O1219" s="307"/>
      <c r="P1219" s="306"/>
      <c r="Q1219" s="307"/>
      <c r="R1219" s="307"/>
      <c r="S1219" s="307"/>
      <c r="T1219" s="307"/>
      <c r="U1219" s="306"/>
      <c r="V1219" s="307"/>
      <c r="W1219" s="307"/>
      <c r="X1219" s="307"/>
      <c r="Y1219" s="307"/>
      <c r="Z1219" s="306"/>
      <c r="AA1219" s="307"/>
      <c r="AB1219" s="307"/>
      <c r="AC1219" s="307"/>
      <c r="AD1219" s="307"/>
      <c r="AE1219" s="306"/>
      <c r="AF1219" s="306"/>
      <c r="AG1219" s="306"/>
      <c r="AH1219" s="306"/>
      <c r="AI1219" s="306"/>
      <c r="AJ1219" s="306"/>
      <c r="AK1219" s="306"/>
      <c r="AL1219" s="306"/>
      <c r="AM1219" s="651"/>
      <c r="AN1219" s="306"/>
      <c r="AO1219" s="306"/>
    </row>
    <row r="1220" spans="1:41" s="134" customFormat="1">
      <c r="B1220" s="228"/>
      <c r="C1220" s="229"/>
      <c r="G1220" s="306"/>
      <c r="H1220" s="306"/>
      <c r="I1220" s="306"/>
      <c r="J1220" s="306"/>
      <c r="K1220" s="306"/>
      <c r="L1220" s="307"/>
      <c r="M1220" s="307"/>
      <c r="N1220" s="307"/>
      <c r="O1220" s="307"/>
      <c r="P1220" s="306"/>
      <c r="Q1220" s="307"/>
      <c r="R1220" s="307"/>
      <c r="S1220" s="307"/>
      <c r="T1220" s="307"/>
      <c r="U1220" s="306"/>
      <c r="V1220" s="307"/>
      <c r="W1220" s="307"/>
      <c r="X1220" s="307"/>
      <c r="Y1220" s="307"/>
      <c r="Z1220" s="306"/>
      <c r="AA1220" s="307"/>
      <c r="AB1220" s="307"/>
      <c r="AC1220" s="307"/>
      <c r="AD1220" s="307"/>
      <c r="AE1220" s="306"/>
      <c r="AF1220" s="306"/>
      <c r="AG1220" s="306"/>
      <c r="AH1220" s="306"/>
      <c r="AI1220" s="306"/>
      <c r="AJ1220" s="306"/>
      <c r="AK1220" s="306"/>
      <c r="AL1220" s="306"/>
      <c r="AM1220" s="651"/>
      <c r="AN1220" s="306"/>
      <c r="AO1220" s="306"/>
    </row>
    <row r="1221" spans="1:41" s="134" customFormat="1">
      <c r="B1221" s="228"/>
      <c r="C1221" s="229"/>
      <c r="G1221" s="306"/>
      <c r="H1221" s="306"/>
      <c r="I1221" s="306"/>
      <c r="J1221" s="306"/>
      <c r="K1221" s="306"/>
      <c r="L1221" s="307"/>
      <c r="M1221" s="307"/>
      <c r="N1221" s="307"/>
      <c r="O1221" s="307"/>
      <c r="P1221" s="306"/>
      <c r="Q1221" s="307"/>
      <c r="R1221" s="307"/>
      <c r="S1221" s="307"/>
      <c r="T1221" s="307"/>
      <c r="U1221" s="306"/>
      <c r="V1221" s="307"/>
      <c r="W1221" s="307"/>
      <c r="X1221" s="307"/>
      <c r="Y1221" s="307"/>
      <c r="Z1221" s="306"/>
      <c r="AA1221" s="307"/>
      <c r="AB1221" s="307"/>
      <c r="AC1221" s="307"/>
      <c r="AD1221" s="307"/>
      <c r="AE1221" s="306"/>
      <c r="AF1221" s="306"/>
      <c r="AG1221" s="306"/>
      <c r="AH1221" s="306"/>
      <c r="AI1221" s="306"/>
      <c r="AJ1221" s="306"/>
      <c r="AK1221" s="306"/>
      <c r="AL1221" s="306"/>
      <c r="AM1221" s="651"/>
      <c r="AN1221" s="306"/>
      <c r="AO1221" s="306"/>
    </row>
    <row r="1222" spans="1:41" s="134" customFormat="1">
      <c r="B1222" s="228"/>
      <c r="C1222" s="229"/>
      <c r="G1222" s="306"/>
      <c r="H1222" s="306"/>
      <c r="I1222" s="306"/>
      <c r="J1222" s="306"/>
      <c r="K1222" s="306"/>
      <c r="L1222" s="307"/>
      <c r="M1222" s="307"/>
      <c r="N1222" s="307"/>
      <c r="O1222" s="307"/>
      <c r="P1222" s="306"/>
      <c r="Q1222" s="307"/>
      <c r="R1222" s="307"/>
      <c r="S1222" s="307"/>
      <c r="T1222" s="307"/>
      <c r="U1222" s="306"/>
      <c r="V1222" s="307"/>
      <c r="W1222" s="307"/>
      <c r="X1222" s="307"/>
      <c r="Y1222" s="307"/>
      <c r="Z1222" s="306"/>
      <c r="AA1222" s="307"/>
      <c r="AB1222" s="307"/>
      <c r="AC1222" s="307"/>
      <c r="AD1222" s="307"/>
      <c r="AE1222" s="306"/>
      <c r="AF1222" s="306"/>
      <c r="AG1222" s="306"/>
      <c r="AH1222" s="306"/>
      <c r="AI1222" s="306"/>
      <c r="AJ1222" s="306"/>
      <c r="AK1222" s="306"/>
      <c r="AL1222" s="306"/>
      <c r="AM1222" s="651"/>
      <c r="AN1222" s="306"/>
      <c r="AO1222" s="306"/>
    </row>
    <row r="1223" spans="1:41" s="134" customFormat="1">
      <c r="B1223" s="228"/>
      <c r="C1223" s="229"/>
      <c r="G1223" s="306"/>
      <c r="H1223" s="306"/>
      <c r="I1223" s="306"/>
      <c r="J1223" s="306"/>
      <c r="K1223" s="306"/>
      <c r="L1223" s="307"/>
      <c r="M1223" s="307"/>
      <c r="N1223" s="307"/>
      <c r="O1223" s="307"/>
      <c r="P1223" s="306"/>
      <c r="Q1223" s="307"/>
      <c r="R1223" s="307"/>
      <c r="S1223" s="307"/>
      <c r="T1223" s="307"/>
      <c r="U1223" s="306"/>
      <c r="V1223" s="307"/>
      <c r="W1223" s="307"/>
      <c r="X1223" s="307"/>
      <c r="Y1223" s="307"/>
      <c r="Z1223" s="306"/>
      <c r="AA1223" s="307"/>
      <c r="AB1223" s="307"/>
      <c r="AC1223" s="307"/>
      <c r="AD1223" s="307"/>
      <c r="AE1223" s="306"/>
      <c r="AF1223" s="306"/>
      <c r="AG1223" s="306"/>
      <c r="AH1223" s="306"/>
      <c r="AI1223" s="306"/>
      <c r="AJ1223" s="306"/>
      <c r="AK1223" s="306"/>
      <c r="AL1223" s="306"/>
      <c r="AM1223" s="651"/>
      <c r="AN1223" s="306"/>
      <c r="AO1223" s="306"/>
    </row>
    <row r="1224" spans="1:41" s="134" customFormat="1">
      <c r="B1224" s="228"/>
      <c r="C1224" s="229"/>
      <c r="G1224" s="306"/>
      <c r="H1224" s="306"/>
      <c r="I1224" s="306"/>
      <c r="J1224" s="306"/>
      <c r="K1224" s="306"/>
      <c r="L1224" s="307"/>
      <c r="M1224" s="307"/>
      <c r="N1224" s="307"/>
      <c r="O1224" s="307"/>
      <c r="P1224" s="306"/>
      <c r="Q1224" s="307"/>
      <c r="R1224" s="307"/>
      <c r="S1224" s="307"/>
      <c r="T1224" s="307"/>
      <c r="U1224" s="306"/>
      <c r="V1224" s="307"/>
      <c r="W1224" s="307"/>
      <c r="X1224" s="307"/>
      <c r="Y1224" s="307"/>
      <c r="Z1224" s="306"/>
      <c r="AA1224" s="307"/>
      <c r="AB1224" s="307"/>
      <c r="AC1224" s="307"/>
      <c r="AD1224" s="307"/>
      <c r="AE1224" s="306"/>
      <c r="AF1224" s="306"/>
      <c r="AG1224" s="306"/>
      <c r="AH1224" s="306"/>
      <c r="AI1224" s="306"/>
      <c r="AJ1224" s="306"/>
      <c r="AK1224" s="306"/>
      <c r="AL1224" s="306"/>
      <c r="AM1224" s="651"/>
      <c r="AN1224" s="306"/>
      <c r="AO1224" s="306"/>
    </row>
    <row r="1225" spans="1:41" s="134" customFormat="1">
      <c r="B1225" s="228"/>
      <c r="C1225" s="229"/>
      <c r="G1225" s="306"/>
      <c r="H1225" s="306"/>
      <c r="I1225" s="306"/>
      <c r="J1225" s="306"/>
      <c r="K1225" s="306"/>
      <c r="L1225" s="307"/>
      <c r="M1225" s="307"/>
      <c r="N1225" s="307"/>
      <c r="O1225" s="307"/>
      <c r="P1225" s="306"/>
      <c r="Q1225" s="307"/>
      <c r="R1225" s="307"/>
      <c r="S1225" s="307"/>
      <c r="T1225" s="307"/>
      <c r="U1225" s="306"/>
      <c r="V1225" s="307"/>
      <c r="W1225" s="307"/>
      <c r="X1225" s="307"/>
      <c r="Y1225" s="307"/>
      <c r="Z1225" s="306"/>
      <c r="AA1225" s="307"/>
      <c r="AB1225" s="307"/>
      <c r="AC1225" s="307"/>
      <c r="AD1225" s="307"/>
      <c r="AE1225" s="306"/>
      <c r="AF1225" s="306"/>
      <c r="AG1225" s="306"/>
      <c r="AH1225" s="306"/>
      <c r="AI1225" s="306"/>
      <c r="AJ1225" s="306"/>
      <c r="AK1225" s="306"/>
      <c r="AL1225" s="306"/>
      <c r="AM1225" s="651"/>
      <c r="AN1225" s="306"/>
      <c r="AO1225" s="306"/>
    </row>
    <row r="1226" spans="1:41">
      <c r="A1226" s="79" t="s">
        <v>40</v>
      </c>
      <c r="B1226" s="79" t="s">
        <v>0</v>
      </c>
      <c r="C1226" s="79" t="s">
        <v>0</v>
      </c>
      <c r="D1226" s="81" t="s">
        <v>187</v>
      </c>
      <c r="E1226" s="81"/>
      <c r="F1226" s="81"/>
      <c r="G1226" s="319"/>
      <c r="H1226" s="319"/>
      <c r="I1226" s="319"/>
      <c r="J1226" s="319"/>
      <c r="K1226" s="319"/>
      <c r="L1226" s="319"/>
      <c r="M1226" s="319"/>
      <c r="N1226" s="319"/>
      <c r="O1226" s="319"/>
      <c r="P1226" s="319"/>
      <c r="Q1226" s="319"/>
      <c r="R1226" s="319"/>
      <c r="S1226" s="319"/>
      <c r="T1226" s="319"/>
      <c r="U1226" s="319"/>
      <c r="V1226" s="319"/>
      <c r="W1226" s="319"/>
      <c r="X1226" s="319"/>
      <c r="Y1226" s="319"/>
      <c r="Z1226" s="319"/>
      <c r="AA1226" s="319"/>
      <c r="AB1226" s="319"/>
      <c r="AC1226" s="319"/>
      <c r="AD1226" s="319"/>
      <c r="AE1226" s="81"/>
      <c r="AF1226" s="81"/>
      <c r="AG1226" s="81"/>
      <c r="AH1226" s="81"/>
      <c r="AI1226" s="81"/>
      <c r="AJ1226" s="81"/>
      <c r="AK1226" s="81"/>
      <c r="AL1226" s="81"/>
      <c r="AM1226" s="651"/>
    </row>
    <row r="1227" spans="1:41" s="83" customFormat="1">
      <c r="B1227" s="95"/>
      <c r="C1227" s="96"/>
      <c r="G1227" s="92"/>
      <c r="H1227" s="92"/>
      <c r="I1227" s="92"/>
      <c r="J1227" s="92"/>
      <c r="K1227" s="92"/>
      <c r="L1227" s="99"/>
      <c r="M1227" s="99"/>
      <c r="N1227" s="99"/>
      <c r="O1227" s="99"/>
      <c r="P1227" s="92"/>
      <c r="Q1227" s="99"/>
      <c r="R1227" s="99"/>
      <c r="S1227" s="99"/>
      <c r="T1227" s="99"/>
      <c r="U1227" s="92"/>
      <c r="V1227" s="99"/>
      <c r="W1227" s="99"/>
      <c r="X1227" s="99"/>
      <c r="Y1227" s="99"/>
      <c r="Z1227" s="92"/>
      <c r="AA1227" s="99"/>
      <c r="AB1227" s="99"/>
      <c r="AC1227" s="99"/>
      <c r="AD1227" s="99"/>
      <c r="AM1227" s="651"/>
    </row>
    <row r="1228" spans="1:41" s="83" customFormat="1">
      <c r="B1228" s="95"/>
      <c r="C1228" s="96"/>
      <c r="G1228" s="92"/>
      <c r="H1228" s="92"/>
      <c r="I1228" s="92"/>
      <c r="J1228" s="92"/>
      <c r="K1228" s="92"/>
      <c r="L1228" s="99"/>
      <c r="M1228" s="99"/>
      <c r="N1228" s="99"/>
      <c r="O1228" s="99"/>
      <c r="P1228" s="92"/>
      <c r="Q1228" s="99"/>
      <c r="R1228" s="99"/>
      <c r="S1228" s="99"/>
      <c r="T1228" s="99"/>
      <c r="U1228" s="92"/>
      <c r="V1228" s="99"/>
      <c r="W1228" s="99"/>
      <c r="X1228" s="99"/>
      <c r="Y1228" s="99"/>
      <c r="Z1228" s="92"/>
      <c r="AA1228" s="99"/>
      <c r="AB1228" s="99"/>
      <c r="AC1228" s="99"/>
      <c r="AD1228" s="99"/>
      <c r="AM1228" s="651"/>
    </row>
    <row r="1229" spans="1:41" s="83" customFormat="1">
      <c r="B1229" s="95"/>
      <c r="C1229" s="96"/>
      <c r="G1229" s="92"/>
      <c r="H1229" s="92"/>
      <c r="I1229" s="92"/>
      <c r="J1229" s="92"/>
      <c r="K1229" s="92"/>
      <c r="L1229" s="99"/>
      <c r="M1229" s="99"/>
      <c r="N1229" s="99"/>
      <c r="O1229" s="99"/>
      <c r="P1229" s="92"/>
      <c r="Q1229" s="99"/>
      <c r="R1229" s="99"/>
      <c r="S1229" s="99"/>
      <c r="T1229" s="99"/>
      <c r="U1229" s="92"/>
      <c r="V1229" s="99"/>
      <c r="W1229" s="99"/>
      <c r="X1229" s="99"/>
      <c r="Y1229" s="99"/>
      <c r="Z1229" s="92"/>
      <c r="AA1229" s="99"/>
      <c r="AB1229" s="99"/>
      <c r="AC1229" s="99"/>
      <c r="AD1229" s="99"/>
      <c r="AM1229" s="651"/>
    </row>
    <row r="1230" spans="1:41" s="83" customFormat="1">
      <c r="B1230" s="95" t="s">
        <v>64</v>
      </c>
      <c r="C1230" s="96" t="s">
        <v>65</v>
      </c>
      <c r="D1230" s="320" t="s">
        <v>162</v>
      </c>
      <c r="E1230" s="320"/>
      <c r="G1230" s="90">
        <v>-291</v>
      </c>
      <c r="H1230" s="90">
        <v>-253</v>
      </c>
      <c r="I1230" s="90">
        <v>-224</v>
      </c>
      <c r="J1230" s="90">
        <v>-338</v>
      </c>
      <c r="K1230" s="90">
        <v>-392</v>
      </c>
      <c r="L1230" s="91">
        <v>-70</v>
      </c>
      <c r="M1230" s="91">
        <v>-77</v>
      </c>
      <c r="N1230" s="91">
        <v>-67</v>
      </c>
      <c r="O1230" s="91">
        <f>P1230-L1230-M1230-N1230</f>
        <v>-83</v>
      </c>
      <c r="P1230" s="90">
        <v>-297</v>
      </c>
      <c r="Q1230" s="177">
        <v>-63</v>
      </c>
      <c r="R1230" s="177">
        <v>-102</v>
      </c>
      <c r="S1230" s="91">
        <v>-68</v>
      </c>
      <c r="T1230" s="91">
        <f>U1230-Q1230-R1230-S1230</f>
        <v>-159</v>
      </c>
      <c r="U1230" s="90">
        <v>-392</v>
      </c>
      <c r="V1230" s="177">
        <v>43</v>
      </c>
      <c r="W1230" s="177">
        <v>-124</v>
      </c>
      <c r="X1230" s="177">
        <v>-37</v>
      </c>
      <c r="Y1230" s="177">
        <v>-239</v>
      </c>
      <c r="Z1230" s="90">
        <f>SUM(V1230:Y1230)</f>
        <v>-357</v>
      </c>
      <c r="AA1230" s="177">
        <f>AE1230/4</f>
        <v>-89.25</v>
      </c>
      <c r="AB1230" s="177">
        <f>(AE1230-AA1230)/3</f>
        <v>-89.25</v>
      </c>
      <c r="AC1230" s="177">
        <f>(AE1230-AA1230-AB1230)/2</f>
        <v>-89.25</v>
      </c>
      <c r="AD1230" s="177">
        <f>AE1230-AA1230-AB1230-AC1230</f>
        <v>-89.25</v>
      </c>
      <c r="AE1230" s="312">
        <f>Z1230</f>
        <v>-357</v>
      </c>
      <c r="AF1230" s="312">
        <f>AE1230</f>
        <v>-357</v>
      </c>
      <c r="AG1230" s="312">
        <f t="shared" ref="AG1230:AL1230" si="993">AF1230</f>
        <v>-357</v>
      </c>
      <c r="AH1230" s="312">
        <f t="shared" si="993"/>
        <v>-357</v>
      </c>
      <c r="AI1230" s="312">
        <f t="shared" si="993"/>
        <v>-357</v>
      </c>
      <c r="AJ1230" s="312">
        <f t="shared" si="993"/>
        <v>-357</v>
      </c>
      <c r="AK1230" s="312">
        <f t="shared" si="993"/>
        <v>-357</v>
      </c>
      <c r="AL1230" s="312">
        <f t="shared" si="993"/>
        <v>-357</v>
      </c>
      <c r="AM1230" s="651"/>
    </row>
    <row r="1231" spans="1:41" s="83" customFormat="1">
      <c r="B1231" s="95" t="s">
        <v>64</v>
      </c>
      <c r="C1231" s="96" t="s">
        <v>65</v>
      </c>
      <c r="D1231" s="103" t="s">
        <v>164</v>
      </c>
      <c r="E1231" s="103"/>
      <c r="F1231" s="103"/>
      <c r="G1231" s="104">
        <v>-291</v>
      </c>
      <c r="H1231" s="104">
        <v>-253</v>
      </c>
      <c r="I1231" s="104">
        <v>-224</v>
      </c>
      <c r="J1231" s="104">
        <v>-338</v>
      </c>
      <c r="K1231" s="104">
        <v>-392</v>
      </c>
      <c r="L1231" s="105">
        <v>-70</v>
      </c>
      <c r="M1231" s="105">
        <v>-77</v>
      </c>
      <c r="N1231" s="105">
        <v>-67</v>
      </c>
      <c r="O1231" s="105">
        <f>P1231-L1231-M1231-N1231</f>
        <v>-83</v>
      </c>
      <c r="P1231" s="104">
        <v>-297</v>
      </c>
      <c r="Q1231" s="188">
        <v>-63</v>
      </c>
      <c r="R1231" s="252">
        <v>-102</v>
      </c>
      <c r="S1231" s="105">
        <v>-68</v>
      </c>
      <c r="T1231" s="105">
        <f>U1231-Q1231-R1231-S1231</f>
        <v>-159</v>
      </c>
      <c r="U1231" s="104">
        <v>-392</v>
      </c>
      <c r="V1231" s="188">
        <v>43</v>
      </c>
      <c r="W1231" s="188">
        <v>-124</v>
      </c>
      <c r="X1231" s="188">
        <v>-37</v>
      </c>
      <c r="Y1231" s="188">
        <v>-239</v>
      </c>
      <c r="Z1231" s="104">
        <f>SUM(V1231:Y1231)</f>
        <v>-357</v>
      </c>
      <c r="AA1231" s="188">
        <f>AE1231/4</f>
        <v>-89.25</v>
      </c>
      <c r="AB1231" s="188">
        <f>(AE1231-AA1231)/3</f>
        <v>-89.25</v>
      </c>
      <c r="AC1231" s="188">
        <f>(AE1231-AA1231-AB1231)/2</f>
        <v>-89.25</v>
      </c>
      <c r="AD1231" s="188">
        <f>AE1231-AA1231-AB1231-AC1231</f>
        <v>-89.25</v>
      </c>
      <c r="AE1231" s="312">
        <f>Z1231</f>
        <v>-357</v>
      </c>
      <c r="AF1231" s="312">
        <f t="shared" ref="AF1231:AL1234" si="994">AE1231</f>
        <v>-357</v>
      </c>
      <c r="AG1231" s="312">
        <f t="shared" si="994"/>
        <v>-357</v>
      </c>
      <c r="AH1231" s="312">
        <f t="shared" si="994"/>
        <v>-357</v>
      </c>
      <c r="AI1231" s="312">
        <f t="shared" si="994"/>
        <v>-357</v>
      </c>
      <c r="AJ1231" s="312">
        <f t="shared" si="994"/>
        <v>-357</v>
      </c>
      <c r="AK1231" s="312">
        <f t="shared" si="994"/>
        <v>-357</v>
      </c>
      <c r="AL1231" s="312">
        <f t="shared" si="994"/>
        <v>-357</v>
      </c>
      <c r="AM1231" s="651"/>
    </row>
    <row r="1232" spans="1:41" s="83" customFormat="1">
      <c r="B1232" s="95" t="s">
        <v>64</v>
      </c>
      <c r="C1232" s="96" t="s">
        <v>65</v>
      </c>
      <c r="D1232" s="83" t="s">
        <v>165</v>
      </c>
      <c r="G1232" s="90">
        <v>-221</v>
      </c>
      <c r="H1232" s="90">
        <v>-205</v>
      </c>
      <c r="I1232" s="90">
        <v>-238</v>
      </c>
      <c r="J1232" s="90">
        <v>-242</v>
      </c>
      <c r="K1232" s="90">
        <v>-124</v>
      </c>
      <c r="L1232" s="91">
        <v>-2</v>
      </c>
      <c r="M1232" s="91">
        <v>-16</v>
      </c>
      <c r="N1232" s="91">
        <v>-36</v>
      </c>
      <c r="O1232" s="91">
        <f>P1232-L1232-M1232-N1232</f>
        <v>-18</v>
      </c>
      <c r="P1232" s="90">
        <v>-72</v>
      </c>
      <c r="Q1232" s="91">
        <v>-11</v>
      </c>
      <c r="R1232" s="91">
        <v>7</v>
      </c>
      <c r="S1232" s="91">
        <v>11</v>
      </c>
      <c r="T1232" s="91">
        <f>U1232-Q1232-R1232-S1232</f>
        <v>28</v>
      </c>
      <c r="U1232" s="90">
        <v>35</v>
      </c>
      <c r="V1232" s="91">
        <v>22</v>
      </c>
      <c r="W1232" s="91">
        <v>-33</v>
      </c>
      <c r="X1232" s="91">
        <v>4</v>
      </c>
      <c r="Y1232" s="91">
        <v>16</v>
      </c>
      <c r="Z1232" s="90">
        <f>SUM(V1232:Y1232)</f>
        <v>9</v>
      </c>
      <c r="AA1232" s="91">
        <f>AE1232/4</f>
        <v>2.25</v>
      </c>
      <c r="AB1232" s="91">
        <f>(AE1232-AA1232)/3</f>
        <v>2.25</v>
      </c>
      <c r="AC1232" s="91">
        <f>(AE1232-AA1232-AB1232)/2</f>
        <v>2.25</v>
      </c>
      <c r="AD1232" s="91">
        <f>AE1232-AA1232-AB1232-AC1232</f>
        <v>2.25</v>
      </c>
      <c r="AE1232" s="312">
        <f>Z1232</f>
        <v>9</v>
      </c>
      <c r="AF1232" s="312">
        <f t="shared" si="994"/>
        <v>9</v>
      </c>
      <c r="AG1232" s="312">
        <f t="shared" si="994"/>
        <v>9</v>
      </c>
      <c r="AH1232" s="312">
        <f t="shared" si="994"/>
        <v>9</v>
      </c>
      <c r="AI1232" s="312">
        <f t="shared" si="994"/>
        <v>9</v>
      </c>
      <c r="AJ1232" s="312">
        <f t="shared" si="994"/>
        <v>9</v>
      </c>
      <c r="AK1232" s="312">
        <f t="shared" si="994"/>
        <v>9</v>
      </c>
      <c r="AL1232" s="312">
        <f t="shared" si="994"/>
        <v>9</v>
      </c>
      <c r="AM1232" s="651"/>
    </row>
    <row r="1233" spans="2:39" s="83" customFormat="1">
      <c r="B1233" s="95" t="s">
        <v>64</v>
      </c>
      <c r="C1233" s="96" t="s">
        <v>65</v>
      </c>
      <c r="D1233" s="83" t="s">
        <v>175</v>
      </c>
      <c r="G1233" s="90">
        <v>-25</v>
      </c>
      <c r="H1233" s="90">
        <v>-40</v>
      </c>
      <c r="I1233" s="90">
        <v>-149</v>
      </c>
      <c r="J1233" s="90">
        <v>243</v>
      </c>
      <c r="K1233" s="90">
        <v>-118</v>
      </c>
      <c r="L1233" s="91">
        <v>-29</v>
      </c>
      <c r="M1233" s="91">
        <v>-24</v>
      </c>
      <c r="N1233" s="91">
        <v>14</v>
      </c>
      <c r="O1233" s="91">
        <f>P1233-L1233-M1233-N1233</f>
        <v>-65</v>
      </c>
      <c r="P1233" s="90">
        <v>-104</v>
      </c>
      <c r="Q1233" s="91">
        <v>83</v>
      </c>
      <c r="R1233" s="91">
        <v>-209</v>
      </c>
      <c r="S1233" s="91">
        <v>-7</v>
      </c>
      <c r="T1233" s="91">
        <f>U1233-Q1233-R1233-S1233</f>
        <v>12</v>
      </c>
      <c r="U1233" s="90">
        <v>-121</v>
      </c>
      <c r="V1233" s="91">
        <v>-36</v>
      </c>
      <c r="W1233" s="91">
        <v>8</v>
      </c>
      <c r="X1233" s="91">
        <v>9</v>
      </c>
      <c r="Y1233" s="91">
        <v>15</v>
      </c>
      <c r="Z1233" s="90">
        <f>SUM(V1233:Y1233)</f>
        <v>-4</v>
      </c>
      <c r="AA1233" s="91">
        <f>AE1233/4</f>
        <v>-1</v>
      </c>
      <c r="AB1233" s="91">
        <f>(AE1233-AA1233)/3</f>
        <v>-1</v>
      </c>
      <c r="AC1233" s="91">
        <f>(AE1233-AA1233-AB1233)/2</f>
        <v>-1</v>
      </c>
      <c r="AD1233" s="91">
        <f>AE1233-AA1233-AB1233-AC1233</f>
        <v>-1</v>
      </c>
      <c r="AE1233" s="312">
        <f>Z1233</f>
        <v>-4</v>
      </c>
      <c r="AF1233" s="312">
        <f t="shared" si="994"/>
        <v>-4</v>
      </c>
      <c r="AG1233" s="312">
        <f t="shared" si="994"/>
        <v>-4</v>
      </c>
      <c r="AH1233" s="312">
        <f t="shared" si="994"/>
        <v>-4</v>
      </c>
      <c r="AI1233" s="312">
        <f t="shared" si="994"/>
        <v>-4</v>
      </c>
      <c r="AJ1233" s="312">
        <f t="shared" si="994"/>
        <v>-4</v>
      </c>
      <c r="AK1233" s="312">
        <f t="shared" si="994"/>
        <v>-4</v>
      </c>
      <c r="AL1233" s="312">
        <f t="shared" si="994"/>
        <v>-4</v>
      </c>
      <c r="AM1233" s="651"/>
    </row>
    <row r="1234" spans="2:39" s="83" customFormat="1">
      <c r="B1234" s="95" t="s">
        <v>64</v>
      </c>
      <c r="C1234" s="96" t="s">
        <v>65</v>
      </c>
      <c r="D1234" s="83" t="s">
        <v>188</v>
      </c>
      <c r="G1234" s="90">
        <v>-2</v>
      </c>
      <c r="H1234" s="90">
        <v>-3</v>
      </c>
      <c r="I1234" s="90">
        <v>-2</v>
      </c>
      <c r="J1234" s="90">
        <v>0</v>
      </c>
      <c r="K1234" s="90">
        <v>3</v>
      </c>
      <c r="L1234" s="91">
        <v>0</v>
      </c>
      <c r="M1234" s="91">
        <v>-1</v>
      </c>
      <c r="N1234" s="91">
        <v>0</v>
      </c>
      <c r="O1234" s="91">
        <f>P1234-L1234-M1234-N1234</f>
        <v>0</v>
      </c>
      <c r="P1234" s="90">
        <v>-1</v>
      </c>
      <c r="Q1234" s="91">
        <v>0</v>
      </c>
      <c r="R1234" s="91">
        <f>(U1234-Q1234)/3</f>
        <v>-0.33333333333333331</v>
      </c>
      <c r="S1234" s="91">
        <v>-1</v>
      </c>
      <c r="T1234" s="91">
        <f>U1234-Q1234-R1234-S1234</f>
        <v>0.33333333333333326</v>
      </c>
      <c r="U1234" s="90">
        <v>-1</v>
      </c>
      <c r="V1234" s="91">
        <v>0</v>
      </c>
      <c r="W1234" s="91">
        <v>-1</v>
      </c>
      <c r="X1234" s="91">
        <f ca="1">(Z1234-V1234-W1234)/2</f>
        <v>0</v>
      </c>
      <c r="Y1234" s="91">
        <v>-1</v>
      </c>
      <c r="Z1234" s="90">
        <f ca="1">SUM(V1234:Y1234)</f>
        <v>0</v>
      </c>
      <c r="AA1234" s="91">
        <f ca="1">AE1234/4</f>
        <v>-0.25</v>
      </c>
      <c r="AB1234" s="91">
        <f ca="1">(AE1234-AA1234)/3</f>
        <v>-0.25</v>
      </c>
      <c r="AC1234" s="91">
        <f ca="1">(AE1234-AA1234-AB1234)/2</f>
        <v>-0.25</v>
      </c>
      <c r="AD1234" s="91">
        <f ca="1">AE1234-AA1234-AB1234-AC1234</f>
        <v>-0.25</v>
      </c>
      <c r="AE1234" s="312">
        <f ca="1">Z1234</f>
        <v>-1</v>
      </c>
      <c r="AF1234" s="312">
        <f t="shared" ca="1" si="994"/>
        <v>-1</v>
      </c>
      <c r="AG1234" s="312">
        <f t="shared" ca="1" si="994"/>
        <v>-1</v>
      </c>
      <c r="AH1234" s="312">
        <f t="shared" ca="1" si="994"/>
        <v>-1</v>
      </c>
      <c r="AI1234" s="312">
        <f t="shared" ca="1" si="994"/>
        <v>-1</v>
      </c>
      <c r="AJ1234" s="312">
        <f t="shared" ca="1" si="994"/>
        <v>-1</v>
      </c>
      <c r="AK1234" s="312">
        <f t="shared" ca="1" si="994"/>
        <v>-1</v>
      </c>
      <c r="AL1234" s="312">
        <f t="shared" ca="1" si="994"/>
        <v>-1</v>
      </c>
      <c r="AM1234" s="651"/>
    </row>
    <row r="1235" spans="2:39" s="83" customFormat="1">
      <c r="B1235" s="95" t="s">
        <v>64</v>
      </c>
      <c r="C1235" s="96" t="s">
        <v>65</v>
      </c>
      <c r="D1235" s="103" t="s">
        <v>166</v>
      </c>
      <c r="E1235" s="103"/>
      <c r="F1235" s="103"/>
      <c r="G1235" s="184">
        <f>SUM(G1231:G1234)</f>
        <v>-539</v>
      </c>
      <c r="H1235" s="184">
        <f>SUM(H1231:H1234)</f>
        <v>-501</v>
      </c>
      <c r="I1235" s="184">
        <f>SUM(I1231:I1234)</f>
        <v>-613</v>
      </c>
      <c r="J1235" s="184">
        <f>SUM(J1231:J1234)</f>
        <v>-337</v>
      </c>
      <c r="K1235" s="184">
        <f t="shared" ref="K1235:U1235" si="995">SUM(K1231:K1234)</f>
        <v>-631</v>
      </c>
      <c r="L1235" s="106">
        <f t="shared" si="995"/>
        <v>-101</v>
      </c>
      <c r="M1235" s="106">
        <f t="shared" si="995"/>
        <v>-118</v>
      </c>
      <c r="N1235" s="106">
        <f t="shared" si="995"/>
        <v>-89</v>
      </c>
      <c r="O1235" s="106">
        <f>SUM(O1231:O1234)</f>
        <v>-166</v>
      </c>
      <c r="P1235" s="184">
        <f t="shared" si="995"/>
        <v>-474</v>
      </c>
      <c r="Q1235" s="106">
        <f t="shared" si="995"/>
        <v>9</v>
      </c>
      <c r="R1235" s="106">
        <f>SUM(R1231:R1234)</f>
        <v>-304.33333333333331</v>
      </c>
      <c r="S1235" s="106">
        <f>SUM(S1231:S1234)</f>
        <v>-65</v>
      </c>
      <c r="T1235" s="106">
        <f t="shared" si="995"/>
        <v>-118.66666666666667</v>
      </c>
      <c r="U1235" s="184">
        <f t="shared" si="995"/>
        <v>-479</v>
      </c>
      <c r="V1235" s="106">
        <f t="shared" ref="V1235:AF1235" si="996">SUM(V1231:V1234)</f>
        <v>29</v>
      </c>
      <c r="W1235" s="106">
        <f t="shared" si="996"/>
        <v>-150</v>
      </c>
      <c r="X1235" s="106">
        <f t="shared" ca="1" si="996"/>
        <v>-24</v>
      </c>
      <c r="Y1235" s="106">
        <f t="shared" si="996"/>
        <v>-209</v>
      </c>
      <c r="Z1235" s="184">
        <f ca="1">SUM(Z1231:Z1234)</f>
        <v>0</v>
      </c>
      <c r="AA1235" s="106">
        <f t="shared" ca="1" si="996"/>
        <v>-88.25</v>
      </c>
      <c r="AB1235" s="106">
        <f t="shared" ca="1" si="996"/>
        <v>-88.25</v>
      </c>
      <c r="AC1235" s="106">
        <f t="shared" ca="1" si="996"/>
        <v>-88.25</v>
      </c>
      <c r="AD1235" s="106">
        <f t="shared" ca="1" si="996"/>
        <v>-88.25</v>
      </c>
      <c r="AE1235" s="675">
        <f t="shared" ca="1" si="996"/>
        <v>-353</v>
      </c>
      <c r="AF1235" s="675">
        <f t="shared" ca="1" si="996"/>
        <v>-353</v>
      </c>
      <c r="AG1235" s="675">
        <f t="shared" ref="AG1235:AL1235" ca="1" si="997">SUM(AG1231:AG1234)</f>
        <v>-353</v>
      </c>
      <c r="AH1235" s="675">
        <f t="shared" ca="1" si="997"/>
        <v>-353</v>
      </c>
      <c r="AI1235" s="675">
        <f t="shared" ca="1" si="997"/>
        <v>-353</v>
      </c>
      <c r="AJ1235" s="675">
        <f t="shared" ca="1" si="997"/>
        <v>-353</v>
      </c>
      <c r="AK1235" s="675">
        <f t="shared" ca="1" si="997"/>
        <v>-353</v>
      </c>
      <c r="AL1235" s="675">
        <f t="shared" ca="1" si="997"/>
        <v>-353</v>
      </c>
      <c r="AM1235" s="651"/>
    </row>
    <row r="1236" spans="2:39" s="83" customFormat="1">
      <c r="B1236" s="95"/>
      <c r="C1236" s="96"/>
      <c r="G1236" s="90"/>
      <c r="H1236" s="90"/>
      <c r="I1236" s="90"/>
      <c r="J1236" s="90"/>
      <c r="K1236" s="90"/>
      <c r="L1236" s="91"/>
      <c r="M1236" s="91"/>
      <c r="N1236" s="91"/>
      <c r="O1236" s="91"/>
      <c r="P1236" s="90"/>
      <c r="Q1236" s="91"/>
      <c r="R1236" s="91"/>
      <c r="S1236" s="91"/>
      <c r="T1236" s="91"/>
      <c r="U1236" s="90"/>
      <c r="V1236" s="91"/>
      <c r="W1236" s="91"/>
      <c r="X1236" s="91"/>
      <c r="Y1236" s="91"/>
      <c r="Z1236" s="90"/>
      <c r="AA1236" s="99"/>
      <c r="AB1236" s="99"/>
      <c r="AC1236" s="99"/>
      <c r="AD1236" s="99"/>
      <c r="AM1236" s="651"/>
    </row>
    <row r="1237" spans="2:39" s="83" customFormat="1">
      <c r="B1237" s="292" t="s">
        <v>64</v>
      </c>
      <c r="C1237" s="269" t="s">
        <v>65</v>
      </c>
      <c r="D1237" s="119" t="s">
        <v>228</v>
      </c>
      <c r="E1237" s="119"/>
      <c r="F1237" s="119"/>
      <c r="G1237" s="321">
        <f>G1231</f>
        <v>-291</v>
      </c>
      <c r="H1237" s="321">
        <f t="shared" ref="H1237:N1237" si="998">H1231</f>
        <v>-253</v>
      </c>
      <c r="I1237" s="321">
        <f t="shared" si="998"/>
        <v>-224</v>
      </c>
      <c r="J1237" s="321">
        <f t="shared" si="998"/>
        <v>-338</v>
      </c>
      <c r="K1237" s="321">
        <f t="shared" si="998"/>
        <v>-392</v>
      </c>
      <c r="L1237" s="314">
        <f t="shared" si="998"/>
        <v>-70</v>
      </c>
      <c r="M1237" s="314">
        <f t="shared" si="998"/>
        <v>-77</v>
      </c>
      <c r="N1237" s="314">
        <f t="shared" si="998"/>
        <v>-67</v>
      </c>
      <c r="O1237" s="314">
        <f>O1231</f>
        <v>-83</v>
      </c>
      <c r="P1237" s="321">
        <f t="shared" ref="P1237:AF1237" si="999">P1231</f>
        <v>-297</v>
      </c>
      <c r="Q1237" s="314">
        <f t="shared" si="999"/>
        <v>-63</v>
      </c>
      <c r="R1237" s="314">
        <f t="shared" si="999"/>
        <v>-102</v>
      </c>
      <c r="S1237" s="314">
        <f t="shared" si="999"/>
        <v>-68</v>
      </c>
      <c r="T1237" s="314">
        <f>T1231</f>
        <v>-159</v>
      </c>
      <c r="U1237" s="321">
        <f t="shared" si="999"/>
        <v>-392</v>
      </c>
      <c r="V1237" s="314">
        <f>V1231</f>
        <v>43</v>
      </c>
      <c r="W1237" s="314">
        <f t="shared" si="999"/>
        <v>-124</v>
      </c>
      <c r="X1237" s="314">
        <f t="shared" si="999"/>
        <v>-37</v>
      </c>
      <c r="Y1237" s="314">
        <f t="shared" si="999"/>
        <v>-239</v>
      </c>
      <c r="Z1237" s="321">
        <f>Z1231</f>
        <v>-357</v>
      </c>
      <c r="AA1237" s="314">
        <f>AA1231</f>
        <v>-89.25</v>
      </c>
      <c r="AB1237" s="314">
        <f>AB1231</f>
        <v>-89.25</v>
      </c>
      <c r="AC1237" s="314">
        <f>AC1231</f>
        <v>-89.25</v>
      </c>
      <c r="AD1237" s="314">
        <f>AD1231</f>
        <v>-89.25</v>
      </c>
      <c r="AE1237" s="321">
        <f t="shared" si="999"/>
        <v>-357</v>
      </c>
      <c r="AF1237" s="321">
        <f t="shared" si="999"/>
        <v>-357</v>
      </c>
      <c r="AG1237" s="321">
        <f t="shared" ref="AG1237:AL1237" si="1000">AG1231</f>
        <v>-357</v>
      </c>
      <c r="AH1237" s="321">
        <f t="shared" si="1000"/>
        <v>-357</v>
      </c>
      <c r="AI1237" s="321">
        <f t="shared" si="1000"/>
        <v>-357</v>
      </c>
      <c r="AJ1237" s="321">
        <f t="shared" si="1000"/>
        <v>-357</v>
      </c>
      <c r="AK1237" s="321">
        <f t="shared" si="1000"/>
        <v>-357</v>
      </c>
      <c r="AL1237" s="321">
        <f t="shared" si="1000"/>
        <v>-357</v>
      </c>
      <c r="AM1237" s="651"/>
    </row>
    <row r="1238" spans="2:39" s="83" customFormat="1">
      <c r="B1238" s="95"/>
      <c r="C1238" s="96"/>
      <c r="G1238" s="92"/>
      <c r="H1238" s="92"/>
      <c r="I1238" s="92"/>
      <c r="J1238" s="92"/>
      <c r="K1238" s="92"/>
      <c r="L1238" s="99"/>
      <c r="M1238" s="99"/>
      <c r="N1238" s="99"/>
      <c r="O1238" s="99"/>
      <c r="P1238" s="92"/>
      <c r="Q1238" s="99"/>
      <c r="R1238" s="99"/>
      <c r="S1238" s="99"/>
      <c r="T1238" s="99"/>
      <c r="U1238" s="92"/>
      <c r="V1238" s="99"/>
      <c r="W1238" s="99"/>
      <c r="X1238" s="99"/>
      <c r="Y1238" s="99"/>
      <c r="Z1238" s="92"/>
      <c r="AA1238" s="99"/>
      <c r="AB1238" s="99"/>
      <c r="AC1238" s="99"/>
      <c r="AD1238" s="99"/>
      <c r="AM1238" s="651"/>
    </row>
    <row r="1239" spans="2:39" s="83" customFormat="1">
      <c r="B1239" s="95" t="s">
        <v>64</v>
      </c>
      <c r="C1239" s="96" t="s">
        <v>65</v>
      </c>
      <c r="D1239" s="83" t="s">
        <v>172</v>
      </c>
      <c r="G1239" s="90">
        <v>31</v>
      </c>
      <c r="H1239" s="90">
        <v>12</v>
      </c>
      <c r="I1239" s="90">
        <v>4</v>
      </c>
      <c r="J1239" s="90">
        <v>6</v>
      </c>
      <c r="K1239" s="90">
        <v>4</v>
      </c>
      <c r="L1239" s="91">
        <v>1</v>
      </c>
      <c r="M1239" s="91">
        <v>2</v>
      </c>
      <c r="N1239" s="91">
        <v>2</v>
      </c>
      <c r="O1239" s="91">
        <f>P1239-L1239-M1239-N1239</f>
        <v>5</v>
      </c>
      <c r="P1239" s="90">
        <v>10</v>
      </c>
      <c r="Q1239" s="91">
        <v>3</v>
      </c>
      <c r="R1239" s="91">
        <v>3</v>
      </c>
      <c r="S1239" s="91">
        <v>3</v>
      </c>
      <c r="T1239" s="91">
        <f>U1239-Q1239-R1239-S1239</f>
        <v>7</v>
      </c>
      <c r="U1239" s="90">
        <v>16</v>
      </c>
      <c r="V1239" s="91">
        <v>6</v>
      </c>
      <c r="W1239" s="91">
        <v>2</v>
      </c>
      <c r="X1239" s="91">
        <v>4</v>
      </c>
      <c r="Y1239" s="91">
        <v>4</v>
      </c>
      <c r="Z1239" s="90">
        <v>10</v>
      </c>
      <c r="AA1239" s="97">
        <f>AE1239/4</f>
        <v>2.5</v>
      </c>
      <c r="AB1239" s="97">
        <f>(AE1239-AA1239)/3</f>
        <v>2.5</v>
      </c>
      <c r="AC1239" s="97">
        <f>(AE1239-AA1239-AB1239)/2</f>
        <v>2.5</v>
      </c>
      <c r="AD1239" s="97">
        <f>AE1239-AA1239-AB1239-AC1239</f>
        <v>2.5</v>
      </c>
      <c r="AE1239" s="312">
        <f>Z1239</f>
        <v>10</v>
      </c>
      <c r="AF1239" s="312">
        <f>AE1239</f>
        <v>10</v>
      </c>
      <c r="AG1239" s="312">
        <f t="shared" ref="AG1239:AL1239" si="1001">AF1239</f>
        <v>10</v>
      </c>
      <c r="AH1239" s="312">
        <f t="shared" si="1001"/>
        <v>10</v>
      </c>
      <c r="AI1239" s="312">
        <f t="shared" si="1001"/>
        <v>10</v>
      </c>
      <c r="AJ1239" s="312">
        <f t="shared" si="1001"/>
        <v>10</v>
      </c>
      <c r="AK1239" s="312">
        <f t="shared" si="1001"/>
        <v>10</v>
      </c>
      <c r="AL1239" s="312">
        <f t="shared" si="1001"/>
        <v>10</v>
      </c>
      <c r="AM1239" s="651"/>
    </row>
    <row r="1240" spans="2:39" s="83" customFormat="1">
      <c r="B1240" s="95"/>
      <c r="C1240" s="96"/>
      <c r="G1240" s="90"/>
      <c r="H1240" s="90"/>
      <c r="I1240" s="90"/>
      <c r="J1240" s="90"/>
      <c r="K1240" s="90"/>
      <c r="L1240" s="91"/>
      <c r="M1240" s="91"/>
      <c r="N1240" s="91"/>
      <c r="O1240" s="91"/>
      <c r="P1240" s="90"/>
      <c r="Q1240" s="91"/>
      <c r="R1240" s="91"/>
      <c r="S1240" s="91"/>
      <c r="T1240" s="91"/>
      <c r="U1240" s="90"/>
      <c r="V1240" s="91"/>
      <c r="W1240" s="97"/>
      <c r="X1240" s="97"/>
      <c r="Y1240" s="97"/>
      <c r="Z1240" s="90"/>
      <c r="AA1240" s="97"/>
      <c r="AB1240" s="97"/>
      <c r="AC1240" s="97"/>
      <c r="AD1240" s="97"/>
      <c r="AE1240" s="986"/>
      <c r="AF1240" s="986"/>
      <c r="AG1240" s="986"/>
      <c r="AH1240" s="986"/>
      <c r="AI1240" s="986"/>
      <c r="AJ1240" s="986"/>
      <c r="AK1240" s="986"/>
      <c r="AL1240" s="986"/>
      <c r="AM1240" s="651"/>
    </row>
    <row r="1241" spans="2:39" s="83" customFormat="1">
      <c r="B1241" s="95" t="s">
        <v>64</v>
      </c>
      <c r="C1241" s="96" t="s">
        <v>65</v>
      </c>
      <c r="D1241" s="83" t="s">
        <v>182</v>
      </c>
      <c r="G1241" s="90"/>
      <c r="H1241" s="90">
        <v>3173</v>
      </c>
      <c r="I1241" s="90">
        <v>3596</v>
      </c>
      <c r="J1241" s="90">
        <v>3191</v>
      </c>
      <c r="K1241" s="90">
        <v>2867</v>
      </c>
      <c r="L1241" s="91">
        <v>3037</v>
      </c>
      <c r="M1241" s="91">
        <v>3349</v>
      </c>
      <c r="N1241" s="91"/>
      <c r="O1241" s="91">
        <f>P1241</f>
        <v>4093</v>
      </c>
      <c r="P1241" s="90">
        <v>4093</v>
      </c>
      <c r="Q1241" s="91">
        <v>3505</v>
      </c>
      <c r="R1241" s="91">
        <v>2851</v>
      </c>
      <c r="S1241" s="91">
        <f>U1241</f>
        <v>2758</v>
      </c>
      <c r="T1241" s="91">
        <f>U1241</f>
        <v>2758</v>
      </c>
      <c r="U1241" s="90">
        <v>2758</v>
      </c>
      <c r="V1241" s="91">
        <v>2377</v>
      </c>
      <c r="W1241" s="706">
        <f>Z1241</f>
        <v>2377</v>
      </c>
      <c r="X1241" s="706">
        <f>Z1241</f>
        <v>2377</v>
      </c>
      <c r="Y1241" s="706">
        <f>Z1241</f>
        <v>2377</v>
      </c>
      <c r="Z1241" s="1187">
        <f>V1241</f>
        <v>2377</v>
      </c>
      <c r="AA1241" s="97">
        <f>AE1241</f>
        <v>2377</v>
      </c>
      <c r="AB1241" s="97">
        <f>AE1241</f>
        <v>2377</v>
      </c>
      <c r="AC1241" s="97">
        <f>AE1241</f>
        <v>2377</v>
      </c>
      <c r="AD1241" s="97">
        <f>AE1241</f>
        <v>2377</v>
      </c>
      <c r="AE1241" s="312">
        <f>Z1241</f>
        <v>2377</v>
      </c>
      <c r="AF1241" s="312">
        <f>AE1241</f>
        <v>2377</v>
      </c>
      <c r="AG1241" s="312">
        <f t="shared" ref="AG1241:AL1241" si="1002">AF1241</f>
        <v>2377</v>
      </c>
      <c r="AH1241" s="312">
        <f t="shared" si="1002"/>
        <v>2377</v>
      </c>
      <c r="AI1241" s="312">
        <f t="shared" si="1002"/>
        <v>2377</v>
      </c>
      <c r="AJ1241" s="312">
        <f t="shared" si="1002"/>
        <v>2377</v>
      </c>
      <c r="AK1241" s="312">
        <f t="shared" si="1002"/>
        <v>2377</v>
      </c>
      <c r="AL1241" s="312">
        <f t="shared" si="1002"/>
        <v>2377</v>
      </c>
      <c r="AM1241" s="651"/>
    </row>
    <row r="1242" spans="2:39" s="83" customFormat="1">
      <c r="B1242" s="95" t="s">
        <v>64</v>
      </c>
      <c r="C1242" s="96" t="s">
        <v>65</v>
      </c>
      <c r="D1242" s="83" t="s">
        <v>185</v>
      </c>
      <c r="G1242" s="90">
        <v>-18278</v>
      </c>
      <c r="H1242" s="90">
        <v>-5185</v>
      </c>
      <c r="I1242" s="90">
        <v>-5335</v>
      </c>
      <c r="J1242" s="90">
        <v>-4611</v>
      </c>
      <c r="K1242" s="90"/>
      <c r="L1242" s="91"/>
      <c r="M1242" s="91"/>
      <c r="N1242" s="91"/>
      <c r="O1242" s="91"/>
      <c r="P1242" s="90"/>
      <c r="Q1242" s="91"/>
      <c r="R1242" s="91"/>
      <c r="S1242" s="91"/>
      <c r="T1242" s="91"/>
      <c r="U1242" s="90"/>
      <c r="V1242" s="91"/>
      <c r="W1242" s="91"/>
      <c r="X1242" s="91"/>
      <c r="Y1242" s="91"/>
      <c r="Z1242" s="90"/>
      <c r="AA1242" s="91"/>
      <c r="AB1242" s="91"/>
      <c r="AC1242" s="91"/>
      <c r="AD1242" s="91"/>
      <c r="AM1242" s="651"/>
    </row>
    <row r="1243" spans="2:39" s="83" customFormat="1">
      <c r="B1243" s="95"/>
      <c r="C1243" s="96"/>
      <c r="D1243" s="83" t="s">
        <v>53</v>
      </c>
      <c r="G1243" s="90">
        <v>0</v>
      </c>
      <c r="H1243" s="90">
        <v>0</v>
      </c>
      <c r="I1243" s="90">
        <v>0</v>
      </c>
      <c r="J1243" s="90">
        <v>0</v>
      </c>
      <c r="K1243" s="90">
        <v>0</v>
      </c>
      <c r="L1243" s="91">
        <v>0</v>
      </c>
      <c r="M1243" s="91">
        <v>0</v>
      </c>
      <c r="N1243" s="91"/>
      <c r="O1243" s="91">
        <v>0</v>
      </c>
      <c r="P1243" s="90">
        <v>0</v>
      </c>
      <c r="Q1243" s="91">
        <v>0</v>
      </c>
      <c r="R1243" s="91">
        <v>0</v>
      </c>
      <c r="S1243" s="91">
        <v>0</v>
      </c>
      <c r="T1243" s="91">
        <v>0</v>
      </c>
      <c r="U1243" s="90"/>
      <c r="V1243" s="91"/>
      <c r="W1243" s="91"/>
      <c r="X1243" s="91"/>
      <c r="Y1243" s="91"/>
      <c r="Z1243" s="90"/>
      <c r="AA1243" s="91"/>
      <c r="AB1243" s="91"/>
      <c r="AC1243" s="91"/>
      <c r="AD1243" s="91"/>
      <c r="AM1243" s="651"/>
    </row>
    <row r="1244" spans="2:39" s="83" customFormat="1">
      <c r="B1244" s="95"/>
      <c r="C1244" s="96"/>
      <c r="D1244" s="83" t="s">
        <v>183</v>
      </c>
      <c r="G1244" s="92"/>
      <c r="H1244" s="90"/>
      <c r="I1244" s="90"/>
      <c r="J1244" s="90"/>
      <c r="K1244" s="90"/>
      <c r="L1244" s="91"/>
      <c r="M1244" s="91"/>
      <c r="N1244" s="91"/>
      <c r="O1244" s="91"/>
      <c r="P1244" s="90"/>
      <c r="Q1244" s="91"/>
      <c r="R1244" s="91"/>
      <c r="S1244" s="91"/>
      <c r="T1244" s="91"/>
      <c r="U1244" s="90"/>
      <c r="V1244" s="91"/>
      <c r="W1244" s="91"/>
      <c r="X1244" s="91"/>
      <c r="Y1244" s="91"/>
      <c r="Z1244" s="90"/>
      <c r="AA1244" s="91"/>
      <c r="AB1244" s="91"/>
      <c r="AC1244" s="91"/>
      <c r="AD1244" s="91"/>
      <c r="AM1244" s="651"/>
    </row>
    <row r="1245" spans="2:39" s="83" customFormat="1">
      <c r="B1245" s="95"/>
      <c r="C1245" s="96"/>
      <c r="D1245" s="83" t="s">
        <v>184</v>
      </c>
      <c r="G1245" s="92"/>
      <c r="H1245" s="90"/>
      <c r="I1245" s="90"/>
      <c r="J1245" s="90"/>
      <c r="K1245" s="90"/>
      <c r="L1245" s="91"/>
      <c r="M1245" s="91"/>
      <c r="N1245" s="91"/>
      <c r="O1245" s="91"/>
      <c r="P1245" s="90"/>
      <c r="Q1245" s="91"/>
      <c r="R1245" s="91"/>
      <c r="S1245" s="91"/>
      <c r="T1245" s="91"/>
      <c r="U1245" s="90"/>
      <c r="V1245" s="91"/>
      <c r="W1245" s="91"/>
      <c r="X1245" s="91"/>
      <c r="Y1245" s="91"/>
      <c r="Z1245" s="90"/>
      <c r="AA1245" s="91"/>
      <c r="AB1245" s="91"/>
      <c r="AC1245" s="91"/>
      <c r="AD1245" s="91"/>
      <c r="AM1245" s="651"/>
    </row>
    <row r="1246" spans="2:39" s="83" customFormat="1">
      <c r="B1246" s="95"/>
      <c r="C1246" s="96"/>
      <c r="G1246" s="92"/>
      <c r="H1246" s="92"/>
      <c r="I1246" s="92"/>
      <c r="J1246" s="92"/>
      <c r="K1246" s="92"/>
      <c r="L1246" s="99"/>
      <c r="M1246" s="99"/>
      <c r="N1246" s="99"/>
      <c r="O1246" s="99"/>
      <c r="P1246" s="92"/>
      <c r="Q1246" s="99"/>
      <c r="R1246" s="99"/>
      <c r="S1246" s="99"/>
      <c r="T1246" s="99"/>
      <c r="U1246" s="92"/>
      <c r="V1246" s="99"/>
      <c r="W1246" s="99"/>
      <c r="X1246" s="99"/>
      <c r="Y1246" s="99"/>
      <c r="Z1246" s="92"/>
      <c r="AA1246" s="99"/>
      <c r="AB1246" s="99"/>
      <c r="AC1246" s="99"/>
      <c r="AD1246" s="99"/>
      <c r="AM1246" s="651"/>
    </row>
    <row r="1247" spans="2:39" s="83" customFormat="1">
      <c r="B1247" s="95"/>
      <c r="C1247" s="96"/>
      <c r="L1247" s="140"/>
      <c r="M1247" s="140"/>
      <c r="N1247" s="140"/>
      <c r="O1247" s="140"/>
      <c r="Q1247" s="140"/>
      <c r="R1247" s="140"/>
      <c r="S1247" s="140"/>
      <c r="T1247" s="140"/>
      <c r="V1247" s="140"/>
      <c r="W1247" s="140"/>
      <c r="X1247" s="140"/>
      <c r="Y1247" s="140"/>
      <c r="AA1247" s="140"/>
      <c r="AB1247" s="140"/>
      <c r="AC1247" s="140"/>
      <c r="AD1247" s="140"/>
      <c r="AM1247" s="651"/>
    </row>
    <row r="1248" spans="2:39" s="83" customFormat="1">
      <c r="L1248" s="140"/>
      <c r="M1248" s="140"/>
      <c r="N1248" s="140"/>
      <c r="O1248" s="140"/>
      <c r="Q1248" s="140"/>
      <c r="R1248" s="140"/>
      <c r="S1248" s="140"/>
      <c r="T1248" s="140"/>
      <c r="V1248" s="140"/>
      <c r="W1248" s="140"/>
      <c r="X1248" s="140"/>
      <c r="Y1248" s="140"/>
      <c r="AA1248" s="140"/>
      <c r="AB1248" s="140"/>
      <c r="AC1248" s="140"/>
      <c r="AD1248" s="140"/>
      <c r="AM1248" s="651"/>
    </row>
    <row r="1249" spans="1:39" s="83" customFormat="1">
      <c r="L1249" s="140"/>
      <c r="M1249" s="140"/>
      <c r="N1249" s="140"/>
      <c r="O1249" s="140"/>
      <c r="Q1249" s="140"/>
      <c r="R1249" s="140"/>
      <c r="S1249" s="140"/>
      <c r="T1249" s="140"/>
      <c r="V1249" s="140"/>
      <c r="W1249" s="140"/>
      <c r="X1249" s="140"/>
      <c r="Y1249" s="140"/>
      <c r="AA1249" s="140"/>
      <c r="AB1249" s="140"/>
      <c r="AC1249" s="140"/>
      <c r="AD1249" s="140"/>
      <c r="AM1249" s="651"/>
    </row>
    <row r="1250" spans="1:39">
      <c r="A1250" s="79" t="s">
        <v>40</v>
      </c>
      <c r="B1250" s="79" t="s">
        <v>0</v>
      </c>
      <c r="C1250" s="79" t="s">
        <v>0</v>
      </c>
      <c r="D1250" s="81" t="s">
        <v>205</v>
      </c>
      <c r="E1250" s="81"/>
      <c r="F1250" s="81"/>
      <c r="G1250" s="81"/>
      <c r="H1250" s="81"/>
      <c r="I1250" s="81"/>
      <c r="J1250" s="81"/>
      <c r="K1250" s="81"/>
      <c r="L1250" s="81"/>
      <c r="M1250" s="81"/>
      <c r="N1250" s="81"/>
      <c r="O1250" s="81"/>
      <c r="P1250" s="81"/>
      <c r="Q1250" s="81"/>
      <c r="R1250" s="81"/>
      <c r="S1250" s="81"/>
      <c r="T1250" s="81"/>
      <c r="U1250" s="81"/>
      <c r="V1250" s="81"/>
      <c r="W1250" s="81"/>
      <c r="X1250" s="81"/>
      <c r="Y1250" s="81"/>
      <c r="Z1250" s="81"/>
      <c r="AA1250" s="81"/>
      <c r="AB1250" s="81"/>
      <c r="AC1250" s="81"/>
      <c r="AD1250" s="81"/>
      <c r="AE1250" s="81"/>
      <c r="AF1250" s="81"/>
      <c r="AG1250" s="81"/>
      <c r="AH1250" s="81"/>
      <c r="AI1250" s="81"/>
      <c r="AJ1250" s="81"/>
      <c r="AK1250" s="81"/>
      <c r="AL1250" s="81"/>
      <c r="AM1250" s="651"/>
    </row>
    <row r="1251" spans="1:39">
      <c r="G1251" s="323"/>
      <c r="H1251" s="323"/>
      <c r="I1251" s="323"/>
      <c r="J1251" s="323"/>
      <c r="K1251" s="323"/>
      <c r="L1251" s="324"/>
      <c r="M1251" s="324"/>
      <c r="N1251" s="324"/>
      <c r="O1251" s="324"/>
      <c r="P1251" s="323"/>
      <c r="Q1251" s="324"/>
      <c r="R1251" s="324"/>
      <c r="S1251" s="324"/>
      <c r="T1251" s="324"/>
      <c r="U1251" s="323"/>
      <c r="V1251" s="324"/>
      <c r="W1251" s="324"/>
      <c r="X1251" s="324"/>
      <c r="Y1251" s="324"/>
      <c r="Z1251" s="323"/>
      <c r="AA1251" s="324"/>
      <c r="AB1251" s="324"/>
      <c r="AC1251" s="324"/>
      <c r="AD1251" s="324"/>
      <c r="AE1251" s="323"/>
      <c r="AF1251" s="323"/>
      <c r="AG1251" s="323"/>
      <c r="AH1251" s="323"/>
      <c r="AI1251" s="323"/>
      <c r="AJ1251" s="323"/>
      <c r="AK1251" s="323"/>
      <c r="AM1251" s="651"/>
    </row>
    <row r="1252" spans="1:39" s="83" customFormat="1">
      <c r="G1252" s="94"/>
      <c r="H1252" s="94"/>
      <c r="I1252" s="94"/>
      <c r="J1252" s="94"/>
      <c r="K1252" s="94"/>
      <c r="L1252" s="101"/>
      <c r="M1252" s="101"/>
      <c r="N1252" s="101"/>
      <c r="O1252" s="101"/>
      <c r="P1252" s="94"/>
      <c r="Q1252" s="101"/>
      <c r="R1252" s="101"/>
      <c r="S1252" s="101"/>
      <c r="T1252" s="101"/>
      <c r="U1252" s="92"/>
      <c r="V1252" s="101"/>
      <c r="W1252" s="99"/>
      <c r="X1252" s="99"/>
      <c r="Y1252" s="99"/>
      <c r="Z1252" s="92"/>
      <c r="AA1252" s="99"/>
      <c r="AB1252" s="99"/>
      <c r="AC1252" s="99"/>
      <c r="AD1252" s="99"/>
      <c r="AE1252" s="92"/>
      <c r="AF1252" s="92"/>
      <c r="AG1252" s="92"/>
      <c r="AH1252" s="92"/>
      <c r="AI1252" s="92"/>
      <c r="AJ1252" s="92"/>
      <c r="AK1252" s="92"/>
      <c r="AM1252" s="651"/>
    </row>
    <row r="1253" spans="1:39" s="83" customFormat="1">
      <c r="B1253" s="95" t="s">
        <v>64</v>
      </c>
      <c r="C1253" s="96" t="s">
        <v>65</v>
      </c>
      <c r="D1253" s="119" t="s">
        <v>104</v>
      </c>
      <c r="E1253" s="119"/>
      <c r="F1253" s="119"/>
      <c r="G1253" s="325">
        <f t="shared" ref="G1253:V1253" si="1003">G64+G507+G965+G1101</f>
        <v>9382</v>
      </c>
      <c r="H1253" s="325">
        <f t="shared" si="1003"/>
        <v>8599</v>
      </c>
      <c r="I1253" s="325">
        <f t="shared" si="1003"/>
        <v>8259</v>
      </c>
      <c r="J1253" s="325">
        <f t="shared" si="1003"/>
        <v>9300</v>
      </c>
      <c r="K1253" s="325">
        <f t="shared" si="1003"/>
        <v>11910</v>
      </c>
      <c r="L1253" s="326">
        <f t="shared" si="1003"/>
        <v>3092</v>
      </c>
      <c r="M1253" s="326">
        <f t="shared" si="1003"/>
        <v>3016</v>
      </c>
      <c r="N1253" s="326">
        <f t="shared" si="1003"/>
        <v>3209</v>
      </c>
      <c r="O1253" s="326">
        <f t="shared" si="1003"/>
        <v>3247</v>
      </c>
      <c r="P1253" s="325">
        <f t="shared" si="1003"/>
        <v>12564</v>
      </c>
      <c r="Q1253" s="326">
        <f t="shared" si="1003"/>
        <v>3106</v>
      </c>
      <c r="R1253" s="326">
        <f t="shared" si="1003"/>
        <v>3138</v>
      </c>
      <c r="S1253" s="326">
        <f t="shared" si="1003"/>
        <v>3035</v>
      </c>
      <c r="T1253" s="326">
        <f t="shared" si="1003"/>
        <v>2655</v>
      </c>
      <c r="U1253" s="325">
        <f t="shared" si="1003"/>
        <v>11934</v>
      </c>
      <c r="V1253" s="326">
        <f t="shared" si="1003"/>
        <v>2377</v>
      </c>
      <c r="W1253" s="326">
        <f>W64+W507+W965+W1101</f>
        <v>1720</v>
      </c>
      <c r="X1253" s="326">
        <f>X64+X507+X965+X1101</f>
        <v>2291</v>
      </c>
      <c r="Y1253" s="326">
        <f>Y64+Y507+Y965+Y1101</f>
        <v>2560</v>
      </c>
      <c r="Z1253" s="325">
        <f t="shared" ref="Z1253:Z1259" si="1004">SUM(V1253:Y1253)</f>
        <v>8948</v>
      </c>
      <c r="AA1253" s="326">
        <f>AA64+AA507+AA965+AA1101</f>
        <v>2640.3904800327869</v>
      </c>
      <c r="AB1253" s="326">
        <f>AB64+AB507+AB965+AB1101</f>
        <v>2631.0259811144247</v>
      </c>
      <c r="AC1253" s="326">
        <f>AC64+AC507+AC965+AC1101</f>
        <v>2940.3262100369952</v>
      </c>
      <c r="AD1253" s="326">
        <f>AD64+AD507+AD965+AD1101</f>
        <v>3120.4546278217822</v>
      </c>
      <c r="AE1253" s="325">
        <f t="shared" ref="AE1253:AE1259" si="1005">SUM(AA1253:AD1253)</f>
        <v>11332.197299005989</v>
      </c>
      <c r="AF1253" s="325">
        <f>AF64+AF507+AF965+AF1101</f>
        <v>11944.311180636163</v>
      </c>
      <c r="AG1253" s="325">
        <f t="shared" ref="AG1253:AL1253" si="1006">AG64+AG507+AG965+AG1101</f>
        <v>12735.477553256826</v>
      </c>
      <c r="AH1253" s="325">
        <f t="shared" si="1006"/>
        <v>13739.990260687078</v>
      </c>
      <c r="AI1253" s="325">
        <f t="shared" si="1006"/>
        <v>13679.46127746033</v>
      </c>
      <c r="AJ1253" s="325">
        <f t="shared" si="1006"/>
        <v>13539.044803677389</v>
      </c>
      <c r="AK1253" s="325">
        <f t="shared" si="1006"/>
        <v>13539.044803677389</v>
      </c>
      <c r="AL1253" s="325">
        <f t="shared" si="1006"/>
        <v>13539.044803677389</v>
      </c>
      <c r="AM1253" s="651"/>
    </row>
    <row r="1254" spans="1:39" s="83" customFormat="1">
      <c r="B1254" s="95" t="s">
        <v>633</v>
      </c>
      <c r="C1254" s="96" t="s">
        <v>225</v>
      </c>
      <c r="D1254" s="599" t="s">
        <v>753</v>
      </c>
      <c r="E1254" s="119"/>
      <c r="F1254" s="119"/>
      <c r="G1254" s="94">
        <f t="shared" ref="G1254:V1254" si="1007">G966</f>
        <v>-917</v>
      </c>
      <c r="H1254" s="94">
        <f t="shared" si="1007"/>
        <v>-767</v>
      </c>
      <c r="I1254" s="94">
        <f t="shared" si="1007"/>
        <v>-783</v>
      </c>
      <c r="J1254" s="94">
        <f t="shared" si="1007"/>
        <v>-846</v>
      </c>
      <c r="K1254" s="94">
        <f t="shared" si="1007"/>
        <v>-845</v>
      </c>
      <c r="L1254" s="101">
        <f t="shared" si="1007"/>
        <v>-179</v>
      </c>
      <c r="M1254" s="101">
        <f t="shared" si="1007"/>
        <v>-159</v>
      </c>
      <c r="N1254" s="101">
        <f t="shared" si="1007"/>
        <v>-149</v>
      </c>
      <c r="O1254" s="101">
        <f t="shared" si="1007"/>
        <v>-103</v>
      </c>
      <c r="P1254" s="94">
        <f t="shared" si="1007"/>
        <v>-590</v>
      </c>
      <c r="Q1254" s="101">
        <f t="shared" si="1007"/>
        <v>-168</v>
      </c>
      <c r="R1254" s="101">
        <f t="shared" si="1007"/>
        <v>-178</v>
      </c>
      <c r="S1254" s="101">
        <f t="shared" si="1007"/>
        <v>-154</v>
      </c>
      <c r="T1254" s="101">
        <f t="shared" si="1007"/>
        <v>-144</v>
      </c>
      <c r="U1254" s="94">
        <f t="shared" si="1007"/>
        <v>-644</v>
      </c>
      <c r="V1254" s="101">
        <f t="shared" si="1007"/>
        <v>-181</v>
      </c>
      <c r="W1254" s="101">
        <f>W966</f>
        <v>-128</v>
      </c>
      <c r="X1254" s="101">
        <f>X966</f>
        <v>-128</v>
      </c>
      <c r="Y1254" s="101">
        <f>Y966</f>
        <v>-136</v>
      </c>
      <c r="Z1254" s="94">
        <f t="shared" si="1004"/>
        <v>-573</v>
      </c>
      <c r="AA1254" s="101">
        <f>AA966</f>
        <v>-128</v>
      </c>
      <c r="AB1254" s="101">
        <f>AB966</f>
        <v>-179</v>
      </c>
      <c r="AC1254" s="101">
        <f>AC966</f>
        <v>-225.74086999999997</v>
      </c>
      <c r="AD1254" s="101">
        <f>AD966</f>
        <v>-217.15453707964602</v>
      </c>
      <c r="AE1254" s="94">
        <f t="shared" si="1005"/>
        <v>-749.89540707964602</v>
      </c>
      <c r="AF1254" s="94">
        <f t="shared" ref="AF1254:AL1254" si="1008">AF966</f>
        <v>-956.67189201451913</v>
      </c>
      <c r="AG1254" s="94">
        <f t="shared" si="1008"/>
        <v>-959.63218666061675</v>
      </c>
      <c r="AH1254" s="94">
        <f t="shared" si="1008"/>
        <v>-953.58911433756805</v>
      </c>
      <c r="AI1254" s="94">
        <f t="shared" si="1008"/>
        <v>-922.56066969146991</v>
      </c>
      <c r="AJ1254" s="94">
        <f t="shared" si="1008"/>
        <v>-852.66381599999988</v>
      </c>
      <c r="AK1254" s="94">
        <f t="shared" si="1008"/>
        <v>-852.66381599999988</v>
      </c>
      <c r="AL1254" s="94">
        <f t="shared" si="1008"/>
        <v>-852.66381599999988</v>
      </c>
      <c r="AM1254" s="651"/>
    </row>
    <row r="1255" spans="1:39" s="83" customFormat="1">
      <c r="B1255" s="95" t="s">
        <v>633</v>
      </c>
      <c r="C1255" s="96" t="s">
        <v>225</v>
      </c>
      <c r="D1255" s="599" t="s">
        <v>822</v>
      </c>
      <c r="E1255" s="119"/>
      <c r="F1255" s="119"/>
      <c r="G1255" s="94">
        <f t="shared" ref="G1255:V1255" si="1009">G1104</f>
        <v>0</v>
      </c>
      <c r="H1255" s="94">
        <f t="shared" si="1009"/>
        <v>0</v>
      </c>
      <c r="I1255" s="94">
        <f t="shared" si="1009"/>
        <v>0</v>
      </c>
      <c r="J1255" s="94">
        <f t="shared" si="1009"/>
        <v>0</v>
      </c>
      <c r="K1255" s="94">
        <f t="shared" si="1009"/>
        <v>0</v>
      </c>
      <c r="L1255" s="101">
        <f t="shared" si="1009"/>
        <v>0</v>
      </c>
      <c r="M1255" s="101">
        <f t="shared" si="1009"/>
        <v>-22</v>
      </c>
      <c r="N1255" s="101">
        <f t="shared" si="1009"/>
        <v>-78</v>
      </c>
      <c r="O1255" s="101">
        <f t="shared" si="1009"/>
        <v>-93</v>
      </c>
      <c r="P1255" s="94">
        <f t="shared" si="1009"/>
        <v>-193</v>
      </c>
      <c r="Q1255" s="101">
        <f t="shared" si="1009"/>
        <v>-82</v>
      </c>
      <c r="R1255" s="101">
        <f t="shared" si="1009"/>
        <v>-100</v>
      </c>
      <c r="S1255" s="101">
        <f t="shared" si="1009"/>
        <v>-85</v>
      </c>
      <c r="T1255" s="101">
        <f t="shared" si="1009"/>
        <v>-86</v>
      </c>
      <c r="U1255" s="94">
        <f t="shared" si="1009"/>
        <v>-353</v>
      </c>
      <c r="V1255" s="101">
        <f t="shared" si="1009"/>
        <v>-100</v>
      </c>
      <c r="W1255" s="101">
        <f>W1104</f>
        <v>-34</v>
      </c>
      <c r="X1255" s="101">
        <f>X1104</f>
        <v>-42</v>
      </c>
      <c r="Y1255" s="101">
        <f>Y1104</f>
        <v>-58</v>
      </c>
      <c r="Z1255" s="94">
        <f t="shared" si="1004"/>
        <v>-234</v>
      </c>
      <c r="AA1255" s="101">
        <f>AA1104</f>
        <v>0</v>
      </c>
      <c r="AB1255" s="101">
        <f>AB1104</f>
        <v>0</v>
      </c>
      <c r="AC1255" s="101">
        <f>AC1104</f>
        <v>0</v>
      </c>
      <c r="AD1255" s="101">
        <f>AD1104</f>
        <v>0</v>
      </c>
      <c r="AE1255" s="94">
        <f t="shared" si="1005"/>
        <v>0</v>
      </c>
      <c r="AF1255" s="94">
        <f t="shared" ref="AF1255:AL1255" si="1010">AF1104</f>
        <v>0</v>
      </c>
      <c r="AG1255" s="94">
        <f t="shared" si="1010"/>
        <v>0</v>
      </c>
      <c r="AH1255" s="94">
        <f t="shared" si="1010"/>
        <v>0</v>
      </c>
      <c r="AI1255" s="94">
        <f t="shared" si="1010"/>
        <v>0</v>
      </c>
      <c r="AJ1255" s="94">
        <f t="shared" si="1010"/>
        <v>0</v>
      </c>
      <c r="AK1255" s="94">
        <f t="shared" si="1010"/>
        <v>0</v>
      </c>
      <c r="AL1255" s="94">
        <f t="shared" si="1010"/>
        <v>0</v>
      </c>
      <c r="AM1255" s="651"/>
    </row>
    <row r="1256" spans="1:39" s="83" customFormat="1">
      <c r="B1256" s="95" t="s">
        <v>633</v>
      </c>
      <c r="C1256" s="96" t="s">
        <v>225</v>
      </c>
      <c r="D1256" s="599" t="s">
        <v>642</v>
      </c>
      <c r="E1256" s="119"/>
      <c r="F1256" s="119"/>
      <c r="G1256" s="94">
        <f t="shared" ref="G1256:V1256" si="1011">G65+G508+G967+G1102</f>
        <v>-3294</v>
      </c>
      <c r="H1256" s="94">
        <f t="shared" si="1011"/>
        <v>-3352</v>
      </c>
      <c r="I1256" s="94">
        <f t="shared" si="1011"/>
        <v>-3345</v>
      </c>
      <c r="J1256" s="94">
        <f t="shared" si="1011"/>
        <v>-3091</v>
      </c>
      <c r="K1256" s="94">
        <f t="shared" si="1011"/>
        <v>-3308</v>
      </c>
      <c r="L1256" s="101">
        <f t="shared" si="1011"/>
        <v>-805</v>
      </c>
      <c r="M1256" s="101">
        <f t="shared" si="1011"/>
        <v>-884</v>
      </c>
      <c r="N1256" s="101">
        <f t="shared" si="1011"/>
        <v>-1088</v>
      </c>
      <c r="O1256" s="101">
        <f t="shared" si="1011"/>
        <v>-1121</v>
      </c>
      <c r="P1256" s="94">
        <f t="shared" si="1011"/>
        <v>-3899</v>
      </c>
      <c r="Q1256" s="101">
        <f t="shared" si="1011"/>
        <v>-967</v>
      </c>
      <c r="R1256" s="101">
        <f t="shared" si="1011"/>
        <v>-995</v>
      </c>
      <c r="S1256" s="101">
        <f t="shared" si="1011"/>
        <v>-1058</v>
      </c>
      <c r="T1256" s="101">
        <f t="shared" si="1011"/>
        <v>-1079</v>
      </c>
      <c r="U1256" s="94">
        <f t="shared" si="1011"/>
        <v>-4159</v>
      </c>
      <c r="V1256" s="101">
        <f t="shared" si="1011"/>
        <v>-936</v>
      </c>
      <c r="W1256" s="101">
        <f t="shared" ref="W1256:Y1257" si="1012">W65+W508+W967+W1102</f>
        <v>-816</v>
      </c>
      <c r="X1256" s="101">
        <f t="shared" si="1012"/>
        <v>-927</v>
      </c>
      <c r="Y1256" s="101">
        <f t="shared" si="1012"/>
        <v>-975</v>
      </c>
      <c r="Z1256" s="94">
        <f t="shared" si="1004"/>
        <v>-3654</v>
      </c>
      <c r="AA1256" s="101">
        <f t="shared" ref="AA1256:AD1257" si="1013">AA65+AA508+AA967+AA1102</f>
        <v>-895.87517690206835</v>
      </c>
      <c r="AB1256" s="101">
        <f t="shared" si="1013"/>
        <v>-888.51067798370616</v>
      </c>
      <c r="AC1256" s="101">
        <f t="shared" si="1013"/>
        <v>-931.17839245646201</v>
      </c>
      <c r="AD1256" s="101">
        <f t="shared" si="1013"/>
        <v>-970.71224229091592</v>
      </c>
      <c r="AE1256" s="94">
        <f t="shared" si="1005"/>
        <v>-3686.2764896331528</v>
      </c>
      <c r="AF1256" s="94">
        <f t="shared" ref="AF1256:AL1256" si="1014">AF65+AF508+AF967+AF1102</f>
        <v>-3883.1293825592497</v>
      </c>
      <c r="AG1256" s="94">
        <f>AG65+AG508+AG967+AG1102</f>
        <v>-4206.3030403388166</v>
      </c>
      <c r="AH1256" s="94">
        <f t="shared" si="1014"/>
        <v>-4644.5964970487676</v>
      </c>
      <c r="AI1256" s="94">
        <f>AI65+AI508+AI967+AI1102</f>
        <v>-4934.5964970487676</v>
      </c>
      <c r="AJ1256" s="94">
        <f t="shared" si="1014"/>
        <v>-5034.5964970487676</v>
      </c>
      <c r="AK1256" s="94">
        <f t="shared" si="1014"/>
        <v>-5034.5964970487676</v>
      </c>
      <c r="AL1256" s="94">
        <f t="shared" si="1014"/>
        <v>-5034.5964970487676</v>
      </c>
      <c r="AM1256" s="651"/>
    </row>
    <row r="1257" spans="1:39" s="83" customFormat="1">
      <c r="B1257" s="95" t="s">
        <v>633</v>
      </c>
      <c r="C1257" s="96" t="s">
        <v>225</v>
      </c>
      <c r="D1257" s="599" t="s">
        <v>643</v>
      </c>
      <c r="E1257" s="119"/>
      <c r="F1257" s="119"/>
      <c r="G1257" s="94">
        <f t="shared" ref="G1257:V1257" si="1015">G66+G509+G968+G1103</f>
        <v>-1344</v>
      </c>
      <c r="H1257" s="94">
        <f t="shared" si="1015"/>
        <v>-1352</v>
      </c>
      <c r="I1257" s="94">
        <f t="shared" si="1015"/>
        <v>-1292</v>
      </c>
      <c r="J1257" s="94">
        <f t="shared" si="1015"/>
        <v>-1270</v>
      </c>
      <c r="K1257" s="94">
        <f t="shared" si="1015"/>
        <v>-1245</v>
      </c>
      <c r="L1257" s="101">
        <f t="shared" si="1015"/>
        <v>-313</v>
      </c>
      <c r="M1257" s="101">
        <f t="shared" si="1015"/>
        <v>-326</v>
      </c>
      <c r="N1257" s="101">
        <f t="shared" si="1015"/>
        <v>-376</v>
      </c>
      <c r="O1257" s="101">
        <f t="shared" si="1015"/>
        <v>-393</v>
      </c>
      <c r="P1257" s="94">
        <f t="shared" si="1015"/>
        <v>-1408</v>
      </c>
      <c r="Q1257" s="101">
        <f t="shared" si="1015"/>
        <v>-357</v>
      </c>
      <c r="R1257" s="101">
        <f t="shared" si="1015"/>
        <v>-365</v>
      </c>
      <c r="S1257" s="101">
        <f t="shared" si="1015"/>
        <v>-382</v>
      </c>
      <c r="T1257" s="101">
        <f t="shared" si="1015"/>
        <v>-372</v>
      </c>
      <c r="U1257" s="94">
        <f t="shared" si="1015"/>
        <v>-1476</v>
      </c>
      <c r="V1257" s="101">
        <f t="shared" si="1015"/>
        <v>-361</v>
      </c>
      <c r="W1257" s="101">
        <f t="shared" si="1012"/>
        <v>-294</v>
      </c>
      <c r="X1257" s="101">
        <f t="shared" si="1012"/>
        <v>-353</v>
      </c>
      <c r="Y1257" s="101">
        <f t="shared" si="1012"/>
        <v>-370</v>
      </c>
      <c r="Z1257" s="94">
        <f t="shared" si="1004"/>
        <v>-1378</v>
      </c>
      <c r="AA1257" s="101">
        <f t="shared" si="1013"/>
        <v>-362.08</v>
      </c>
      <c r="AB1257" s="101">
        <f t="shared" si="1013"/>
        <v>-353.08</v>
      </c>
      <c r="AC1257" s="101">
        <f t="shared" si="1013"/>
        <v>-384.48262635659313</v>
      </c>
      <c r="AD1257" s="101">
        <f t="shared" si="1013"/>
        <v>-426.99259596332655</v>
      </c>
      <c r="AE1257" s="94">
        <f t="shared" si="1005"/>
        <v>-1526.6352223199196</v>
      </c>
      <c r="AF1257" s="94">
        <f t="shared" ref="AF1257:AL1257" si="1016">AF66+AF509+AF968+AF1103</f>
        <v>-1568.6936663101988</v>
      </c>
      <c r="AG1257" s="94">
        <f t="shared" si="1016"/>
        <v>-1595.9707886123572</v>
      </c>
      <c r="AH1257" s="94">
        <f t="shared" si="1016"/>
        <v>-1606.0456427256938</v>
      </c>
      <c r="AI1257" s="94">
        <f t="shared" si="1016"/>
        <v>-1610.2183045961976</v>
      </c>
      <c r="AJ1257" s="94">
        <f t="shared" si="1016"/>
        <v>-1611.6571535170608</v>
      </c>
      <c r="AK1257" s="94">
        <f t="shared" si="1016"/>
        <v>-1611.6571535170608</v>
      </c>
      <c r="AL1257" s="94">
        <f t="shared" si="1016"/>
        <v>-1611.6571535170608</v>
      </c>
      <c r="AM1257" s="651"/>
    </row>
    <row r="1258" spans="1:39" s="83" customFormat="1">
      <c r="B1258" s="95" t="s">
        <v>633</v>
      </c>
      <c r="C1258" s="96" t="s">
        <v>225</v>
      </c>
      <c r="D1258" s="599" t="s">
        <v>527</v>
      </c>
      <c r="E1258" s="119"/>
      <c r="F1258" s="119"/>
      <c r="G1258" s="94">
        <f t="shared" ref="G1258:V1258" si="1017">G67+G510+G969</f>
        <v>-159</v>
      </c>
      <c r="H1258" s="94">
        <f t="shared" si="1017"/>
        <v>-246</v>
      </c>
      <c r="I1258" s="94">
        <f t="shared" si="1017"/>
        <v>-198</v>
      </c>
      <c r="J1258" s="94">
        <f t="shared" si="1017"/>
        <v>-312</v>
      </c>
      <c r="K1258" s="94">
        <f t="shared" si="1017"/>
        <v>-453</v>
      </c>
      <c r="L1258" s="101">
        <f t="shared" si="1017"/>
        <v>-84</v>
      </c>
      <c r="M1258" s="101">
        <f t="shared" si="1017"/>
        <v>-31</v>
      </c>
      <c r="N1258" s="101">
        <f t="shared" si="1017"/>
        <v>-130</v>
      </c>
      <c r="O1258" s="101">
        <f t="shared" si="1017"/>
        <v>-125</v>
      </c>
      <c r="P1258" s="94">
        <f t="shared" si="1017"/>
        <v>-370</v>
      </c>
      <c r="Q1258" s="101">
        <f t="shared" si="1017"/>
        <v>-95</v>
      </c>
      <c r="R1258" s="101">
        <f t="shared" si="1017"/>
        <v>-23</v>
      </c>
      <c r="S1258" s="101">
        <f t="shared" si="1017"/>
        <v>-124</v>
      </c>
      <c r="T1258" s="101">
        <f t="shared" si="1017"/>
        <v>-101</v>
      </c>
      <c r="U1258" s="94">
        <f t="shared" si="1017"/>
        <v>-343</v>
      </c>
      <c r="V1258" s="101">
        <f t="shared" si="1017"/>
        <v>-22</v>
      </c>
      <c r="W1258" s="101">
        <f>W67+W510+W969</f>
        <v>4</v>
      </c>
      <c r="X1258" s="101">
        <f>X67+X510+X969</f>
        <v>-138</v>
      </c>
      <c r="Y1258" s="101">
        <f>Y67+Y510+Y969</f>
        <v>-110</v>
      </c>
      <c r="Z1258" s="94">
        <f t="shared" si="1004"/>
        <v>-266</v>
      </c>
      <c r="AA1258" s="101">
        <f>AA67+AA510+AA969</f>
        <v>-51</v>
      </c>
      <c r="AB1258" s="101">
        <f>AB67+AB510+AB969</f>
        <v>-29</v>
      </c>
      <c r="AC1258" s="101">
        <f>AC67+AC510+AC969</f>
        <v>-95.447431045364567</v>
      </c>
      <c r="AD1258" s="101">
        <f>AD67+AD510+AD969</f>
        <v>-128.59571538528294</v>
      </c>
      <c r="AE1258" s="94">
        <f t="shared" si="1005"/>
        <v>-304.04314643064754</v>
      </c>
      <c r="AF1258" s="94">
        <f t="shared" ref="AF1258:AL1258" si="1018">AF67+AF510+AF969</f>
        <v>-304.48344157203826</v>
      </c>
      <c r="AG1258" s="94">
        <f t="shared" si="1018"/>
        <v>-344.56964841947047</v>
      </c>
      <c r="AH1258" s="94">
        <f t="shared" si="1018"/>
        <v>-343.62604262277421</v>
      </c>
      <c r="AI1258" s="94">
        <f t="shared" si="1018"/>
        <v>-307.02358096215733</v>
      </c>
      <c r="AJ1258" s="94">
        <f t="shared" si="1018"/>
        <v>-224.57030505290126</v>
      </c>
      <c r="AK1258" s="94">
        <f t="shared" si="1018"/>
        <v>-224.57030505290126</v>
      </c>
      <c r="AL1258" s="94">
        <f t="shared" si="1018"/>
        <v>-224.57030505290126</v>
      </c>
      <c r="AM1258" s="651"/>
    </row>
    <row r="1259" spans="1:39" s="83" customFormat="1">
      <c r="B1259" s="95" t="s">
        <v>633</v>
      </c>
      <c r="C1259" s="96" t="s">
        <v>225</v>
      </c>
      <c r="D1259" s="599" t="s">
        <v>644</v>
      </c>
      <c r="E1259" s="119"/>
      <c r="F1259" s="119"/>
      <c r="G1259" s="94">
        <f t="shared" ref="G1259:V1259" si="1019">G68+G511+G970+G1105</f>
        <v>-1233</v>
      </c>
      <c r="H1259" s="94">
        <f t="shared" si="1019"/>
        <v>-1344</v>
      </c>
      <c r="I1259" s="94">
        <f t="shared" si="1019"/>
        <v>-1366</v>
      </c>
      <c r="J1259" s="94">
        <f t="shared" si="1019"/>
        <v>-1385</v>
      </c>
      <c r="K1259" s="94">
        <f t="shared" si="1019"/>
        <v>-1492</v>
      </c>
      <c r="L1259" s="101">
        <f t="shared" si="1019"/>
        <v>-350</v>
      </c>
      <c r="M1259" s="101">
        <f t="shared" si="1019"/>
        <v>-353</v>
      </c>
      <c r="N1259" s="101">
        <f t="shared" si="1019"/>
        <v>-380</v>
      </c>
      <c r="O1259" s="101">
        <f t="shared" si="1019"/>
        <v>-400</v>
      </c>
      <c r="P1259" s="94">
        <f t="shared" si="1019"/>
        <v>-1483</v>
      </c>
      <c r="Q1259" s="101">
        <f t="shared" si="1019"/>
        <v>-373</v>
      </c>
      <c r="R1259" s="101">
        <f t="shared" si="1019"/>
        <v>-395</v>
      </c>
      <c r="S1259" s="101">
        <f t="shared" si="1019"/>
        <v>-436</v>
      </c>
      <c r="T1259" s="101">
        <f t="shared" si="1019"/>
        <v>-421</v>
      </c>
      <c r="U1259" s="94">
        <f t="shared" si="1019"/>
        <v>-1619</v>
      </c>
      <c r="V1259" s="101">
        <f t="shared" si="1019"/>
        <v>-378</v>
      </c>
      <c r="W1259" s="101">
        <f>W68+W511+W970+W1105</f>
        <v>-314</v>
      </c>
      <c r="X1259" s="101">
        <f>X68+X511+X970+X1105</f>
        <v>-412</v>
      </c>
      <c r="Y1259" s="101">
        <f ca="1">Y68+Y511+Y970+Y1105</f>
        <v>-393</v>
      </c>
      <c r="Z1259" s="94">
        <f t="shared" ca="1" si="1004"/>
        <v>-1497</v>
      </c>
      <c r="AA1259" s="101">
        <f ca="1">AA68+AA511+AA970+AA1105</f>
        <v>-363.04187760585535</v>
      </c>
      <c r="AB1259" s="101">
        <f ca="1">AB68+AB511+AB970+AB1105</f>
        <v>-367.82242279425111</v>
      </c>
      <c r="AC1259" s="101">
        <f ca="1">AC68+AC511+AC970+AC1105</f>
        <v>-407.24838224201301</v>
      </c>
      <c r="AD1259" s="101">
        <f ca="1">AD68+AD511+AD970+AD1105</f>
        <v>-442.43421538280569</v>
      </c>
      <c r="AE1259" s="94">
        <f t="shared" ca="1" si="1005"/>
        <v>-1580.5468980249252</v>
      </c>
      <c r="AF1259" s="94">
        <f t="shared" ref="AF1259:AL1259" ca="1" si="1020">AF68+AF511+AF970+AF1105</f>
        <v>-1638.6622876310332</v>
      </c>
      <c r="AG1259" s="94">
        <f t="shared" ca="1" si="1020"/>
        <v>-1700.2306329547741</v>
      </c>
      <c r="AH1259" s="94">
        <f t="shared" ca="1" si="1020"/>
        <v>-1733.9039438844452</v>
      </c>
      <c r="AI1259" s="94">
        <f t="shared" ca="1" si="1020"/>
        <v>-1779.8032244599847</v>
      </c>
      <c r="AJ1259" s="94">
        <f t="shared" ca="1" si="1020"/>
        <v>-1795.6305625894813</v>
      </c>
      <c r="AK1259" s="94">
        <f t="shared" ca="1" si="1020"/>
        <v>-1795.6305625894813</v>
      </c>
      <c r="AL1259" s="94">
        <f t="shared" ca="1" si="1020"/>
        <v>-1795.6305625894813</v>
      </c>
      <c r="AM1259" s="651"/>
    </row>
    <row r="1260" spans="1:39" s="83" customFormat="1">
      <c r="B1260" s="95" t="s">
        <v>633</v>
      </c>
      <c r="C1260" s="96" t="s">
        <v>225</v>
      </c>
      <c r="D1260" s="134" t="s">
        <v>645</v>
      </c>
      <c r="E1260" s="119"/>
      <c r="F1260" s="119"/>
      <c r="G1260" s="325">
        <f>G1254+G1255+G1256+G1257+G1258+G1259</f>
        <v>-6947</v>
      </c>
      <c r="H1260" s="325">
        <f t="shared" ref="H1260:V1260" si="1021">H1254+H1255+H1256+H1257+H1258+H1259</f>
        <v>-7061</v>
      </c>
      <c r="I1260" s="325">
        <f t="shared" si="1021"/>
        <v>-6984</v>
      </c>
      <c r="J1260" s="325">
        <f t="shared" si="1021"/>
        <v>-6904</v>
      </c>
      <c r="K1260" s="325">
        <f t="shared" si="1021"/>
        <v>-7343</v>
      </c>
      <c r="L1260" s="326">
        <f t="shared" si="1021"/>
        <v>-1731</v>
      </c>
      <c r="M1260" s="326">
        <f t="shared" si="1021"/>
        <v>-1775</v>
      </c>
      <c r="N1260" s="326">
        <f t="shared" si="1021"/>
        <v>-2201</v>
      </c>
      <c r="O1260" s="326">
        <f t="shared" si="1021"/>
        <v>-2235</v>
      </c>
      <c r="P1260" s="325">
        <f t="shared" si="1021"/>
        <v>-7943</v>
      </c>
      <c r="Q1260" s="326">
        <f t="shared" si="1021"/>
        <v>-2042</v>
      </c>
      <c r="R1260" s="326">
        <f t="shared" si="1021"/>
        <v>-2056</v>
      </c>
      <c r="S1260" s="326">
        <f t="shared" si="1021"/>
        <v>-2239</v>
      </c>
      <c r="T1260" s="326">
        <f t="shared" si="1021"/>
        <v>-2203</v>
      </c>
      <c r="U1260" s="325">
        <f t="shared" si="1021"/>
        <v>-8594</v>
      </c>
      <c r="V1260" s="326">
        <f t="shared" si="1021"/>
        <v>-1978</v>
      </c>
      <c r="W1260" s="326">
        <f>W1254+W1255+W1256+W1257+W1258+W1259</f>
        <v>-1582</v>
      </c>
      <c r="X1260" s="326">
        <f>X1254+X1255+X1256+X1257+X1258+X1259</f>
        <v>-2000</v>
      </c>
      <c r="Y1260" s="326">
        <f ca="1">Y1254+Y1255+Y1256+Y1257+Y1258+Y1259</f>
        <v>-1859.67</v>
      </c>
      <c r="Z1260" s="325">
        <f ca="1">SUM(V1260:Y1260)</f>
        <v>-7419.67</v>
      </c>
      <c r="AA1260" s="326">
        <f ca="1">AA1254+AA1255+AA1256+AA1257+AA1258+AA1259</f>
        <v>-1899.1205242532355</v>
      </c>
      <c r="AB1260" s="326">
        <f ca="1">AB1254+AB1255+AB1256+AB1257+AB1258+AB1259</f>
        <v>-1859.8842579231423</v>
      </c>
      <c r="AC1260" s="326">
        <f ca="1">AC1254+AC1255+AC1256+AC1257+AC1258+AC1259</f>
        <v>-2053.8823655501074</v>
      </c>
      <c r="AD1260" s="326">
        <f ca="1">AD1254+AD1255+AD1256+AD1257+AD1258+AD1259</f>
        <v>-2270.8447160726596</v>
      </c>
      <c r="AE1260" s="325">
        <f ca="1">SUM(AA1260:AD1260)</f>
        <v>-8083.7318637991448</v>
      </c>
      <c r="AF1260" s="325">
        <f t="shared" ref="AF1260:AL1260" ca="1" si="1022">AF1254+AF1255+AF1256+AF1257+AF1258+AF1259</f>
        <v>-8294.8000991195495</v>
      </c>
      <c r="AG1260" s="325">
        <f t="shared" ca="1" si="1022"/>
        <v>-8664.2529487454485</v>
      </c>
      <c r="AH1260" s="325">
        <f t="shared" ca="1" si="1022"/>
        <v>-8926.9948798048263</v>
      </c>
      <c r="AI1260" s="325">
        <f ca="1">AI1254+AI1255+AI1256+AI1257+AI1258+AI1259</f>
        <v>-9267.0668222508684</v>
      </c>
      <c r="AJ1260" s="325">
        <f t="shared" ca="1" si="1022"/>
        <v>-9384.3330093012282</v>
      </c>
      <c r="AK1260" s="325">
        <f t="shared" ca="1" si="1022"/>
        <v>-9384.3330093012282</v>
      </c>
      <c r="AL1260" s="325">
        <f t="shared" ca="1" si="1022"/>
        <v>-9384.3330093012282</v>
      </c>
      <c r="AM1260" s="651"/>
    </row>
    <row r="1261" spans="1:39" s="83" customFormat="1">
      <c r="B1261" s="95" t="s">
        <v>633</v>
      </c>
      <c r="C1261" s="96" t="s">
        <v>225</v>
      </c>
      <c r="D1261" s="203" t="s">
        <v>226</v>
      </c>
      <c r="E1261" s="119"/>
      <c r="F1261" s="119"/>
      <c r="G1261" s="325">
        <f>G1253+G1254+G1255+G1256+G1257+G1258</f>
        <v>3668</v>
      </c>
      <c r="H1261" s="325">
        <f t="shared" ref="H1261:V1261" si="1023">H1253+H1254+H1255+H1256+H1257+H1258</f>
        <v>2882</v>
      </c>
      <c r="I1261" s="325">
        <f t="shared" si="1023"/>
        <v>2641</v>
      </c>
      <c r="J1261" s="325">
        <f t="shared" si="1023"/>
        <v>3781</v>
      </c>
      <c r="K1261" s="325">
        <f t="shared" si="1023"/>
        <v>6059</v>
      </c>
      <c r="L1261" s="326">
        <f t="shared" si="1023"/>
        <v>1711</v>
      </c>
      <c r="M1261" s="326">
        <f t="shared" si="1023"/>
        <v>1594</v>
      </c>
      <c r="N1261" s="326">
        <f t="shared" si="1023"/>
        <v>1388</v>
      </c>
      <c r="O1261" s="326">
        <f t="shared" si="1023"/>
        <v>1412</v>
      </c>
      <c r="P1261" s="325">
        <f t="shared" si="1023"/>
        <v>6104</v>
      </c>
      <c r="Q1261" s="326">
        <f t="shared" si="1023"/>
        <v>1437</v>
      </c>
      <c r="R1261" s="326">
        <f t="shared" si="1023"/>
        <v>1477</v>
      </c>
      <c r="S1261" s="326">
        <f t="shared" si="1023"/>
        <v>1232</v>
      </c>
      <c r="T1261" s="326">
        <f t="shared" si="1023"/>
        <v>873</v>
      </c>
      <c r="U1261" s="325">
        <f t="shared" si="1023"/>
        <v>4959</v>
      </c>
      <c r="V1261" s="326">
        <f t="shared" si="1023"/>
        <v>777</v>
      </c>
      <c r="W1261" s="326">
        <f t="shared" ref="W1261:AE1261" si="1024">W1253+W1254+W1255+W1256+W1257+W1258</f>
        <v>452</v>
      </c>
      <c r="X1261" s="326">
        <f t="shared" si="1024"/>
        <v>703</v>
      </c>
      <c r="Y1261" s="326">
        <f t="shared" si="1024"/>
        <v>911</v>
      </c>
      <c r="Z1261" s="325">
        <f t="shared" si="1024"/>
        <v>2843</v>
      </c>
      <c r="AA1261" s="326">
        <f t="shared" si="1024"/>
        <v>1203.4353031307187</v>
      </c>
      <c r="AB1261" s="326">
        <f t="shared" si="1024"/>
        <v>1181.4353031307187</v>
      </c>
      <c r="AC1261" s="326">
        <f t="shared" si="1024"/>
        <v>1303.4768901785756</v>
      </c>
      <c r="AD1261" s="326">
        <f t="shared" si="1024"/>
        <v>1376.9995371026105</v>
      </c>
      <c r="AE1261" s="325">
        <f t="shared" si="1024"/>
        <v>5065.3470335426227</v>
      </c>
      <c r="AF1261" s="325">
        <f t="shared" ref="AF1261:AL1261" si="1025">AF1253+AF1254+AF1255+AF1256+AF1257+AF1258</f>
        <v>5231.3327981801576</v>
      </c>
      <c r="AG1261" s="325">
        <f t="shared" si="1025"/>
        <v>5629.0018892255639</v>
      </c>
      <c r="AH1261" s="325">
        <f t="shared" si="1025"/>
        <v>6192.1329639522737</v>
      </c>
      <c r="AI1261" s="325">
        <f t="shared" si="1025"/>
        <v>5905.0622251617388</v>
      </c>
      <c r="AJ1261" s="325">
        <f t="shared" si="1025"/>
        <v>5815.5570320586594</v>
      </c>
      <c r="AK1261" s="325">
        <f t="shared" si="1025"/>
        <v>5815.5570320586594</v>
      </c>
      <c r="AL1261" s="325">
        <f t="shared" si="1025"/>
        <v>5815.5570320586594</v>
      </c>
      <c r="AM1261" s="651"/>
    </row>
    <row r="1262" spans="1:39" s="83" customFormat="1">
      <c r="B1262" s="95" t="s">
        <v>633</v>
      </c>
      <c r="C1262" s="96" t="s">
        <v>225</v>
      </c>
      <c r="D1262" s="183" t="s">
        <v>178</v>
      </c>
      <c r="E1262" s="119"/>
      <c r="F1262" s="119"/>
      <c r="G1262" s="325">
        <f>G1261+G1259</f>
        <v>2435</v>
      </c>
      <c r="H1262" s="325">
        <f t="shared" ref="H1262:V1262" si="1026">H1261+H1259</f>
        <v>1538</v>
      </c>
      <c r="I1262" s="325">
        <f t="shared" si="1026"/>
        <v>1275</v>
      </c>
      <c r="J1262" s="325">
        <f t="shared" si="1026"/>
        <v>2396</v>
      </c>
      <c r="K1262" s="325">
        <f t="shared" si="1026"/>
        <v>4567</v>
      </c>
      <c r="L1262" s="326">
        <f t="shared" si="1026"/>
        <v>1361</v>
      </c>
      <c r="M1262" s="326">
        <f t="shared" si="1026"/>
        <v>1241</v>
      </c>
      <c r="N1262" s="326">
        <f t="shared" si="1026"/>
        <v>1008</v>
      </c>
      <c r="O1262" s="326">
        <f t="shared" si="1026"/>
        <v>1012</v>
      </c>
      <c r="P1262" s="325">
        <f t="shared" si="1026"/>
        <v>4621</v>
      </c>
      <c r="Q1262" s="326">
        <f t="shared" si="1026"/>
        <v>1064</v>
      </c>
      <c r="R1262" s="326">
        <f t="shared" si="1026"/>
        <v>1082</v>
      </c>
      <c r="S1262" s="326">
        <f t="shared" si="1026"/>
        <v>796</v>
      </c>
      <c r="T1262" s="326">
        <f t="shared" si="1026"/>
        <v>452</v>
      </c>
      <c r="U1262" s="325">
        <f t="shared" si="1026"/>
        <v>3340</v>
      </c>
      <c r="V1262" s="326">
        <f t="shared" si="1026"/>
        <v>399</v>
      </c>
      <c r="W1262" s="326">
        <f t="shared" ref="W1262:AE1262" si="1027">W1261+W1259</f>
        <v>138</v>
      </c>
      <c r="X1262" s="326">
        <f t="shared" si="1027"/>
        <v>291</v>
      </c>
      <c r="Y1262" s="326">
        <f t="shared" ca="1" si="1027"/>
        <v>788.69942648000006</v>
      </c>
      <c r="Z1262" s="325">
        <f t="shared" ca="1" si="1027"/>
        <v>1616.6994264800001</v>
      </c>
      <c r="AA1262" s="326">
        <f t="shared" ca="1" si="1027"/>
        <v>954.12545046712773</v>
      </c>
      <c r="AB1262" s="326">
        <f t="shared" ca="1" si="1027"/>
        <v>899.04198329427948</v>
      </c>
      <c r="AC1262" s="326">
        <f t="shared" ca="1" si="1027"/>
        <v>1057.7967322923537</v>
      </c>
      <c r="AD1262" s="326">
        <f t="shared" ca="1" si="1027"/>
        <v>1145.3283831480458</v>
      </c>
      <c r="AE1262" s="325">
        <f t="shared" ca="1" si="1027"/>
        <v>4056.2925492018067</v>
      </c>
      <c r="AF1262" s="325">
        <f t="shared" ref="AF1262:AL1262" ca="1" si="1028">AF1261+AF1259</f>
        <v>4278.8858506814031</v>
      </c>
      <c r="AG1262" s="325">
        <f t="shared" ca="1" si="1028"/>
        <v>4604.7233970555008</v>
      </c>
      <c r="AH1262" s="325">
        <f t="shared" ca="1" si="1028"/>
        <v>4864.5512909645258</v>
      </c>
      <c r="AI1262" s="325">
        <f t="shared" ca="1" si="1028"/>
        <v>5145.9371221184829</v>
      </c>
      <c r="AJ1262" s="325">
        <f t="shared" ca="1" si="1028"/>
        <v>5242.9667190681248</v>
      </c>
      <c r="AK1262" s="325">
        <f t="shared" ca="1" si="1028"/>
        <v>5242.9667190681248</v>
      </c>
      <c r="AL1262" s="325">
        <f t="shared" ca="1" si="1028"/>
        <v>5242.9667190681248</v>
      </c>
      <c r="AM1262" s="651"/>
    </row>
    <row r="1263" spans="1:39" s="83" customFormat="1">
      <c r="B1263" s="95"/>
      <c r="C1263" s="96"/>
      <c r="D1263" s="186"/>
      <c r="E1263" s="119"/>
      <c r="F1263" s="119"/>
      <c r="G1263" s="325"/>
      <c r="H1263" s="325"/>
      <c r="I1263" s="325"/>
      <c r="J1263" s="325"/>
      <c r="K1263" s="325"/>
      <c r="L1263" s="326"/>
      <c r="M1263" s="326"/>
      <c r="N1263" s="326"/>
      <c r="O1263" s="326"/>
      <c r="P1263" s="325"/>
      <c r="Q1263" s="326"/>
      <c r="R1263" s="326"/>
      <c r="S1263" s="326"/>
      <c r="T1263" s="326"/>
      <c r="U1263" s="325"/>
      <c r="V1263" s="326"/>
      <c r="W1263" s="326"/>
      <c r="X1263" s="326"/>
      <c r="Y1263" s="326"/>
      <c r="Z1263" s="325"/>
      <c r="AA1263" s="326"/>
      <c r="AB1263" s="326"/>
      <c r="AC1263" s="326"/>
      <c r="AD1263" s="326"/>
      <c r="AE1263" s="325"/>
      <c r="AF1263" s="325"/>
      <c r="AG1263" s="325"/>
      <c r="AH1263" s="325"/>
      <c r="AI1263" s="325"/>
      <c r="AJ1263" s="325"/>
      <c r="AK1263" s="325"/>
      <c r="AL1263" s="325"/>
      <c r="AM1263" s="651"/>
    </row>
    <row r="1264" spans="1:39" s="83" customFormat="1">
      <c r="B1264" s="95"/>
      <c r="C1264" s="96"/>
      <c r="D1264" s="186"/>
      <c r="E1264" s="119"/>
      <c r="F1264" s="119"/>
      <c r="G1264" s="325"/>
      <c r="H1264" s="325"/>
      <c r="I1264" s="325"/>
      <c r="J1264" s="325"/>
      <c r="K1264" s="325"/>
      <c r="L1264" s="326"/>
      <c r="M1264" s="326"/>
      <c r="N1264" s="326"/>
      <c r="O1264" s="326"/>
      <c r="P1264" s="325"/>
      <c r="Q1264" s="326"/>
      <c r="R1264" s="326"/>
      <c r="S1264" s="326"/>
      <c r="T1264" s="326"/>
      <c r="U1264" s="325"/>
      <c r="V1264" s="326"/>
      <c r="W1264" s="326"/>
      <c r="X1264" s="326"/>
      <c r="Y1264" s="326"/>
      <c r="Z1264" s="325"/>
      <c r="AA1264" s="326"/>
      <c r="AB1264" s="326"/>
      <c r="AC1264" s="326"/>
      <c r="AD1264" s="326"/>
      <c r="AE1264" s="325"/>
      <c r="AF1264" s="325"/>
      <c r="AG1264" s="325"/>
      <c r="AH1264" s="325"/>
      <c r="AI1264" s="325"/>
      <c r="AJ1264" s="325"/>
      <c r="AK1264" s="325"/>
      <c r="AL1264" s="325"/>
      <c r="AM1264" s="651"/>
    </row>
    <row r="1265" spans="2:39" s="83" customFormat="1">
      <c r="B1265" s="95" t="s">
        <v>64</v>
      </c>
      <c r="C1265" s="96" t="s">
        <v>65</v>
      </c>
      <c r="D1265" s="327" t="s">
        <v>15</v>
      </c>
      <c r="E1265" s="327"/>
      <c r="G1265" s="90">
        <v>-216</v>
      </c>
      <c r="H1265" s="90">
        <v>-267</v>
      </c>
      <c r="I1265" s="90">
        <v>-335</v>
      </c>
      <c r="J1265" s="90">
        <v>-197</v>
      </c>
      <c r="K1265" s="90">
        <v>-230</v>
      </c>
      <c r="L1265" s="91">
        <v>-83</v>
      </c>
      <c r="M1265" s="91">
        <v>-117</v>
      </c>
      <c r="N1265" s="91">
        <v>732</v>
      </c>
      <c r="O1265" s="91">
        <f>P1265-L1265-M1265-N1265</f>
        <v>-82</v>
      </c>
      <c r="P1265" s="90">
        <v>450</v>
      </c>
      <c r="Q1265" s="91">
        <v>-15</v>
      </c>
      <c r="R1265" s="91">
        <v>-198</v>
      </c>
      <c r="S1265" s="91">
        <v>-107</v>
      </c>
      <c r="T1265" s="91">
        <f>U1265-Q1265-R1265-S1265</f>
        <v>-185</v>
      </c>
      <c r="U1265" s="90">
        <v>-505</v>
      </c>
      <c r="V1265" s="91">
        <v>-37</v>
      </c>
      <c r="W1265" s="91">
        <v>-262</v>
      </c>
      <c r="X1265" s="91">
        <v>-127</v>
      </c>
      <c r="Y1265" s="112"/>
      <c r="Z1265" s="111"/>
      <c r="AA1265" s="91"/>
      <c r="AB1265" s="112"/>
      <c r="AC1265" s="112"/>
      <c r="AD1265" s="112"/>
      <c r="AE1265" s="111"/>
      <c r="AF1265" s="111"/>
      <c r="AG1265" s="111"/>
      <c r="AH1265" s="111"/>
      <c r="AI1265" s="111"/>
      <c r="AJ1265" s="111"/>
      <c r="AK1265" s="111"/>
      <c r="AL1265" s="111"/>
      <c r="AM1265" s="651"/>
    </row>
    <row r="1266" spans="2:39" s="83" customFormat="1">
      <c r="B1266" s="95" t="s">
        <v>64</v>
      </c>
      <c r="C1266" s="96" t="s">
        <v>65</v>
      </c>
      <c r="D1266" s="327" t="s">
        <v>13</v>
      </c>
      <c r="E1266" s="327"/>
      <c r="G1266" s="90">
        <v>-18</v>
      </c>
      <c r="H1266" s="90">
        <v>-29</v>
      </c>
      <c r="I1266" s="90">
        <v>-47</v>
      </c>
      <c r="J1266" s="90">
        <v>-30</v>
      </c>
      <c r="K1266" s="90">
        <v>-55</v>
      </c>
      <c r="L1266" s="91">
        <v>-8</v>
      </c>
      <c r="M1266" s="91">
        <v>-8</v>
      </c>
      <c r="N1266" s="91">
        <v>-9</v>
      </c>
      <c r="O1266" s="91">
        <f>P1266-L1266-M1266-N1266</f>
        <v>-10</v>
      </c>
      <c r="P1266" s="90">
        <v>-35</v>
      </c>
      <c r="Q1266" s="91">
        <v>-10</v>
      </c>
      <c r="R1266" s="91">
        <v>-11</v>
      </c>
      <c r="S1266" s="91">
        <v>-24</v>
      </c>
      <c r="T1266" s="91">
        <f>U1266-Q1266-R1266-S1266</f>
        <v>-22</v>
      </c>
      <c r="U1266" s="90">
        <v>-67</v>
      </c>
      <c r="V1266" s="91">
        <v>-22</v>
      </c>
      <c r="W1266" s="91">
        <v>-14</v>
      </c>
      <c r="X1266" s="91">
        <v>-15</v>
      </c>
      <c r="Y1266" s="232"/>
      <c r="Z1266" s="231"/>
      <c r="AA1266" s="91"/>
      <c r="AB1266" s="232"/>
      <c r="AC1266" s="232"/>
      <c r="AD1266" s="232"/>
      <c r="AE1266" s="231"/>
      <c r="AF1266" s="231"/>
      <c r="AG1266" s="231"/>
      <c r="AH1266" s="231"/>
      <c r="AI1266" s="231"/>
      <c r="AJ1266" s="231"/>
      <c r="AK1266" s="231"/>
      <c r="AL1266" s="231"/>
      <c r="AM1266" s="651"/>
    </row>
    <row r="1267" spans="2:39" s="83" customFormat="1">
      <c r="B1267" s="95" t="s">
        <v>64</v>
      </c>
      <c r="C1267" s="96" t="s">
        <v>65</v>
      </c>
      <c r="D1267" s="327" t="s">
        <v>12</v>
      </c>
      <c r="E1267" s="327"/>
      <c r="G1267" s="90">
        <v>-86</v>
      </c>
      <c r="H1267" s="90">
        <v>-60</v>
      </c>
      <c r="I1267" s="90">
        <v>-76</v>
      </c>
      <c r="J1267" s="90">
        <v>-51</v>
      </c>
      <c r="K1267" s="90">
        <v>-58</v>
      </c>
      <c r="L1267" s="91">
        <v>-14</v>
      </c>
      <c r="M1267" s="91">
        <v>-13</v>
      </c>
      <c r="N1267" s="91">
        <v>-18</v>
      </c>
      <c r="O1267" s="91">
        <f>P1267-L1267-M1267-N1267</f>
        <v>-24</v>
      </c>
      <c r="P1267" s="90">
        <v>-69</v>
      </c>
      <c r="Q1267" s="91">
        <v>-15</v>
      </c>
      <c r="R1267" s="91">
        <v>-15</v>
      </c>
      <c r="S1267" s="91">
        <v>-20</v>
      </c>
      <c r="T1267" s="91">
        <f>U1267-Q1267-R1267-S1267</f>
        <v>-17</v>
      </c>
      <c r="U1267" s="90">
        <v>-67</v>
      </c>
      <c r="V1267" s="91">
        <v>-12</v>
      </c>
      <c r="W1267" s="91">
        <v>-11</v>
      </c>
      <c r="X1267" s="91">
        <v>-12</v>
      </c>
      <c r="Y1267" s="232"/>
      <c r="Z1267" s="231"/>
      <c r="AA1267" s="91"/>
      <c r="AB1267" s="232"/>
      <c r="AC1267" s="232"/>
      <c r="AD1267" s="232"/>
      <c r="AE1267" s="231"/>
      <c r="AF1267" s="231"/>
      <c r="AG1267" s="231"/>
      <c r="AH1267" s="231"/>
      <c r="AI1267" s="231"/>
      <c r="AJ1267" s="231"/>
      <c r="AK1267" s="231"/>
      <c r="AL1267" s="231"/>
      <c r="AM1267" s="651"/>
    </row>
    <row r="1268" spans="2:39" s="83" customFormat="1">
      <c r="B1268" s="95" t="s">
        <v>64</v>
      </c>
      <c r="C1268" s="96" t="s">
        <v>65</v>
      </c>
      <c r="D1268" s="98" t="s">
        <v>180</v>
      </c>
      <c r="E1268" s="98"/>
      <c r="G1268" s="90">
        <v>-129</v>
      </c>
      <c r="H1268" s="90">
        <v>-119</v>
      </c>
      <c r="I1268" s="90">
        <v>-108</v>
      </c>
      <c r="J1268" s="90">
        <v>-99</v>
      </c>
      <c r="K1268" s="90">
        <v>-116</v>
      </c>
      <c r="L1268" s="91">
        <v>-31</v>
      </c>
      <c r="M1268" s="91">
        <v>-29</v>
      </c>
      <c r="N1268" s="91">
        <v>-32</v>
      </c>
      <c r="O1268" s="91">
        <f>P1268-L1268-M1268-N1268</f>
        <v>-50</v>
      </c>
      <c r="P1268" s="90">
        <v>-142</v>
      </c>
      <c r="Q1268" s="91">
        <v>-40</v>
      </c>
      <c r="R1268" s="91">
        <v>-43</v>
      </c>
      <c r="S1268" s="91">
        <v>-35</v>
      </c>
      <c r="T1268" s="91">
        <f>U1268-Q1268-R1268-S1268</f>
        <v>-43</v>
      </c>
      <c r="U1268" s="90">
        <v>-161</v>
      </c>
      <c r="V1268" s="91">
        <v>-31</v>
      </c>
      <c r="W1268" s="91">
        <v>-24</v>
      </c>
      <c r="X1268" s="91">
        <v>-26</v>
      </c>
      <c r="Y1268" s="97"/>
      <c r="Z1268" s="130"/>
      <c r="AA1268" s="91"/>
      <c r="AB1268" s="97"/>
      <c r="AC1268" s="97"/>
      <c r="AD1268" s="97"/>
      <c r="AE1268" s="130"/>
      <c r="AF1268" s="130"/>
      <c r="AG1268" s="130"/>
      <c r="AH1268" s="130"/>
      <c r="AI1268" s="130"/>
      <c r="AJ1268" s="130"/>
      <c r="AK1268" s="130"/>
      <c r="AL1268" s="130"/>
      <c r="AM1268" s="651"/>
    </row>
    <row r="1269" spans="2:39" s="83" customFormat="1">
      <c r="B1269" s="95" t="s">
        <v>64</v>
      </c>
      <c r="C1269" s="96" t="s">
        <v>65</v>
      </c>
      <c r="D1269" s="119" t="s">
        <v>179</v>
      </c>
      <c r="E1269" s="119"/>
      <c r="F1269" s="119"/>
      <c r="G1269" s="325">
        <f t="shared" ref="G1269:U1269" si="1029">G73+G515+G974+G1109+G1230</f>
        <v>-449</v>
      </c>
      <c r="H1269" s="325">
        <f t="shared" si="1029"/>
        <v>-475</v>
      </c>
      <c r="I1269" s="325">
        <f t="shared" si="1029"/>
        <v>-566</v>
      </c>
      <c r="J1269" s="325">
        <f t="shared" si="1029"/>
        <v>-377</v>
      </c>
      <c r="K1269" s="325">
        <f t="shared" si="1029"/>
        <v>-456</v>
      </c>
      <c r="L1269" s="326">
        <f t="shared" si="1029"/>
        <v>-136</v>
      </c>
      <c r="M1269" s="326">
        <f t="shared" si="1029"/>
        <v>-167</v>
      </c>
      <c r="N1269" s="326">
        <f t="shared" si="1029"/>
        <v>673</v>
      </c>
      <c r="O1269" s="326">
        <f t="shared" si="1029"/>
        <v>-172</v>
      </c>
      <c r="P1269" s="325">
        <f t="shared" si="1029"/>
        <v>198</v>
      </c>
      <c r="Q1269" s="326">
        <f t="shared" si="1029"/>
        <v>-80</v>
      </c>
      <c r="R1269" s="326">
        <f t="shared" si="1029"/>
        <v>-267</v>
      </c>
      <c r="S1269" s="326">
        <f t="shared" si="1029"/>
        <v>-186</v>
      </c>
      <c r="T1269" s="326">
        <f t="shared" si="1029"/>
        <v>-267</v>
      </c>
      <c r="U1269" s="325">
        <f t="shared" si="1029"/>
        <v>-800</v>
      </c>
      <c r="V1269" s="326">
        <f>V73+V515+V974+V1109+V1230</f>
        <v>-102</v>
      </c>
      <c r="W1269" s="326">
        <f>W73+W515+W974+W1109+W1230</f>
        <v>-311</v>
      </c>
      <c r="X1269" s="326">
        <f>X73+X515+X974+X1109+X1230</f>
        <v>-180</v>
      </c>
      <c r="Y1269" s="326">
        <f>Y73+Y515+Y974+Y1109+Y1230</f>
        <v>-406</v>
      </c>
      <c r="Z1269" s="94">
        <f>SUM(V1269:Y1269)</f>
        <v>-999</v>
      </c>
      <c r="AA1269" s="326">
        <f>AA73+AA515+AA974+AA1109+AA1230</f>
        <v>-125.5</v>
      </c>
      <c r="AB1269" s="326">
        <f>AB73+AB515+AB974+AB1109+AB1230</f>
        <v>-137.16666666666666</v>
      </c>
      <c r="AC1269" s="326">
        <f>AC73+AC515+AC974+AC1109+AC1230</f>
        <v>-368.16666666666669</v>
      </c>
      <c r="AD1269" s="326">
        <f>AD73+AD515+AD974+AD1109+AD1230</f>
        <v>-368.16666666666669</v>
      </c>
      <c r="AE1269" s="94">
        <f>SUM(AA1269:AD1269)</f>
        <v>-999</v>
      </c>
      <c r="AF1269" s="325">
        <f>AF73+AF515+AF974+AF1109+AF1230</f>
        <v>-999</v>
      </c>
      <c r="AG1269" s="325">
        <f t="shared" ref="AG1269:AL1269" si="1030">AG73+AG515+AG974+AG1109+AG1230</f>
        <v>-660</v>
      </c>
      <c r="AH1269" s="325">
        <f t="shared" si="1030"/>
        <v>-635</v>
      </c>
      <c r="AI1269" s="325">
        <f t="shared" si="1030"/>
        <v>-866</v>
      </c>
      <c r="AJ1269" s="325">
        <f t="shared" si="1030"/>
        <v>-866</v>
      </c>
      <c r="AK1269" s="325">
        <f t="shared" si="1030"/>
        <v>-999</v>
      </c>
      <c r="AL1269" s="325">
        <f t="shared" si="1030"/>
        <v>-999</v>
      </c>
      <c r="AM1269" s="651"/>
    </row>
    <row r="1270" spans="2:39" s="83" customFormat="1">
      <c r="B1270" s="95" t="s">
        <v>64</v>
      </c>
      <c r="C1270" s="96" t="s">
        <v>65</v>
      </c>
      <c r="D1270" s="84" t="s">
        <v>190</v>
      </c>
      <c r="E1270" s="119"/>
      <c r="F1270" s="119"/>
      <c r="G1270" s="94">
        <f t="shared" ref="G1270:V1270" si="1031">G72+G516+G975+G1110</f>
        <v>0</v>
      </c>
      <c r="H1270" s="94">
        <f t="shared" si="1031"/>
        <v>-12</v>
      </c>
      <c r="I1270" s="94">
        <f t="shared" si="1031"/>
        <v>-3631</v>
      </c>
      <c r="J1270" s="94">
        <f t="shared" si="1031"/>
        <v>-294</v>
      </c>
      <c r="K1270" s="94">
        <f t="shared" si="1031"/>
        <v>160</v>
      </c>
      <c r="L1270" s="101">
        <f t="shared" si="1031"/>
        <v>0</v>
      </c>
      <c r="M1270" s="101">
        <f t="shared" si="1031"/>
        <v>0</v>
      </c>
      <c r="N1270" s="101">
        <f t="shared" si="1031"/>
        <v>0</v>
      </c>
      <c r="O1270" s="101">
        <f t="shared" si="1031"/>
        <v>-41</v>
      </c>
      <c r="P1270" s="94">
        <f t="shared" si="1031"/>
        <v>-41</v>
      </c>
      <c r="Q1270" s="101">
        <f t="shared" si="1031"/>
        <v>0</v>
      </c>
      <c r="R1270" s="101">
        <f t="shared" si="1031"/>
        <v>-181.33333333333334</v>
      </c>
      <c r="S1270" s="101">
        <f t="shared" si="1031"/>
        <v>-10.333333333333332</v>
      </c>
      <c r="T1270" s="101">
        <f t="shared" si="1031"/>
        <v>-2498.3333333333335</v>
      </c>
      <c r="U1270" s="94">
        <f t="shared" si="1031"/>
        <v>-2690</v>
      </c>
      <c r="V1270" s="101">
        <f t="shared" si="1031"/>
        <v>-647</v>
      </c>
      <c r="W1270" s="101">
        <f>W72+W516+W975+W1110</f>
        <v>0</v>
      </c>
      <c r="X1270" s="101">
        <f>X72+X516+X975+X1110</f>
        <v>0</v>
      </c>
      <c r="Y1270" s="101">
        <f>Y72+Y516+Y975+Y1110</f>
        <v>-597</v>
      </c>
      <c r="Z1270" s="94">
        <f>SUM(V1270:Y1270)</f>
        <v>-1244</v>
      </c>
      <c r="AA1270" s="101">
        <f>AA72+AA516+AA975+AA1110</f>
        <v>0</v>
      </c>
      <c r="AB1270" s="101">
        <f>AB72+AB516+AB975+AB1110</f>
        <v>0</v>
      </c>
      <c r="AC1270" s="101">
        <f>AC72+AC516+AC975+AC1110</f>
        <v>0</v>
      </c>
      <c r="AD1270" s="101">
        <f>AD72+AD516+AD975+AD1110</f>
        <v>0</v>
      </c>
      <c r="AE1270" s="94">
        <f>SUM(AA1270:AD1270)</f>
        <v>0</v>
      </c>
      <c r="AF1270" s="94">
        <f t="shared" ref="AF1270:AL1270" si="1032">AF72+AF516+AF975+AF1110</f>
        <v>0</v>
      </c>
      <c r="AG1270" s="94">
        <f t="shared" si="1032"/>
        <v>0</v>
      </c>
      <c r="AH1270" s="94">
        <f t="shared" si="1032"/>
        <v>0</v>
      </c>
      <c r="AI1270" s="94">
        <f t="shared" si="1032"/>
        <v>0</v>
      </c>
      <c r="AJ1270" s="94">
        <f t="shared" si="1032"/>
        <v>0</v>
      </c>
      <c r="AK1270" s="94">
        <f t="shared" si="1032"/>
        <v>0</v>
      </c>
      <c r="AL1270" s="94">
        <f t="shared" si="1032"/>
        <v>0</v>
      </c>
      <c r="AM1270" s="651"/>
    </row>
    <row r="1271" spans="2:39" s="83" customFormat="1">
      <c r="B1271" s="95" t="s">
        <v>64</v>
      </c>
      <c r="C1271" s="96" t="s">
        <v>65</v>
      </c>
      <c r="D1271" s="83" t="s">
        <v>252</v>
      </c>
      <c r="E1271" s="119"/>
      <c r="F1271" s="119"/>
      <c r="G1271" s="325"/>
      <c r="H1271" s="325"/>
      <c r="I1271" s="325"/>
      <c r="J1271" s="325"/>
      <c r="L1271" s="140"/>
      <c r="M1271" s="140"/>
      <c r="N1271" s="140"/>
      <c r="O1271" s="140"/>
      <c r="Q1271" s="140"/>
      <c r="R1271" s="140"/>
      <c r="S1271" s="140"/>
      <c r="T1271" s="140"/>
      <c r="V1271" s="140"/>
      <c r="W1271" s="140"/>
      <c r="X1271" s="140"/>
      <c r="Y1271" s="140"/>
      <c r="AA1271" s="140"/>
      <c r="AB1271" s="140"/>
      <c r="AC1271" s="140"/>
      <c r="AD1271" s="140"/>
      <c r="AM1271" s="651"/>
    </row>
    <row r="1272" spans="2:39" s="83" customFormat="1">
      <c r="B1272" s="95" t="s">
        <v>64</v>
      </c>
      <c r="C1272" s="96" t="s">
        <v>65</v>
      </c>
      <c r="D1272" s="83" t="s">
        <v>164</v>
      </c>
      <c r="E1272" s="119"/>
      <c r="F1272" s="119"/>
      <c r="G1272" s="325">
        <f t="shared" ref="G1272:V1272" si="1033">G74+G517+G976+G1111+G1231</f>
        <v>1986</v>
      </c>
      <c r="H1272" s="325">
        <f t="shared" si="1033"/>
        <v>1051</v>
      </c>
      <c r="I1272" s="325">
        <f t="shared" si="1033"/>
        <v>-2922</v>
      </c>
      <c r="J1272" s="325">
        <f t="shared" si="1033"/>
        <v>1725</v>
      </c>
      <c r="K1272" s="325">
        <f t="shared" si="1033"/>
        <v>4271</v>
      </c>
      <c r="L1272" s="326">
        <f t="shared" si="1033"/>
        <v>1225</v>
      </c>
      <c r="M1272" s="326">
        <f t="shared" si="1033"/>
        <v>1074</v>
      </c>
      <c r="N1272" s="326">
        <f t="shared" si="1033"/>
        <v>1681</v>
      </c>
      <c r="O1272" s="326">
        <f t="shared" si="1033"/>
        <v>799</v>
      </c>
      <c r="P1272" s="325">
        <f t="shared" si="1033"/>
        <v>4778</v>
      </c>
      <c r="Q1272" s="326">
        <f t="shared" si="1033"/>
        <v>984</v>
      </c>
      <c r="R1272" s="326">
        <f t="shared" si="1033"/>
        <v>633.66666666666663</v>
      </c>
      <c r="S1272" s="326">
        <f t="shared" si="1033"/>
        <v>599.66666666666674</v>
      </c>
      <c r="T1272" s="326">
        <f t="shared" si="1033"/>
        <v>-2313.3333333333335</v>
      </c>
      <c r="U1272" s="325">
        <f t="shared" si="1033"/>
        <v>-150</v>
      </c>
      <c r="V1272" s="326">
        <f t="shared" si="1033"/>
        <v>-350</v>
      </c>
      <c r="W1272" s="326">
        <f>W74+W517+W976+W1111+W1231</f>
        <v>-173</v>
      </c>
      <c r="X1272" s="326">
        <f>X74+X517+X976+X1111+X1231</f>
        <v>111</v>
      </c>
      <c r="Y1272" s="326">
        <f ca="1">Y74+Y517+Y976+Y1111+Y1231</f>
        <v>0</v>
      </c>
      <c r="Z1272" s="94" t="e">
        <f ca="1">SUM(V1272:Y1272)</f>
        <v>#VALUE!</v>
      </c>
      <c r="AA1272" s="326">
        <f ca="1">AA74+AA517+AA976+AA1111+AA1231</f>
        <v>741.12545046712785</v>
      </c>
      <c r="AB1272" s="326">
        <f ca="1">AB74+AB517+AB976+AB1111+AB1231</f>
        <v>686.04198329427948</v>
      </c>
      <c r="AC1272" s="326">
        <f ca="1">AC74+AC517+AC976+AC1111+AC1231</f>
        <v>844.79673229235368</v>
      </c>
      <c r="AD1272" s="326">
        <f ca="1">AD74+AD517+AD976+AD1111+AD1231</f>
        <v>932.3283831480461</v>
      </c>
      <c r="AE1272" s="94">
        <f ca="1">SUM(AA1272:AD1272)</f>
        <v>3204.2925492018071</v>
      </c>
      <c r="AF1272" s="325">
        <f t="shared" ref="AF1272:AL1272" ca="1" si="1034">AF74+AF517+AF976+AF1111+AF1231</f>
        <v>3026.3045266814024</v>
      </c>
      <c r="AG1272" s="325">
        <f t="shared" ca="1" si="1034"/>
        <v>3511.1285190555027</v>
      </c>
      <c r="AH1272" s="325">
        <f t="shared" ca="1" si="1034"/>
        <v>3770.9564129645273</v>
      </c>
      <c r="AI1272" s="325">
        <f t="shared" ca="1" si="1034"/>
        <v>4052.3422441184839</v>
      </c>
      <c r="AJ1272" s="325">
        <f t="shared" ca="1" si="1034"/>
        <v>4149.3718410681249</v>
      </c>
      <c r="AK1272" s="325">
        <f t="shared" ca="1" si="1034"/>
        <v>3907.1218410681249</v>
      </c>
      <c r="AL1272" s="325">
        <f t="shared" ca="1" si="1034"/>
        <v>3907.1218410681249</v>
      </c>
      <c r="AM1272" s="651"/>
    </row>
    <row r="1273" spans="2:39" s="83" customFormat="1">
      <c r="B1273" s="95" t="s">
        <v>64</v>
      </c>
      <c r="C1273" s="96" t="s">
        <v>65</v>
      </c>
      <c r="D1273" s="103" t="s">
        <v>233</v>
      </c>
      <c r="E1273" s="119"/>
      <c r="F1273" s="119"/>
      <c r="G1273" s="325">
        <f>G1272-G1270</f>
        <v>1986</v>
      </c>
      <c r="H1273" s="325">
        <f t="shared" ref="H1273:V1273" si="1035">H1272-H1270</f>
        <v>1063</v>
      </c>
      <c r="I1273" s="325">
        <f t="shared" si="1035"/>
        <v>709</v>
      </c>
      <c r="J1273" s="325">
        <f t="shared" si="1035"/>
        <v>2019</v>
      </c>
      <c r="K1273" s="325">
        <f t="shared" si="1035"/>
        <v>4111</v>
      </c>
      <c r="L1273" s="326">
        <f t="shared" si="1035"/>
        <v>1225</v>
      </c>
      <c r="M1273" s="326">
        <f t="shared" si="1035"/>
        <v>1074</v>
      </c>
      <c r="N1273" s="326">
        <f t="shared" si="1035"/>
        <v>1681</v>
      </c>
      <c r="O1273" s="326">
        <f t="shared" si="1035"/>
        <v>840</v>
      </c>
      <c r="P1273" s="325">
        <f t="shared" si="1035"/>
        <v>4819</v>
      </c>
      <c r="Q1273" s="326">
        <f t="shared" si="1035"/>
        <v>984</v>
      </c>
      <c r="R1273" s="326">
        <f t="shared" si="1035"/>
        <v>815</v>
      </c>
      <c r="S1273" s="326">
        <f t="shared" si="1035"/>
        <v>610.00000000000011</v>
      </c>
      <c r="T1273" s="326">
        <f t="shared" si="1035"/>
        <v>185</v>
      </c>
      <c r="U1273" s="325">
        <f t="shared" si="1035"/>
        <v>2540</v>
      </c>
      <c r="V1273" s="326">
        <f t="shared" si="1035"/>
        <v>297</v>
      </c>
      <c r="W1273" s="326">
        <f>W1272-W1270</f>
        <v>-173</v>
      </c>
      <c r="X1273" s="326">
        <f>X1272-X1270</f>
        <v>111</v>
      </c>
      <c r="Y1273" s="326">
        <f ca="1">Y1272-Y1270</f>
        <v>596.79942647999997</v>
      </c>
      <c r="Z1273" s="94" t="e">
        <f ca="1">SUM(V1273:Y1273)</f>
        <v>#VALUE!</v>
      </c>
      <c r="AA1273" s="326">
        <f ca="1">AA1272-AA1270</f>
        <v>741.12545046712785</v>
      </c>
      <c r="AB1273" s="326">
        <f ca="1">AB1272-AB1270</f>
        <v>686.04198329427948</v>
      </c>
      <c r="AC1273" s="326">
        <f ca="1">AC1272-AC1270</f>
        <v>844.79673229235368</v>
      </c>
      <c r="AD1273" s="326">
        <f ca="1">AD1272-AD1270</f>
        <v>932.3283831480461</v>
      </c>
      <c r="AE1273" s="94">
        <f ca="1">SUM(AA1273:AD1273)</f>
        <v>3204.2925492018071</v>
      </c>
      <c r="AF1273" s="325">
        <f t="shared" ref="AF1273:AL1273" ca="1" si="1036">AF1272-AF1270</f>
        <v>3026.3045266814024</v>
      </c>
      <c r="AG1273" s="325">
        <f t="shared" ca="1" si="1036"/>
        <v>3511.1285190555027</v>
      </c>
      <c r="AH1273" s="325">
        <f t="shared" ca="1" si="1036"/>
        <v>3770.9564129645273</v>
      </c>
      <c r="AI1273" s="325">
        <f t="shared" ca="1" si="1036"/>
        <v>4052.3422441184839</v>
      </c>
      <c r="AJ1273" s="325">
        <f t="shared" ca="1" si="1036"/>
        <v>4149.3718410681249</v>
      </c>
      <c r="AK1273" s="325">
        <f t="shared" ca="1" si="1036"/>
        <v>3907.1218410681249</v>
      </c>
      <c r="AL1273" s="325">
        <f t="shared" ca="1" si="1036"/>
        <v>3907.1218410681249</v>
      </c>
      <c r="AM1273" s="651"/>
    </row>
    <row r="1274" spans="2:39" s="83" customFormat="1">
      <c r="K1274" s="325"/>
      <c r="L1274" s="326"/>
      <c r="M1274" s="326"/>
      <c r="N1274" s="326"/>
      <c r="O1274" s="326"/>
      <c r="P1274" s="325"/>
      <c r="Q1274" s="326"/>
      <c r="R1274" s="326"/>
      <c r="S1274" s="326"/>
      <c r="T1274" s="326"/>
      <c r="U1274" s="325"/>
      <c r="V1274" s="326"/>
      <c r="W1274" s="326"/>
      <c r="X1274" s="326"/>
      <c r="Y1274" s="326"/>
      <c r="Z1274" s="94"/>
      <c r="AA1274" s="326"/>
      <c r="AB1274" s="326"/>
      <c r="AC1274" s="326"/>
      <c r="AD1274" s="326"/>
      <c r="AE1274" s="94"/>
      <c r="AF1274" s="325"/>
      <c r="AG1274" s="325"/>
      <c r="AH1274" s="325"/>
      <c r="AI1274" s="325"/>
      <c r="AJ1274" s="325"/>
      <c r="AK1274" s="325"/>
      <c r="AL1274" s="325"/>
      <c r="AM1274" s="651"/>
    </row>
    <row r="1275" spans="2:39" s="83" customFormat="1">
      <c r="B1275" s="95" t="s">
        <v>64</v>
      </c>
      <c r="C1275" s="96" t="s">
        <v>65</v>
      </c>
      <c r="D1275" s="134" t="s">
        <v>165</v>
      </c>
      <c r="E1275" s="134"/>
      <c r="G1275" s="94">
        <f t="shared" ref="G1275:V1275" si="1037">G75+G518+G977+G1112+G1232</f>
        <v>-326</v>
      </c>
      <c r="H1275" s="94">
        <f t="shared" si="1037"/>
        <v>-300</v>
      </c>
      <c r="I1275" s="94">
        <f t="shared" si="1037"/>
        <v>-311</v>
      </c>
      <c r="J1275" s="94">
        <f t="shared" si="1037"/>
        <v>-338</v>
      </c>
      <c r="K1275" s="94">
        <f t="shared" si="1037"/>
        <v>-212</v>
      </c>
      <c r="L1275" s="101">
        <f t="shared" si="1037"/>
        <v>-39</v>
      </c>
      <c r="M1275" s="101">
        <f t="shared" si="1037"/>
        <v>-48</v>
      </c>
      <c r="N1275" s="101">
        <f t="shared" si="1037"/>
        <v>-74</v>
      </c>
      <c r="O1275" s="101">
        <f t="shared" si="1037"/>
        <v>-58</v>
      </c>
      <c r="P1275" s="94">
        <f t="shared" si="1037"/>
        <v>-219</v>
      </c>
      <c r="Q1275" s="101">
        <f t="shared" si="1037"/>
        <v>-54</v>
      </c>
      <c r="R1275" s="101">
        <f t="shared" si="1037"/>
        <v>-62</v>
      </c>
      <c r="S1275" s="101">
        <f t="shared" si="1037"/>
        <v>-56</v>
      </c>
      <c r="T1275" s="101">
        <f t="shared" si="1037"/>
        <v>-46</v>
      </c>
      <c r="U1275" s="94">
        <f t="shared" si="1037"/>
        <v>-218</v>
      </c>
      <c r="V1275" s="101">
        <f t="shared" si="1037"/>
        <v>-47</v>
      </c>
      <c r="W1275" s="101">
        <f t="shared" ref="W1275:Y1276" si="1038">W75+W518+W977+W1112+W1232</f>
        <v>-114</v>
      </c>
      <c r="X1275" s="101">
        <f t="shared" si="1038"/>
        <v>-63</v>
      </c>
      <c r="Y1275" s="101">
        <f t="shared" si="1038"/>
        <v>-44</v>
      </c>
      <c r="Z1275" s="94">
        <f>SUM(V1275:Y1275)</f>
        <v>-268</v>
      </c>
      <c r="AA1275" s="101">
        <f t="shared" ref="AA1275:AD1276" si="1039">AA75+AA518+AA977+AA1112+AA1232</f>
        <v>-56.25</v>
      </c>
      <c r="AB1275" s="101">
        <f t="shared" si="1039"/>
        <v>-56.25</v>
      </c>
      <c r="AC1275" s="101">
        <f t="shared" si="1039"/>
        <v>-77.75</v>
      </c>
      <c r="AD1275" s="101">
        <f t="shared" si="1039"/>
        <v>-77.75</v>
      </c>
      <c r="AE1275" s="94">
        <f>SUM(AA1275:AD1275)</f>
        <v>-268</v>
      </c>
      <c r="AF1275" s="94">
        <f t="shared" ref="AF1275:AL1275" si="1040">AF75+AF518+AF977+AF1112+AF1232</f>
        <v>-268</v>
      </c>
      <c r="AG1275" s="94">
        <f t="shared" si="1040"/>
        <v>-144</v>
      </c>
      <c r="AH1275" s="94">
        <f t="shared" si="1040"/>
        <v>-144</v>
      </c>
      <c r="AI1275" s="94">
        <f t="shared" si="1040"/>
        <v>-165.5</v>
      </c>
      <c r="AJ1275" s="94">
        <f t="shared" si="1040"/>
        <v>-165.5</v>
      </c>
      <c r="AK1275" s="94">
        <f t="shared" si="1040"/>
        <v>-268</v>
      </c>
      <c r="AL1275" s="94">
        <f t="shared" si="1040"/>
        <v>-268</v>
      </c>
      <c r="AM1275" s="651"/>
    </row>
    <row r="1276" spans="2:39" s="83" customFormat="1">
      <c r="B1276" s="95" t="s">
        <v>64</v>
      </c>
      <c r="C1276" s="96" t="s">
        <v>65</v>
      </c>
      <c r="D1276" s="134" t="s">
        <v>175</v>
      </c>
      <c r="E1276" s="134"/>
      <c r="G1276" s="94">
        <f t="shared" ref="G1276:V1276" si="1041">G76+G519+G978+G1113+G1233</f>
        <v>-6</v>
      </c>
      <c r="H1276" s="94">
        <f t="shared" si="1041"/>
        <v>-21</v>
      </c>
      <c r="I1276" s="94">
        <f t="shared" si="1041"/>
        <v>-89</v>
      </c>
      <c r="J1276" s="94">
        <f t="shared" si="1041"/>
        <v>239</v>
      </c>
      <c r="K1276" s="94">
        <f t="shared" si="1041"/>
        <v>-151</v>
      </c>
      <c r="L1276" s="101">
        <f t="shared" si="1041"/>
        <v>-12</v>
      </c>
      <c r="M1276" s="101">
        <f t="shared" si="1041"/>
        <v>-12</v>
      </c>
      <c r="N1276" s="101">
        <f t="shared" si="1041"/>
        <v>12</v>
      </c>
      <c r="O1276" s="101">
        <f t="shared" si="1041"/>
        <v>-40</v>
      </c>
      <c r="P1276" s="94">
        <f t="shared" si="1041"/>
        <v>-52</v>
      </c>
      <c r="Q1276" s="101">
        <f t="shared" si="1041"/>
        <v>75</v>
      </c>
      <c r="R1276" s="101">
        <f t="shared" si="1041"/>
        <v>-181</v>
      </c>
      <c r="S1276" s="101">
        <f t="shared" si="1041"/>
        <v>1</v>
      </c>
      <c r="T1276" s="101">
        <f t="shared" si="1041"/>
        <v>8</v>
      </c>
      <c r="U1276" s="94">
        <f t="shared" si="1041"/>
        <v>-97</v>
      </c>
      <c r="V1276" s="101">
        <f t="shared" si="1041"/>
        <v>22</v>
      </c>
      <c r="W1276" s="101">
        <f t="shared" si="1038"/>
        <v>34</v>
      </c>
      <c r="X1276" s="101">
        <f t="shared" si="1038"/>
        <v>-3</v>
      </c>
      <c r="Y1276" s="101">
        <f t="shared" ca="1" si="1038"/>
        <v>-155</v>
      </c>
      <c r="Z1276" s="94">
        <f ca="1">SUM(V1276:Y1276)</f>
        <v>-102</v>
      </c>
      <c r="AA1276" s="101">
        <f t="shared" si="1039"/>
        <v>-58.75</v>
      </c>
      <c r="AB1276" s="101">
        <f t="shared" si="1039"/>
        <v>-23.75</v>
      </c>
      <c r="AC1276" s="101">
        <f t="shared" si="1039"/>
        <v>62.75</v>
      </c>
      <c r="AD1276" s="101">
        <f t="shared" si="1039"/>
        <v>62.75</v>
      </c>
      <c r="AE1276" s="94">
        <f>SUM(AA1276:AD1276)</f>
        <v>43</v>
      </c>
      <c r="AF1276" s="94">
        <f t="shared" ref="AF1276:AL1276" si="1042">AF76+AF519+AF978+AF1113+AF1233</f>
        <v>43</v>
      </c>
      <c r="AG1276" s="94">
        <f t="shared" si="1042"/>
        <v>-54</v>
      </c>
      <c r="AH1276" s="94">
        <f t="shared" si="1042"/>
        <v>-18</v>
      </c>
      <c r="AI1276" s="94">
        <f t="shared" si="1042"/>
        <v>69.5</v>
      </c>
      <c r="AJ1276" s="94">
        <f t="shared" si="1042"/>
        <v>70.5</v>
      </c>
      <c r="AK1276" s="94">
        <f t="shared" si="1042"/>
        <v>48</v>
      </c>
      <c r="AL1276" s="94">
        <f t="shared" si="1042"/>
        <v>49</v>
      </c>
      <c r="AM1276" s="651"/>
    </row>
    <row r="1277" spans="2:39" s="83" customFormat="1">
      <c r="B1277" s="95" t="s">
        <v>64</v>
      </c>
      <c r="C1277" s="96" t="s">
        <v>65</v>
      </c>
      <c r="D1277" s="83" t="s">
        <v>191</v>
      </c>
      <c r="G1277" s="94">
        <f t="shared" ref="G1277:V1277" si="1043">G520+G1234</f>
        <v>-2</v>
      </c>
      <c r="H1277" s="94">
        <f t="shared" si="1043"/>
        <v>-3</v>
      </c>
      <c r="I1277" s="94">
        <f t="shared" si="1043"/>
        <v>-2</v>
      </c>
      <c r="J1277" s="94">
        <f t="shared" si="1043"/>
        <v>2</v>
      </c>
      <c r="K1277" s="94">
        <f t="shared" si="1043"/>
        <v>6</v>
      </c>
      <c r="L1277" s="101">
        <f t="shared" si="1043"/>
        <v>0</v>
      </c>
      <c r="M1277" s="101">
        <f t="shared" si="1043"/>
        <v>-2</v>
      </c>
      <c r="N1277" s="101">
        <f t="shared" si="1043"/>
        <v>-1</v>
      </c>
      <c r="O1277" s="101">
        <f t="shared" si="1043"/>
        <v>0</v>
      </c>
      <c r="P1277" s="94">
        <f t="shared" si="1043"/>
        <v>-3</v>
      </c>
      <c r="Q1277" s="101">
        <f t="shared" si="1043"/>
        <v>0</v>
      </c>
      <c r="R1277" s="101">
        <f t="shared" si="1043"/>
        <v>-0.33333333333333331</v>
      </c>
      <c r="S1277" s="101">
        <f t="shared" si="1043"/>
        <v>-2</v>
      </c>
      <c r="T1277" s="101">
        <f t="shared" si="1043"/>
        <v>-0.66666666666666674</v>
      </c>
      <c r="U1277" s="94">
        <f t="shared" si="1043"/>
        <v>-3</v>
      </c>
      <c r="V1277" s="101">
        <f t="shared" si="1043"/>
        <v>-4</v>
      </c>
      <c r="W1277" s="101">
        <f>W520+W1234</f>
        <v>1</v>
      </c>
      <c r="X1277" s="101">
        <f ca="1">X520+X1234</f>
        <v>-1</v>
      </c>
      <c r="Y1277" s="101">
        <f>Y520+Y1234</f>
        <v>3</v>
      </c>
      <c r="Z1277" s="94">
        <f ca="1">SUM(V1277:Y1277)</f>
        <v>-1</v>
      </c>
      <c r="AA1277" s="101">
        <f ca="1">AA520+AA1234</f>
        <v>0</v>
      </c>
      <c r="AB1277" s="101">
        <f ca="1">AB520+AB1234</f>
        <v>0</v>
      </c>
      <c r="AC1277" s="101">
        <f ca="1">AC520+AC1234</f>
        <v>0</v>
      </c>
      <c r="AD1277" s="101">
        <f ca="1">AD520+AD1234</f>
        <v>0</v>
      </c>
      <c r="AE1277" s="94">
        <f ca="1">SUM(AA1277:AD1277)</f>
        <v>0</v>
      </c>
      <c r="AF1277" s="94">
        <f t="shared" ref="AF1277:AL1277" ca="1" si="1044">AF520+AF1234</f>
        <v>0</v>
      </c>
      <c r="AG1277" s="94">
        <f t="shared" ca="1" si="1044"/>
        <v>-0.75</v>
      </c>
      <c r="AH1277" s="94">
        <f t="shared" ca="1" si="1044"/>
        <v>-0.75</v>
      </c>
      <c r="AI1277" s="94">
        <f t="shared" ca="1" si="1044"/>
        <v>-0.75</v>
      </c>
      <c r="AJ1277" s="94">
        <f t="shared" ca="1" si="1044"/>
        <v>-0.75</v>
      </c>
      <c r="AK1277" s="94">
        <f t="shared" ca="1" si="1044"/>
        <v>0</v>
      </c>
      <c r="AL1277" s="94">
        <f t="shared" ca="1" si="1044"/>
        <v>0</v>
      </c>
      <c r="AM1277" s="651"/>
    </row>
    <row r="1278" spans="2:39" s="83" customFormat="1">
      <c r="B1278" s="95" t="s">
        <v>64</v>
      </c>
      <c r="C1278" s="96" t="s">
        <v>65</v>
      </c>
      <c r="D1278" s="83" t="s">
        <v>234</v>
      </c>
      <c r="G1278" s="94">
        <f>G1272+G1275+G1276+G1277</f>
        <v>1652</v>
      </c>
      <c r="H1278" s="94">
        <f>H1272+H1275+H1276+H1277</f>
        <v>727</v>
      </c>
      <c r="I1278" s="94">
        <f>I1272+I1275+I1276+I1277</f>
        <v>-3324</v>
      </c>
      <c r="J1278" s="94">
        <f t="shared" ref="J1278:V1278" si="1045">J1272+J1275+J1276+J1277</f>
        <v>1628</v>
      </c>
      <c r="K1278" s="94">
        <f t="shared" si="1045"/>
        <v>3914</v>
      </c>
      <c r="L1278" s="101">
        <f t="shared" si="1045"/>
        <v>1174</v>
      </c>
      <c r="M1278" s="101">
        <f t="shared" si="1045"/>
        <v>1012</v>
      </c>
      <c r="N1278" s="101">
        <f t="shared" si="1045"/>
        <v>1618</v>
      </c>
      <c r="O1278" s="101">
        <f t="shared" si="1045"/>
        <v>701</v>
      </c>
      <c r="P1278" s="94">
        <f t="shared" si="1045"/>
        <v>4504</v>
      </c>
      <c r="Q1278" s="101">
        <f t="shared" si="1045"/>
        <v>1005</v>
      </c>
      <c r="R1278" s="101">
        <f t="shared" si="1045"/>
        <v>390.33333333333331</v>
      </c>
      <c r="S1278" s="101">
        <f t="shared" si="1045"/>
        <v>542.66666666666674</v>
      </c>
      <c r="T1278" s="101">
        <f t="shared" si="1045"/>
        <v>-2352</v>
      </c>
      <c r="U1278" s="94">
        <f t="shared" si="1045"/>
        <v>-468</v>
      </c>
      <c r="V1278" s="101">
        <f t="shared" si="1045"/>
        <v>-379</v>
      </c>
      <c r="W1278" s="101">
        <f>W1272+W1275+W1276+W1277</f>
        <v>-252</v>
      </c>
      <c r="X1278" s="101">
        <f ca="1">X1272+X1275+X1276+X1277</f>
        <v>44</v>
      </c>
      <c r="Y1278" s="101">
        <f ca="1">Y1272+Y1275+Y1276+Y1277</f>
        <v>223.79942647999997</v>
      </c>
      <c r="Z1278" s="94" t="e">
        <f ca="1">SUM(V1278:Y1278)</f>
        <v>#VALUE!</v>
      </c>
      <c r="AA1278" s="101">
        <f ca="1">AA1272+AA1275+AA1276+AA1277</f>
        <v>654.87545046712785</v>
      </c>
      <c r="AB1278" s="101">
        <f ca="1">AB1272+AB1275+AB1276+AB1277</f>
        <v>599.79198329427948</v>
      </c>
      <c r="AC1278" s="101">
        <f ca="1">AC1272+AC1275+AC1276+AC1277</f>
        <v>758.54673229235368</v>
      </c>
      <c r="AD1278" s="101">
        <f ca="1">AD1272+AD1275+AD1276+AD1277</f>
        <v>846.0783831480461</v>
      </c>
      <c r="AE1278" s="94">
        <f ca="1">SUM(AA1278:AD1278)</f>
        <v>2859.2925492018071</v>
      </c>
      <c r="AF1278" s="94">
        <f t="shared" ref="AF1278:AL1278" ca="1" si="1046">AF1272+AF1275+AF1276+AF1277</f>
        <v>2681.3045266814024</v>
      </c>
      <c r="AG1278" s="94">
        <f t="shared" ca="1" si="1046"/>
        <v>3251.1285190555027</v>
      </c>
      <c r="AH1278" s="94">
        <f t="shared" ca="1" si="1046"/>
        <v>3511.9564129645273</v>
      </c>
      <c r="AI1278" s="94">
        <f t="shared" ca="1" si="1046"/>
        <v>3794.3422441184839</v>
      </c>
      <c r="AJ1278" s="94">
        <f t="shared" ca="1" si="1046"/>
        <v>3892.3718410681249</v>
      </c>
      <c r="AK1278" s="94">
        <f t="shared" ca="1" si="1046"/>
        <v>3567.1218410681249</v>
      </c>
      <c r="AL1278" s="94">
        <f t="shared" ca="1" si="1046"/>
        <v>3568.1218410681249</v>
      </c>
      <c r="AM1278" s="651"/>
    </row>
    <row r="1279" spans="2:39" s="83" customFormat="1">
      <c r="B1279" s="95" t="s">
        <v>64</v>
      </c>
      <c r="C1279" s="96" t="s">
        <v>65</v>
      </c>
      <c r="D1279" s="103" t="s">
        <v>235</v>
      </c>
      <c r="E1279" s="103"/>
      <c r="F1279" s="103"/>
      <c r="G1279" s="116">
        <f>G1273+G1275+G1276+G1277</f>
        <v>1652</v>
      </c>
      <c r="H1279" s="116">
        <f t="shared" ref="H1279:V1279" si="1047">H1273+H1275+H1276+H1277</f>
        <v>739</v>
      </c>
      <c r="I1279" s="116">
        <f t="shared" si="1047"/>
        <v>307</v>
      </c>
      <c r="J1279" s="116">
        <f t="shared" si="1047"/>
        <v>1922</v>
      </c>
      <c r="K1279" s="116">
        <f t="shared" si="1047"/>
        <v>3754</v>
      </c>
      <c r="L1279" s="117">
        <f t="shared" si="1047"/>
        <v>1174</v>
      </c>
      <c r="M1279" s="117">
        <f t="shared" si="1047"/>
        <v>1012</v>
      </c>
      <c r="N1279" s="117">
        <f t="shared" si="1047"/>
        <v>1618</v>
      </c>
      <c r="O1279" s="117">
        <f t="shared" si="1047"/>
        <v>742</v>
      </c>
      <c r="P1279" s="116">
        <f t="shared" si="1047"/>
        <v>4545</v>
      </c>
      <c r="Q1279" s="117">
        <f t="shared" si="1047"/>
        <v>1005</v>
      </c>
      <c r="R1279" s="117">
        <f t="shared" si="1047"/>
        <v>571.66666666666663</v>
      </c>
      <c r="S1279" s="117">
        <f t="shared" si="1047"/>
        <v>553.00000000000011</v>
      </c>
      <c r="T1279" s="117">
        <f t="shared" si="1047"/>
        <v>146.33333333333334</v>
      </c>
      <c r="U1279" s="116">
        <f t="shared" si="1047"/>
        <v>2222</v>
      </c>
      <c r="V1279" s="117">
        <f t="shared" si="1047"/>
        <v>268</v>
      </c>
      <c r="W1279" s="117">
        <f>W1273+W1275+W1276+W1277</f>
        <v>-252</v>
      </c>
      <c r="X1279" s="117">
        <f ca="1">X1273+X1275+X1276+X1277</f>
        <v>44</v>
      </c>
      <c r="Y1279" s="117">
        <f ca="1">Y1273+Y1275+Y1276+Y1277</f>
        <v>426.79942647999997</v>
      </c>
      <c r="Z1279" s="94" t="e">
        <f ca="1">SUM(V1279:Y1279)</f>
        <v>#VALUE!</v>
      </c>
      <c r="AA1279" s="117">
        <f ca="1">AA1273+AA1275+AA1276+AA1277</f>
        <v>654.87545046712785</v>
      </c>
      <c r="AB1279" s="117">
        <f ca="1">AB1273+AB1275+AB1276+AB1277</f>
        <v>599.79198329427948</v>
      </c>
      <c r="AC1279" s="117">
        <f ca="1">AC1273+AC1275+AC1276+AC1277</f>
        <v>758.54673229235368</v>
      </c>
      <c r="AD1279" s="117">
        <f ca="1">AD1273+AD1275+AD1276+AD1277</f>
        <v>846.0783831480461</v>
      </c>
      <c r="AE1279" s="116">
        <f ca="1">SUM(AA1279:AD1279)</f>
        <v>2859.2925492018071</v>
      </c>
      <c r="AF1279" s="116">
        <f t="shared" ref="AF1279:AL1279" ca="1" si="1048">AF1273+AF1275+AF1276+AF1277</f>
        <v>2681.3045266814024</v>
      </c>
      <c r="AG1279" s="116">
        <f t="shared" ca="1" si="1048"/>
        <v>3251.1285190555027</v>
      </c>
      <c r="AH1279" s="116">
        <f t="shared" ca="1" si="1048"/>
        <v>3511.9564129645273</v>
      </c>
      <c r="AI1279" s="116">
        <f t="shared" ca="1" si="1048"/>
        <v>3794.3422441184839</v>
      </c>
      <c r="AJ1279" s="116">
        <f t="shared" ca="1" si="1048"/>
        <v>3892.3718410681249</v>
      </c>
      <c r="AK1279" s="116">
        <f t="shared" ca="1" si="1048"/>
        <v>3567.1218410681249</v>
      </c>
      <c r="AL1279" s="116">
        <f t="shared" ca="1" si="1048"/>
        <v>3568.1218410681249</v>
      </c>
      <c r="AM1279" s="651"/>
    </row>
    <row r="1280" spans="2:39" s="83" customFormat="1">
      <c r="L1280" s="140"/>
      <c r="M1280" s="140"/>
      <c r="N1280" s="140"/>
      <c r="O1280" s="140"/>
      <c r="Q1280" s="140"/>
      <c r="R1280" s="140"/>
      <c r="S1280" s="140"/>
      <c r="T1280" s="140"/>
      <c r="V1280" s="140"/>
      <c r="W1280" s="326"/>
      <c r="X1280" s="326"/>
      <c r="Y1280" s="326"/>
      <c r="Z1280" s="94"/>
      <c r="AA1280" s="140"/>
      <c r="AB1280" s="326"/>
      <c r="AC1280" s="326"/>
      <c r="AD1280" s="326"/>
      <c r="AE1280" s="94"/>
      <c r="AF1280" s="325"/>
      <c r="AG1280" s="325"/>
      <c r="AH1280" s="325"/>
      <c r="AI1280" s="325"/>
      <c r="AJ1280" s="325"/>
      <c r="AK1280" s="325"/>
      <c r="AL1280" s="325"/>
      <c r="AM1280" s="651"/>
    </row>
    <row r="1281" spans="2:39" s="83" customFormat="1">
      <c r="D1281" s="83" t="s">
        <v>240</v>
      </c>
      <c r="G1281" s="405">
        <f t="shared" ref="G1281:S1281" si="1049">-G1282/G1278</f>
        <v>0.38317191283292978</v>
      </c>
      <c r="H1281" s="405">
        <f t="shared" si="1049"/>
        <v>0.47042640990371387</v>
      </c>
      <c r="I1281" s="405">
        <f t="shared" si="1049"/>
        <v>-0.25150421179302046</v>
      </c>
      <c r="J1281" s="405">
        <f t="shared" si="1049"/>
        <v>0.36056511056511059</v>
      </c>
      <c r="K1281" s="405">
        <f t="shared" si="1049"/>
        <v>0.36407766990291263</v>
      </c>
      <c r="L1281" s="792">
        <f t="shared" si="1049"/>
        <v>0.34667802385008517</v>
      </c>
      <c r="M1281" s="792">
        <f t="shared" si="1049"/>
        <v>0.36363636363636365</v>
      </c>
      <c r="N1281" s="792">
        <f t="shared" si="1049"/>
        <v>0.20333745364647712</v>
      </c>
      <c r="O1281" s="792">
        <f t="shared" si="1049"/>
        <v>0.37232524964336661</v>
      </c>
      <c r="P1281" s="405">
        <f t="shared" si="1049"/>
        <v>0.3030639431616341</v>
      </c>
      <c r="Q1281" s="792">
        <f t="shared" si="1049"/>
        <v>0.33731343283582088</v>
      </c>
      <c r="R1281" s="792">
        <f t="shared" si="1049"/>
        <v>0.30742954739538858</v>
      </c>
      <c r="S1281" s="792">
        <f t="shared" si="1049"/>
        <v>0.31511056511056507</v>
      </c>
      <c r="T1281" s="792">
        <f>U1281</f>
        <v>-0.25641025641025639</v>
      </c>
      <c r="U1281" s="405">
        <f>-U1282/U1278</f>
        <v>-0.25641025641025639</v>
      </c>
      <c r="V1281" s="792">
        <f>-V1282/V1278</f>
        <v>0.18205804749340371</v>
      </c>
      <c r="W1281" s="792">
        <f>-W1282/W1278</f>
        <v>0.26587301587301587</v>
      </c>
      <c r="X1281" s="792">
        <f ca="1">-X1282/X1278</f>
        <v>0.43181818181818182</v>
      </c>
      <c r="Y1281" s="143">
        <f>Z1281</f>
        <v>0.3</v>
      </c>
      <c r="Z1281" s="329">
        <v>0.3</v>
      </c>
      <c r="AA1281" s="792">
        <f>AE1281</f>
        <v>0.3</v>
      </c>
      <c r="AB1281" s="143">
        <f>AE1281</f>
        <v>0.3</v>
      </c>
      <c r="AC1281" s="143">
        <f>AE1281</f>
        <v>0.3</v>
      </c>
      <c r="AD1281" s="143">
        <f>AE1281</f>
        <v>0.3</v>
      </c>
      <c r="AE1281" s="190">
        <f>Z1281</f>
        <v>0.3</v>
      </c>
      <c r="AF1281" s="190">
        <f>AE1281</f>
        <v>0.3</v>
      </c>
      <c r="AG1281" s="190">
        <f t="shared" ref="AG1281:AL1281" si="1050">AF1281</f>
        <v>0.3</v>
      </c>
      <c r="AH1281" s="190">
        <f t="shared" si="1050"/>
        <v>0.3</v>
      </c>
      <c r="AI1281" s="190">
        <f t="shared" si="1050"/>
        <v>0.3</v>
      </c>
      <c r="AJ1281" s="190">
        <f t="shared" si="1050"/>
        <v>0.3</v>
      </c>
      <c r="AK1281" s="190">
        <f t="shared" si="1050"/>
        <v>0.3</v>
      </c>
      <c r="AL1281" s="190">
        <f t="shared" si="1050"/>
        <v>0.3</v>
      </c>
      <c r="AM1281" s="651"/>
    </row>
    <row r="1282" spans="2:39" s="83" customFormat="1">
      <c r="B1282" s="95" t="s">
        <v>64</v>
      </c>
      <c r="C1282" s="96" t="s">
        <v>65</v>
      </c>
      <c r="D1282" s="83" t="s">
        <v>241</v>
      </c>
      <c r="G1282" s="90">
        <v>-633</v>
      </c>
      <c r="H1282" s="90">
        <v>-342</v>
      </c>
      <c r="I1282" s="90">
        <v>-836</v>
      </c>
      <c r="J1282" s="90">
        <v>-587</v>
      </c>
      <c r="K1282" s="90">
        <v>-1425</v>
      </c>
      <c r="L1282" s="330">
        <v>-407</v>
      </c>
      <c r="M1282" s="330">
        <v>-368</v>
      </c>
      <c r="N1282" s="330">
        <v>-329</v>
      </c>
      <c r="O1282" s="91">
        <f>P1282-L1282-M1282-N1282</f>
        <v>-261</v>
      </c>
      <c r="P1282" s="90">
        <v>-1365</v>
      </c>
      <c r="Q1282" s="91">
        <v>-339</v>
      </c>
      <c r="R1282" s="112">
        <v>-120</v>
      </c>
      <c r="S1282" s="112">
        <v>-171</v>
      </c>
      <c r="T1282" s="112">
        <f>-T1279*T1281</f>
        <v>37.521367521367523</v>
      </c>
      <c r="U1282" s="111">
        <v>-120</v>
      </c>
      <c r="V1282" s="112">
        <v>69</v>
      </c>
      <c r="W1282" s="112">
        <v>67</v>
      </c>
      <c r="X1282" s="101">
        <v>-19</v>
      </c>
      <c r="Y1282" s="101">
        <f ca="1">IF(Y1278&lt;0,"0",-Y1278*Y1281)</f>
        <v>-67.13982794399999</v>
      </c>
      <c r="Z1282" s="325">
        <f ca="1">SUM(W1282:Y1282)</f>
        <v>-19.13982794399999</v>
      </c>
      <c r="AA1282" s="101">
        <f ca="1">IF(AA1278&lt;0,"0",-AA1278*AA1281)</f>
        <v>-196.46263514013836</v>
      </c>
      <c r="AB1282" s="101">
        <f ca="1">IF(AB1278&lt;0,"0",-AB1278*AB1281)</f>
        <v>-179.93759498828385</v>
      </c>
      <c r="AC1282" s="101">
        <f ca="1">IF(AC1278&lt;0,"0",-AC1278*AC1281)</f>
        <v>-227.56401968770609</v>
      </c>
      <c r="AD1282" s="101">
        <f ca="1">IF(AD1278&lt;0,"0",-AD1278*AD1281)</f>
        <v>-253.82351494441383</v>
      </c>
      <c r="AE1282" s="325">
        <f ca="1">SUM(AB1282:AD1282)</f>
        <v>-661.32512962040369</v>
      </c>
      <c r="AF1282" s="94">
        <f t="shared" ref="AF1282:AL1282" ca="1" si="1051">IF(AF1278&lt;0,"0",-AF1278*AF1281)</f>
        <v>-804.39135800442068</v>
      </c>
      <c r="AG1282" s="94">
        <f t="shared" ca="1" si="1051"/>
        <v>-975.33855571665072</v>
      </c>
      <c r="AH1282" s="94">
        <f t="shared" ca="1" si="1051"/>
        <v>-1053.5869238893581</v>
      </c>
      <c r="AI1282" s="94">
        <f t="shared" ca="1" si="1051"/>
        <v>-1138.3026732355452</v>
      </c>
      <c r="AJ1282" s="94">
        <f t="shared" ca="1" si="1051"/>
        <v>-1167.7115523204375</v>
      </c>
      <c r="AK1282" s="94">
        <f t="shared" ca="1" si="1051"/>
        <v>-1070.1365523204374</v>
      </c>
      <c r="AL1282" s="94">
        <f t="shared" ca="1" si="1051"/>
        <v>-1070.4365523204374</v>
      </c>
      <c r="AM1282" s="651"/>
    </row>
    <row r="1283" spans="2:39" s="83" customFormat="1">
      <c r="B1283" s="124"/>
      <c r="C1283" s="125"/>
      <c r="D1283" s="119" t="s">
        <v>292</v>
      </c>
      <c r="E1283" s="119"/>
      <c r="F1283" s="119"/>
      <c r="G1283" s="325">
        <f t="shared" ref="G1283:V1283" si="1052">G1278+G1282</f>
        <v>1019</v>
      </c>
      <c r="H1283" s="325">
        <f t="shared" si="1052"/>
        <v>385</v>
      </c>
      <c r="I1283" s="325">
        <f t="shared" si="1052"/>
        <v>-4160</v>
      </c>
      <c r="J1283" s="325">
        <f t="shared" si="1052"/>
        <v>1041</v>
      </c>
      <c r="K1283" s="325">
        <f t="shared" si="1052"/>
        <v>2489</v>
      </c>
      <c r="L1283" s="326">
        <f t="shared" si="1052"/>
        <v>767</v>
      </c>
      <c r="M1283" s="326">
        <f t="shared" si="1052"/>
        <v>644</v>
      </c>
      <c r="N1283" s="326">
        <f t="shared" si="1052"/>
        <v>1289</v>
      </c>
      <c r="O1283" s="326">
        <f t="shared" si="1052"/>
        <v>440</v>
      </c>
      <c r="P1283" s="325">
        <f t="shared" si="1052"/>
        <v>3139</v>
      </c>
      <c r="Q1283" s="326">
        <f t="shared" si="1052"/>
        <v>666</v>
      </c>
      <c r="R1283" s="326">
        <f t="shared" si="1052"/>
        <v>270.33333333333331</v>
      </c>
      <c r="S1283" s="326">
        <f t="shared" si="1052"/>
        <v>371.66666666666674</v>
      </c>
      <c r="T1283" s="326">
        <f t="shared" si="1052"/>
        <v>-2314.4786324786323</v>
      </c>
      <c r="U1283" s="325">
        <f t="shared" si="1052"/>
        <v>-588</v>
      </c>
      <c r="V1283" s="326">
        <f t="shared" si="1052"/>
        <v>-310</v>
      </c>
      <c r="W1283" s="326">
        <f>W1278+W1282</f>
        <v>-185</v>
      </c>
      <c r="X1283" s="326">
        <f ca="1">X1278+X1282</f>
        <v>25</v>
      </c>
      <c r="Y1283" s="326">
        <f ca="1">Y1278+Y1282</f>
        <v>156.65959853599998</v>
      </c>
      <c r="Z1283" s="325" t="e">
        <f ca="1">SUM(V1283:Y1283)</f>
        <v>#VALUE!</v>
      </c>
      <c r="AA1283" s="326">
        <f ca="1">AA1278+AA1282</f>
        <v>458.41281532698952</v>
      </c>
      <c r="AB1283" s="326">
        <f ca="1">AB1278+AB1282</f>
        <v>419.8543883059956</v>
      </c>
      <c r="AC1283" s="326">
        <f ca="1">AC1278+AC1282</f>
        <v>530.98271260464753</v>
      </c>
      <c r="AD1283" s="326">
        <f ca="1">AD1278+AD1282</f>
        <v>592.25486820363221</v>
      </c>
      <c r="AE1283" s="325">
        <f ca="1">SUM(AA1283:AD1283)</f>
        <v>2001.5047844412647</v>
      </c>
      <c r="AF1283" s="325">
        <f ca="1">AF1278+AF1282</f>
        <v>1876.9131686769817</v>
      </c>
      <c r="AG1283" s="325">
        <f t="shared" ref="AG1283:AL1283" ca="1" si="1053">AG1278+AG1282</f>
        <v>2275.789963338852</v>
      </c>
      <c r="AH1283" s="325">
        <f t="shared" ca="1" si="1053"/>
        <v>2458.3694890751694</v>
      </c>
      <c r="AI1283" s="325">
        <f t="shared" ca="1" si="1053"/>
        <v>2656.0395708829387</v>
      </c>
      <c r="AJ1283" s="325">
        <f t="shared" ca="1" si="1053"/>
        <v>2724.6602887476874</v>
      </c>
      <c r="AK1283" s="325">
        <f t="shared" ca="1" si="1053"/>
        <v>2496.9852887476873</v>
      </c>
      <c r="AL1283" s="325">
        <f t="shared" ca="1" si="1053"/>
        <v>2497.6852887476875</v>
      </c>
      <c r="AM1283" s="651"/>
    </row>
    <row r="1284" spans="2:39" s="83" customFormat="1">
      <c r="B1284" s="95"/>
      <c r="C1284" s="96"/>
      <c r="D1284" s="83" t="s">
        <v>293</v>
      </c>
      <c r="G1284" s="111"/>
      <c r="H1284" s="111"/>
      <c r="I1284" s="111"/>
      <c r="J1284" s="111"/>
      <c r="K1284" s="111">
        <v>29</v>
      </c>
      <c r="L1284" s="112">
        <v>7</v>
      </c>
      <c r="M1284" s="112">
        <v>10</v>
      </c>
      <c r="N1284" s="112">
        <v>9</v>
      </c>
      <c r="O1284" s="91">
        <f>P1284-L1284-M1284-N1284</f>
        <v>12</v>
      </c>
      <c r="P1284" s="111">
        <v>38</v>
      </c>
      <c r="Q1284" s="112">
        <v>14</v>
      </c>
      <c r="R1284" s="180">
        <v>19</v>
      </c>
      <c r="S1284" s="180">
        <v>4</v>
      </c>
      <c r="T1284" s="180">
        <f>U1284-Q1284-R1284-S1284</f>
        <v>-20</v>
      </c>
      <c r="U1284" s="111">
        <v>17</v>
      </c>
      <c r="V1284" s="180">
        <v>1</v>
      </c>
      <c r="W1284" s="180">
        <v>-36</v>
      </c>
      <c r="X1284" s="180">
        <v>-36</v>
      </c>
      <c r="Y1284" s="326"/>
      <c r="Z1284" s="325"/>
      <c r="AA1284" s="180"/>
      <c r="AB1284" s="326"/>
      <c r="AC1284" s="326"/>
      <c r="AD1284" s="326"/>
      <c r="AE1284" s="325"/>
      <c r="AF1284" s="325"/>
      <c r="AG1284" s="325"/>
      <c r="AH1284" s="325"/>
      <c r="AI1284" s="325"/>
      <c r="AJ1284" s="325"/>
      <c r="AK1284" s="325"/>
      <c r="AL1284" s="325"/>
      <c r="AM1284" s="651"/>
    </row>
    <row r="1285" spans="2:39" s="83" customFormat="1">
      <c r="B1285" s="95"/>
      <c r="C1285" s="96"/>
      <c r="D1285" s="83" t="s">
        <v>294</v>
      </c>
      <c r="G1285" s="94">
        <f t="shared" ref="G1285:N1285" si="1054">G1283-G1284</f>
        <v>1019</v>
      </c>
      <c r="H1285" s="94">
        <f t="shared" si="1054"/>
        <v>385</v>
      </c>
      <c r="I1285" s="94">
        <f t="shared" si="1054"/>
        <v>-4160</v>
      </c>
      <c r="J1285" s="94">
        <f t="shared" si="1054"/>
        <v>1041</v>
      </c>
      <c r="K1285" s="94">
        <f t="shared" si="1054"/>
        <v>2460</v>
      </c>
      <c r="L1285" s="101">
        <f t="shared" si="1054"/>
        <v>760</v>
      </c>
      <c r="M1285" s="101">
        <f t="shared" si="1054"/>
        <v>634</v>
      </c>
      <c r="N1285" s="101">
        <f t="shared" si="1054"/>
        <v>1280</v>
      </c>
      <c r="O1285" s="101">
        <f>O1283-O1284</f>
        <v>428</v>
      </c>
      <c r="P1285" s="94">
        <f t="shared" ref="P1285:U1285" si="1055">P1283-P1284</f>
        <v>3101</v>
      </c>
      <c r="Q1285" s="101">
        <f t="shared" si="1055"/>
        <v>652</v>
      </c>
      <c r="R1285" s="101">
        <f t="shared" si="1055"/>
        <v>251.33333333333331</v>
      </c>
      <c r="S1285" s="101">
        <f>S1283-S1284</f>
        <v>367.66666666666674</v>
      </c>
      <c r="T1285" s="101">
        <f t="shared" si="1055"/>
        <v>-2294.4786324786323</v>
      </c>
      <c r="U1285" s="94">
        <f t="shared" si="1055"/>
        <v>-605</v>
      </c>
      <c r="V1285" s="101">
        <f>V1283-V1284</f>
        <v>-311</v>
      </c>
      <c r="W1285" s="326">
        <f>W1283+W1284</f>
        <v>-221</v>
      </c>
      <c r="X1285" s="326">
        <f ca="1">X1283+X1284</f>
        <v>-11</v>
      </c>
      <c r="Y1285" s="326">
        <f ca="1">Y1283+Y1284</f>
        <v>156.65959853599998</v>
      </c>
      <c r="Z1285" s="325" t="e">
        <f ca="1">SUM(V1285:Y1285)</f>
        <v>#VALUE!</v>
      </c>
      <c r="AA1285" s="101">
        <f ca="1">AA1283-AA1284</f>
        <v>458.41281532698952</v>
      </c>
      <c r="AB1285" s="326">
        <f ca="1">AB1283+AB1284</f>
        <v>419.8543883059956</v>
      </c>
      <c r="AC1285" s="326">
        <f ca="1">AC1283+AC1284</f>
        <v>530.98271260464753</v>
      </c>
      <c r="AD1285" s="326">
        <f ca="1">AD1283+AD1284</f>
        <v>592.25486820363221</v>
      </c>
      <c r="AE1285" s="325">
        <f ca="1">SUM(AA1285:AD1285)</f>
        <v>2001.5047844412647</v>
      </c>
      <c r="AF1285" s="325">
        <f ca="1">AF1283+AF1284</f>
        <v>1876.9131686769817</v>
      </c>
      <c r="AG1285" s="325">
        <f t="shared" ref="AG1285:AL1285" ca="1" si="1056">AG1283+AG1284</f>
        <v>2275.789963338852</v>
      </c>
      <c r="AH1285" s="325">
        <f t="shared" ca="1" si="1056"/>
        <v>2458.3694890751694</v>
      </c>
      <c r="AI1285" s="325">
        <f t="shared" ca="1" si="1056"/>
        <v>2656.0395708829387</v>
      </c>
      <c r="AJ1285" s="325">
        <f t="shared" ca="1" si="1056"/>
        <v>2724.6602887476874</v>
      </c>
      <c r="AK1285" s="325">
        <f t="shared" ca="1" si="1056"/>
        <v>2496.9852887476873</v>
      </c>
      <c r="AL1285" s="325">
        <f t="shared" ca="1" si="1056"/>
        <v>2497.6852887476875</v>
      </c>
      <c r="AM1285" s="651"/>
    </row>
    <row r="1286" spans="2:39" s="83" customFormat="1">
      <c r="B1286" s="95" t="s">
        <v>64</v>
      </c>
      <c r="C1286" s="96" t="s">
        <v>65</v>
      </c>
      <c r="D1286" s="103" t="s">
        <v>242</v>
      </c>
      <c r="E1286" s="103"/>
      <c r="F1286" s="103"/>
      <c r="G1286" s="116">
        <f t="shared" ref="G1286:U1286" si="1057">G1279+G1282-G1284</f>
        <v>1019</v>
      </c>
      <c r="H1286" s="116">
        <f t="shared" si="1057"/>
        <v>397</v>
      </c>
      <c r="I1286" s="116">
        <f t="shared" si="1057"/>
        <v>-529</v>
      </c>
      <c r="J1286" s="116">
        <f t="shared" si="1057"/>
        <v>1335</v>
      </c>
      <c r="K1286" s="116">
        <f t="shared" si="1057"/>
        <v>2300</v>
      </c>
      <c r="L1286" s="117">
        <f t="shared" si="1057"/>
        <v>760</v>
      </c>
      <c r="M1286" s="117">
        <f t="shared" si="1057"/>
        <v>634</v>
      </c>
      <c r="N1286" s="117">
        <f t="shared" si="1057"/>
        <v>1280</v>
      </c>
      <c r="O1286" s="117">
        <f t="shared" si="1057"/>
        <v>469</v>
      </c>
      <c r="P1286" s="116">
        <f t="shared" si="1057"/>
        <v>3142</v>
      </c>
      <c r="Q1286" s="117">
        <f t="shared" si="1057"/>
        <v>652</v>
      </c>
      <c r="R1286" s="117">
        <f t="shared" si="1057"/>
        <v>432.66666666666663</v>
      </c>
      <c r="S1286" s="117">
        <f t="shared" si="1057"/>
        <v>378.00000000000011</v>
      </c>
      <c r="T1286" s="117">
        <f t="shared" si="1057"/>
        <v>203.85470085470087</v>
      </c>
      <c r="U1286" s="116">
        <f t="shared" si="1057"/>
        <v>2085</v>
      </c>
      <c r="V1286" s="117">
        <f>V1279+V1282-V1284</f>
        <v>336</v>
      </c>
      <c r="W1286" s="117">
        <f>W1279+W1282-W1284</f>
        <v>-149</v>
      </c>
      <c r="X1286" s="117">
        <f ca="1">X1279+X1282-X1284</f>
        <v>61</v>
      </c>
      <c r="Y1286" s="117">
        <f ca="1">Y1279+Y1282-Y1284</f>
        <v>359.65959853599998</v>
      </c>
      <c r="Z1286" s="325" t="e">
        <f ca="1">SUM(V1286:Y1286)</f>
        <v>#VALUE!</v>
      </c>
      <c r="AA1286" s="117">
        <f ca="1">AA1279+AA1282-AA1284</f>
        <v>458.41281532698952</v>
      </c>
      <c r="AB1286" s="117">
        <f ca="1">AB1279+AB1282-AB1284</f>
        <v>419.8543883059956</v>
      </c>
      <c r="AC1286" s="117">
        <f ca="1">AC1279+AC1282-AC1284</f>
        <v>530.98271260464753</v>
      </c>
      <c r="AD1286" s="117">
        <f ca="1">AD1279+AD1282-AD1284</f>
        <v>592.25486820363221</v>
      </c>
      <c r="AE1286" s="116">
        <f ca="1">SUM(AA1286:AD1286)</f>
        <v>2001.5047844412647</v>
      </c>
      <c r="AF1286" s="116">
        <f ca="1">AF1279+AF1282-AF1284</f>
        <v>1876.9131686769817</v>
      </c>
      <c r="AG1286" s="116">
        <f t="shared" ref="AG1286:AL1286" ca="1" si="1058">AG1279+AG1282-AG1284</f>
        <v>2275.789963338852</v>
      </c>
      <c r="AH1286" s="116">
        <f t="shared" ca="1" si="1058"/>
        <v>2458.3694890751694</v>
      </c>
      <c r="AI1286" s="116">
        <f t="shared" ca="1" si="1058"/>
        <v>2656.0395708829387</v>
      </c>
      <c r="AJ1286" s="116">
        <f t="shared" ca="1" si="1058"/>
        <v>2724.6602887476874</v>
      </c>
      <c r="AK1286" s="116">
        <f t="shared" ca="1" si="1058"/>
        <v>2496.9852887476873</v>
      </c>
      <c r="AL1286" s="116">
        <f t="shared" ca="1" si="1058"/>
        <v>2497.6852887476875</v>
      </c>
      <c r="AM1286" s="651"/>
    </row>
    <row r="1287" spans="2:39" s="83" customFormat="1">
      <c r="B1287" s="95"/>
      <c r="C1287" s="96"/>
      <c r="D1287" s="186"/>
      <c r="E1287" s="119"/>
      <c r="F1287" s="119"/>
      <c r="G1287" s="325"/>
      <c r="H1287" s="325"/>
      <c r="I1287" s="325"/>
      <c r="J1287" s="325"/>
      <c r="K1287" s="325"/>
      <c r="L1287" s="326"/>
      <c r="M1287" s="326"/>
      <c r="N1287" s="326"/>
      <c r="O1287" s="326"/>
      <c r="P1287" s="325"/>
      <c r="Q1287" s="326"/>
      <c r="R1287" s="326"/>
      <c r="S1287" s="326"/>
      <c r="T1287" s="326"/>
      <c r="U1287" s="325"/>
      <c r="V1287" s="326"/>
      <c r="W1287" s="326"/>
      <c r="X1287" s="326"/>
      <c r="Y1287" s="326"/>
      <c r="Z1287" s="325"/>
      <c r="AA1287" s="326"/>
      <c r="AB1287" s="326"/>
      <c r="AC1287" s="326"/>
      <c r="AD1287" s="326"/>
      <c r="AE1287" s="325"/>
      <c r="AF1287" s="325"/>
      <c r="AG1287" s="325"/>
      <c r="AH1287" s="325"/>
      <c r="AI1287" s="325"/>
      <c r="AJ1287" s="325"/>
      <c r="AK1287" s="325"/>
      <c r="AL1287" s="325"/>
      <c r="AM1287" s="651"/>
    </row>
    <row r="1288" spans="2:39" s="83" customFormat="1">
      <c r="E1288" s="119"/>
      <c r="F1288" s="119"/>
      <c r="G1288" s="325"/>
      <c r="H1288" s="325"/>
      <c r="I1288" s="325"/>
      <c r="J1288" s="325"/>
      <c r="K1288" s="325"/>
      <c r="L1288" s="326"/>
      <c r="M1288" s="326"/>
      <c r="N1288" s="326"/>
      <c r="O1288" s="326"/>
      <c r="P1288" s="325"/>
      <c r="Q1288" s="326"/>
      <c r="R1288" s="326"/>
      <c r="S1288" s="326"/>
      <c r="T1288" s="326"/>
      <c r="U1288" s="325"/>
      <c r="V1288" s="326"/>
      <c r="W1288" s="326"/>
      <c r="X1288" s="326"/>
      <c r="Y1288" s="326"/>
      <c r="Z1288" s="325"/>
      <c r="AA1288" s="326"/>
      <c r="AB1288" s="326"/>
      <c r="AC1288" s="326"/>
      <c r="AD1288" s="326"/>
      <c r="AE1288" s="325"/>
      <c r="AF1288" s="325"/>
      <c r="AG1288" s="325"/>
      <c r="AH1288" s="325"/>
      <c r="AI1288" s="325"/>
      <c r="AJ1288" s="325"/>
      <c r="AK1288" s="325"/>
      <c r="AL1288" s="325"/>
      <c r="AM1288" s="651"/>
    </row>
    <row r="1289" spans="2:39" s="83" customFormat="1">
      <c r="B1289" s="228"/>
      <c r="C1289" s="229"/>
      <c r="D1289" s="793"/>
      <c r="E1289" s="119"/>
      <c r="F1289" s="119"/>
      <c r="G1289" s="325"/>
      <c r="H1289" s="325"/>
      <c r="I1289" s="325"/>
      <c r="J1289" s="325"/>
      <c r="K1289" s="325"/>
      <c r="L1289" s="326"/>
      <c r="M1289" s="326"/>
      <c r="N1289" s="326"/>
      <c r="O1289" s="326"/>
      <c r="P1289" s="325"/>
      <c r="Q1289" s="326"/>
      <c r="R1289" s="326"/>
      <c r="S1289" s="326"/>
      <c r="T1289" s="326"/>
      <c r="U1289" s="325"/>
      <c r="V1289" s="326"/>
      <c r="W1289" s="326"/>
      <c r="X1289" s="326"/>
      <c r="Y1289" s="326"/>
      <c r="Z1289" s="325"/>
      <c r="AA1289" s="326"/>
      <c r="AB1289" s="326"/>
      <c r="AC1289" s="326"/>
      <c r="AD1289" s="326"/>
      <c r="AE1289" s="325"/>
      <c r="AF1289" s="325"/>
      <c r="AG1289" s="325"/>
      <c r="AH1289" s="325"/>
      <c r="AI1289" s="325"/>
      <c r="AJ1289" s="325"/>
      <c r="AK1289" s="325"/>
      <c r="AL1289" s="325"/>
      <c r="AM1289" s="651"/>
    </row>
    <row r="1290" spans="2:39" s="83" customFormat="1">
      <c r="B1290" s="95"/>
      <c r="C1290" s="96" t="s">
        <v>225</v>
      </c>
      <c r="D1290" s="134" t="s">
        <v>288</v>
      </c>
      <c r="E1290" s="134"/>
      <c r="F1290" s="134"/>
      <c r="G1290" s="332" t="s">
        <v>289</v>
      </c>
      <c r="H1290" s="332">
        <v>576.20000000000005</v>
      </c>
      <c r="I1290" s="332">
        <v>576.20000000000005</v>
      </c>
      <c r="J1290" s="332">
        <v>576.4</v>
      </c>
      <c r="K1290" s="332">
        <v>577.5</v>
      </c>
      <c r="L1290" s="333">
        <v>573.70000000000005</v>
      </c>
      <c r="M1290" s="333">
        <v>570.70000000000005</v>
      </c>
      <c r="N1290" s="333">
        <v>574.70000000000005</v>
      </c>
      <c r="O1290" s="333">
        <f>P1290</f>
        <v>573.9</v>
      </c>
      <c r="P1290" s="332">
        <v>573.9</v>
      </c>
      <c r="Q1290" s="333">
        <v>567.70000000000005</v>
      </c>
      <c r="R1290" s="333">
        <v>560.70000000000005</v>
      </c>
      <c r="S1290" s="333">
        <v>556.70000000000005</v>
      </c>
      <c r="T1290" s="333">
        <f>S1290</f>
        <v>556.70000000000005</v>
      </c>
      <c r="U1290" s="334">
        <f>T1290</f>
        <v>556.70000000000005</v>
      </c>
      <c r="V1290" s="333">
        <v>544.4</v>
      </c>
      <c r="W1290" s="962">
        <v>531</v>
      </c>
      <c r="X1290" s="962">
        <f>Z1290</f>
        <v>544.4</v>
      </c>
      <c r="Y1290" s="962">
        <f>Z1290</f>
        <v>544.4</v>
      </c>
      <c r="Z1290" s="334">
        <f>V1290</f>
        <v>544.4</v>
      </c>
      <c r="AA1290" s="333">
        <v>544.4</v>
      </c>
      <c r="AB1290" s="962">
        <f>AE1290</f>
        <v>544.4</v>
      </c>
      <c r="AC1290" s="962">
        <f>AE1290</f>
        <v>544.4</v>
      </c>
      <c r="AD1290" s="962">
        <f>AE1290</f>
        <v>544.4</v>
      </c>
      <c r="AE1290" s="334">
        <f>AA1290</f>
        <v>544.4</v>
      </c>
      <c r="AF1290" s="334">
        <f>AE1290</f>
        <v>544.4</v>
      </c>
      <c r="AG1290" s="334">
        <f t="shared" ref="AG1290:AL1291" si="1059">AF1290</f>
        <v>544.4</v>
      </c>
      <c r="AH1290" s="334">
        <f t="shared" si="1059"/>
        <v>544.4</v>
      </c>
      <c r="AI1290" s="334">
        <f t="shared" si="1059"/>
        <v>544.4</v>
      </c>
      <c r="AJ1290" s="334">
        <f t="shared" si="1059"/>
        <v>544.4</v>
      </c>
      <c r="AK1290" s="334">
        <f t="shared" si="1059"/>
        <v>544.4</v>
      </c>
      <c r="AL1290" s="334">
        <f t="shared" si="1059"/>
        <v>544.4</v>
      </c>
      <c r="AM1290" s="651"/>
    </row>
    <row r="1291" spans="2:39" s="83" customFormat="1">
      <c r="C1291" s="83" t="s">
        <v>225</v>
      </c>
      <c r="D1291" s="83" t="s">
        <v>287</v>
      </c>
      <c r="G1291" s="92">
        <v>579.47</v>
      </c>
      <c r="H1291" s="92">
        <v>576.20000000000005</v>
      </c>
      <c r="I1291" s="92">
        <v>576.20000000000005</v>
      </c>
      <c r="J1291" s="92">
        <v>576.4</v>
      </c>
      <c r="K1291" s="92">
        <v>586.4</v>
      </c>
      <c r="L1291" s="99">
        <v>583.4</v>
      </c>
      <c r="M1291" s="99"/>
      <c r="N1291" s="99">
        <v>582.29999999999995</v>
      </c>
      <c r="O1291" s="99">
        <f>P1291</f>
        <v>582.1</v>
      </c>
      <c r="P1291" s="92">
        <v>582.1</v>
      </c>
      <c r="Q1291" s="99">
        <v>574.4</v>
      </c>
      <c r="R1291" s="99"/>
      <c r="S1291" s="99">
        <v>561.9</v>
      </c>
      <c r="T1291" s="99">
        <f>S1291</f>
        <v>561.9</v>
      </c>
      <c r="U1291" s="334">
        <f>T1291</f>
        <v>561.9</v>
      </c>
      <c r="V1291" s="99">
        <v>544.4</v>
      </c>
      <c r="W1291" s="962">
        <v>531</v>
      </c>
      <c r="X1291" s="962">
        <f>Z1291</f>
        <v>544.4</v>
      </c>
      <c r="Y1291" s="962">
        <f>Z1291</f>
        <v>544.4</v>
      </c>
      <c r="Z1291" s="334">
        <f>V1291</f>
        <v>544.4</v>
      </c>
      <c r="AA1291" s="99">
        <v>544.4</v>
      </c>
      <c r="AB1291" s="962">
        <f>AE1291</f>
        <v>544.4</v>
      </c>
      <c r="AC1291" s="962">
        <f>AE1291</f>
        <v>544.4</v>
      </c>
      <c r="AD1291" s="962">
        <f>AE1291</f>
        <v>544.4</v>
      </c>
      <c r="AE1291" s="334">
        <f>AA1291</f>
        <v>544.4</v>
      </c>
      <c r="AF1291" s="334">
        <f>AE1291</f>
        <v>544.4</v>
      </c>
      <c r="AG1291" s="334">
        <f t="shared" si="1059"/>
        <v>544.4</v>
      </c>
      <c r="AH1291" s="334">
        <f t="shared" si="1059"/>
        <v>544.4</v>
      </c>
      <c r="AI1291" s="334">
        <f t="shared" si="1059"/>
        <v>544.4</v>
      </c>
      <c r="AJ1291" s="334">
        <f t="shared" si="1059"/>
        <v>544.4</v>
      </c>
      <c r="AK1291" s="334">
        <f t="shared" si="1059"/>
        <v>544.4</v>
      </c>
      <c r="AL1291" s="334">
        <f t="shared" si="1059"/>
        <v>544.4</v>
      </c>
      <c r="AM1291" s="651"/>
    </row>
    <row r="1292" spans="2:39" s="83" customFormat="1">
      <c r="G1292" s="92"/>
      <c r="H1292" s="92"/>
      <c r="I1292" s="92"/>
      <c r="J1292" s="92"/>
      <c r="K1292" s="92"/>
      <c r="L1292" s="99"/>
      <c r="M1292" s="99"/>
      <c r="N1292" s="99"/>
      <c r="O1292" s="99"/>
      <c r="P1292" s="92"/>
      <c r="Q1292" s="99"/>
      <c r="R1292" s="99"/>
      <c r="S1292" s="99"/>
      <c r="T1292" s="99"/>
      <c r="U1292" s="92"/>
      <c r="V1292" s="99"/>
      <c r="W1292" s="99"/>
      <c r="X1292" s="99"/>
      <c r="Y1292" s="99"/>
      <c r="Z1292" s="92"/>
      <c r="AA1292" s="99"/>
      <c r="AB1292" s="99"/>
      <c r="AC1292" s="99"/>
      <c r="AD1292" s="99"/>
      <c r="AE1292" s="92"/>
      <c r="AF1292" s="92"/>
      <c r="AG1292" s="92"/>
      <c r="AH1292" s="92"/>
      <c r="AI1292" s="92"/>
      <c r="AJ1292" s="92"/>
      <c r="AK1292" s="92"/>
      <c r="AL1292" s="92"/>
      <c r="AM1292" s="651"/>
    </row>
    <row r="1293" spans="2:39" s="83" customFormat="1">
      <c r="D1293" s="83" t="s">
        <v>290</v>
      </c>
      <c r="G1293" s="201">
        <f>1010/578.3</f>
        <v>1.7464983572540205</v>
      </c>
      <c r="H1293" s="201">
        <f>H1285/H1290</f>
        <v>0.6681707740367927</v>
      </c>
      <c r="I1293" s="201">
        <f>I1285/I1290</f>
        <v>-7.219715376605345</v>
      </c>
      <c r="J1293" s="201">
        <f>J1285/J1290</f>
        <v>1.8060374739764053</v>
      </c>
      <c r="K1293" s="201">
        <f>K1285/K1290</f>
        <v>4.2597402597402594</v>
      </c>
      <c r="L1293" s="335">
        <f>L1285/L1290</f>
        <v>1.3247341816280285</v>
      </c>
      <c r="M1293" s="335">
        <v>1.1000000000000001</v>
      </c>
      <c r="N1293" s="335">
        <v>2.23</v>
      </c>
      <c r="O1293" s="415">
        <f>P1293-L1293-M1293-N1293</f>
        <v>0.74864619822908995</v>
      </c>
      <c r="P1293" s="201">
        <f>P1285/P1290</f>
        <v>5.4033803798571185</v>
      </c>
      <c r="Q1293" s="335">
        <f>Q1285/Q1290</f>
        <v>1.1484939228465738</v>
      </c>
      <c r="R1293" s="335">
        <f>R1285/R1290</f>
        <v>0.44824921229415604</v>
      </c>
      <c r="S1293" s="335">
        <v>0.66</v>
      </c>
      <c r="T1293" s="335">
        <f>T1285/T1290</f>
        <v>-4.1215711019914352</v>
      </c>
      <c r="U1293" s="201">
        <f>U1285/U1290</f>
        <v>-1.0867612717801329</v>
      </c>
      <c r="V1293" s="335">
        <v>-0.56999999999999995</v>
      </c>
      <c r="W1293" s="335">
        <f>W1286/W1290</f>
        <v>-0.28060263653483991</v>
      </c>
      <c r="X1293" s="335">
        <f ca="1">X1286/X1290</f>
        <v>0.11204996326230714</v>
      </c>
      <c r="Y1293" s="335">
        <f ca="1">Y1285/Y1290</f>
        <v>0.2877656108302718</v>
      </c>
      <c r="Z1293" s="201" t="e">
        <f ca="1">SUM(V1293:Y1293)</f>
        <v>#VALUE!</v>
      </c>
      <c r="AA1293" s="335">
        <v>-0.56999999999999995</v>
      </c>
      <c r="AB1293" s="335">
        <f ca="1">AB1285/AB1290</f>
        <v>0.7712240784459875</v>
      </c>
      <c r="AC1293" s="335">
        <f ca="1">AC1285/AC1290</f>
        <v>0.97535399082411378</v>
      </c>
      <c r="AD1293" s="335">
        <f ca="1">AD1285/AD1290</f>
        <v>1.0879038725268777</v>
      </c>
      <c r="AE1293" s="201">
        <f ca="1">SUM(AA1293:AD1293)</f>
        <v>2.264481941796979</v>
      </c>
      <c r="AF1293" s="201">
        <f ca="1">AF1285/AF1290</f>
        <v>3.4476729769966603</v>
      </c>
      <c r="AG1293" s="201">
        <f t="shared" ref="AG1293:AL1293" ca="1" si="1060">AG1285/AG1290</f>
        <v>4.1803636358171419</v>
      </c>
      <c r="AH1293" s="201">
        <f t="shared" ca="1" si="1060"/>
        <v>4.5157411628860569</v>
      </c>
      <c r="AI1293" s="201">
        <f t="shared" ca="1" si="1060"/>
        <v>4.8788383006666765</v>
      </c>
      <c r="AJ1293" s="201">
        <f t="shared" ca="1" si="1060"/>
        <v>5.0048866435482875</v>
      </c>
      <c r="AK1293" s="201">
        <f t="shared" ca="1" si="1060"/>
        <v>4.5866739323065531</v>
      </c>
      <c r="AL1293" s="201">
        <f t="shared" ca="1" si="1060"/>
        <v>4.5879597515571042</v>
      </c>
      <c r="AM1293" s="651"/>
    </row>
    <row r="1294" spans="2:39" s="83" customFormat="1">
      <c r="D1294" s="83" t="s">
        <v>291</v>
      </c>
      <c r="G1294" s="201">
        <f t="shared" ref="G1294:L1294" si="1061">G1285/G1291</f>
        <v>1.7585034600583291</v>
      </c>
      <c r="H1294" s="201">
        <f t="shared" si="1061"/>
        <v>0.6681707740367927</v>
      </c>
      <c r="I1294" s="201">
        <f t="shared" si="1061"/>
        <v>-7.219715376605345</v>
      </c>
      <c r="J1294" s="201">
        <f t="shared" si="1061"/>
        <v>1.8060374739764053</v>
      </c>
      <c r="K1294" s="201">
        <f t="shared" si="1061"/>
        <v>4.1950886766712143</v>
      </c>
      <c r="L1294" s="335">
        <f t="shared" si="1061"/>
        <v>1.3027082619129242</v>
      </c>
      <c r="M1294" s="335">
        <v>1.0900000000000001</v>
      </c>
      <c r="N1294" s="335">
        <v>2.2000000000000002</v>
      </c>
      <c r="O1294" s="415">
        <f>P1294-L1294-M1294-N1294</f>
        <v>0.73455509489861992</v>
      </c>
      <c r="P1294" s="201">
        <f>P1285/P1291</f>
        <v>5.3272633568115442</v>
      </c>
      <c r="Q1294" s="335">
        <f>Q1285/Q1291</f>
        <v>1.1350974930362117</v>
      </c>
      <c r="R1294" s="335">
        <v>0.41</v>
      </c>
      <c r="S1294" s="335">
        <v>0.66</v>
      </c>
      <c r="T1294" s="335">
        <f>T1285/T1291</f>
        <v>-4.0834287817736827</v>
      </c>
      <c r="U1294" s="201">
        <f>U1285/U1291</f>
        <v>-1.0767040398647447</v>
      </c>
      <c r="V1294" s="335">
        <v>-0.56999999999999995</v>
      </c>
      <c r="W1294" s="335">
        <f>W1286/W1291</f>
        <v>-0.28060263653483991</v>
      </c>
      <c r="X1294" s="335">
        <f ca="1">X1286/X1291</f>
        <v>0.11204996326230714</v>
      </c>
      <c r="Y1294" s="335">
        <f ca="1">Y1285/Y1291</f>
        <v>0.2877656108302718</v>
      </c>
      <c r="Z1294" s="201" t="e">
        <f ca="1">SUM(V1294:Y1294)</f>
        <v>#VALUE!</v>
      </c>
      <c r="AA1294" s="335">
        <v>-0.56999999999999995</v>
      </c>
      <c r="AB1294" s="335">
        <f ca="1">AB1285/AB1291</f>
        <v>0.7712240784459875</v>
      </c>
      <c r="AC1294" s="335">
        <f ca="1">AC1285/AC1291</f>
        <v>0.97535399082411378</v>
      </c>
      <c r="AD1294" s="335">
        <f ca="1">AD1285/AD1291</f>
        <v>1.0879038725268777</v>
      </c>
      <c r="AE1294" s="201">
        <f ca="1">SUM(AA1294:AD1294)</f>
        <v>2.264481941796979</v>
      </c>
      <c r="AF1294" s="201">
        <f ca="1">AF1285/AF1291</f>
        <v>3.4476729769966603</v>
      </c>
      <c r="AG1294" s="201">
        <f t="shared" ref="AG1294:AL1294" ca="1" si="1062">AG1285/AG1291</f>
        <v>4.1803636358171419</v>
      </c>
      <c r="AH1294" s="201">
        <f t="shared" ca="1" si="1062"/>
        <v>4.5157411628860569</v>
      </c>
      <c r="AI1294" s="201">
        <f t="shared" ca="1" si="1062"/>
        <v>4.8788383006666765</v>
      </c>
      <c r="AJ1294" s="201">
        <f t="shared" ca="1" si="1062"/>
        <v>5.0048866435482875</v>
      </c>
      <c r="AK1294" s="201">
        <f t="shared" ca="1" si="1062"/>
        <v>4.5866739323065531</v>
      </c>
      <c r="AL1294" s="201">
        <f t="shared" ca="1" si="1062"/>
        <v>4.5879597515571042</v>
      </c>
      <c r="AM1294" s="651"/>
    </row>
    <row r="1295" spans="2:39" s="83" customFormat="1">
      <c r="G1295" s="92"/>
      <c r="H1295" s="92"/>
      <c r="I1295" s="92"/>
      <c r="J1295" s="92"/>
      <c r="K1295" s="92"/>
      <c r="L1295" s="99"/>
      <c r="M1295" s="99"/>
      <c r="N1295" s="99"/>
      <c r="O1295" s="99"/>
      <c r="P1295" s="92"/>
      <c r="Q1295" s="99"/>
      <c r="R1295" s="99"/>
      <c r="S1295" s="99"/>
      <c r="T1295" s="99"/>
      <c r="U1295" s="92"/>
      <c r="V1295" s="99"/>
      <c r="W1295" s="99"/>
      <c r="X1295" s="99"/>
      <c r="Y1295" s="99"/>
      <c r="Z1295" s="92"/>
      <c r="AA1295" s="99"/>
      <c r="AB1295" s="99"/>
      <c r="AC1295" s="99"/>
      <c r="AD1295" s="99"/>
      <c r="AE1295" s="92"/>
      <c r="AF1295" s="92"/>
      <c r="AG1295" s="92"/>
      <c r="AH1295" s="92"/>
      <c r="AI1295" s="92"/>
      <c r="AJ1295" s="92"/>
      <c r="AK1295" s="92"/>
      <c r="AL1295" s="92"/>
      <c r="AM1295" s="651"/>
    </row>
    <row r="1296" spans="2:39" s="83" customFormat="1">
      <c r="B1296" s="95" t="s">
        <v>64</v>
      </c>
      <c r="C1296" s="96" t="s">
        <v>65</v>
      </c>
      <c r="D1296" s="83" t="s">
        <v>228</v>
      </c>
      <c r="G1296" s="94">
        <f>G1272-G1259</f>
        <v>3219</v>
      </c>
      <c r="H1296" s="94">
        <f t="shared" ref="H1296:V1296" si="1063">H1272-H1259</f>
        <v>2395</v>
      </c>
      <c r="I1296" s="94">
        <f t="shared" si="1063"/>
        <v>-1556</v>
      </c>
      <c r="J1296" s="94">
        <f t="shared" si="1063"/>
        <v>3110</v>
      </c>
      <c r="K1296" s="94">
        <f t="shared" si="1063"/>
        <v>5763</v>
      </c>
      <c r="L1296" s="101">
        <f t="shared" si="1063"/>
        <v>1575</v>
      </c>
      <c r="M1296" s="101">
        <f t="shared" si="1063"/>
        <v>1427</v>
      </c>
      <c r="N1296" s="101">
        <f t="shared" si="1063"/>
        <v>2061</v>
      </c>
      <c r="O1296" s="101">
        <f t="shared" si="1063"/>
        <v>1199</v>
      </c>
      <c r="P1296" s="94">
        <f t="shared" si="1063"/>
        <v>6261</v>
      </c>
      <c r="Q1296" s="101">
        <f t="shared" si="1063"/>
        <v>1357</v>
      </c>
      <c r="R1296" s="101">
        <f t="shared" si="1063"/>
        <v>1028.6666666666665</v>
      </c>
      <c r="S1296" s="101">
        <f t="shared" si="1063"/>
        <v>1035.6666666666667</v>
      </c>
      <c r="T1296" s="101">
        <f t="shared" si="1063"/>
        <v>-1892.3333333333335</v>
      </c>
      <c r="U1296" s="94">
        <f t="shared" si="1063"/>
        <v>1469</v>
      </c>
      <c r="V1296" s="101">
        <f t="shared" si="1063"/>
        <v>28</v>
      </c>
      <c r="W1296" s="101">
        <f t="shared" ref="W1296:AF1296" si="1064">W1272-W1259</f>
        <v>141</v>
      </c>
      <c r="X1296" s="101">
        <f t="shared" si="1064"/>
        <v>523</v>
      </c>
      <c r="Y1296" s="101">
        <f t="shared" ca="1" si="1064"/>
        <v>786.79942647999997</v>
      </c>
      <c r="Z1296" s="94">
        <f t="shared" ca="1" si="1064"/>
        <v>1478.79942648</v>
      </c>
      <c r="AA1296" s="101">
        <f ca="1">AA1272-AA1259</f>
        <v>1104.1673280729833</v>
      </c>
      <c r="AB1296" s="101">
        <f t="shared" ca="1" si="1064"/>
        <v>1053.8644060885306</v>
      </c>
      <c r="AC1296" s="101">
        <f t="shared" ca="1" si="1064"/>
        <v>1252.0451145343668</v>
      </c>
      <c r="AD1296" s="101">
        <f t="shared" ca="1" si="1064"/>
        <v>1374.7625985308518</v>
      </c>
      <c r="AE1296" s="94">
        <f t="shared" ca="1" si="1064"/>
        <v>4784.8394472267319</v>
      </c>
      <c r="AF1296" s="94">
        <f t="shared" ca="1" si="1064"/>
        <v>4664.9668143124354</v>
      </c>
      <c r="AG1296" s="94">
        <f t="shared" ref="AG1296:AL1296" ca="1" si="1065">AG1272-AG1259</f>
        <v>5211.3591520102764</v>
      </c>
      <c r="AH1296" s="94">
        <f t="shared" ca="1" si="1065"/>
        <v>5504.8603568489725</v>
      </c>
      <c r="AI1296" s="94">
        <f t="shared" ca="1" si="1065"/>
        <v>5832.1454685784684</v>
      </c>
      <c r="AJ1296" s="94">
        <f t="shared" ca="1" si="1065"/>
        <v>5945.002403657606</v>
      </c>
      <c r="AK1296" s="94">
        <f t="shared" ca="1" si="1065"/>
        <v>5702.752403657606</v>
      </c>
      <c r="AL1296" s="94">
        <f t="shared" ca="1" si="1065"/>
        <v>5702.752403657606</v>
      </c>
      <c r="AM1296" s="651"/>
    </row>
    <row r="1297" spans="2:39" s="83" customFormat="1">
      <c r="B1297" s="124" t="s">
        <v>64</v>
      </c>
      <c r="C1297" s="125" t="s">
        <v>65</v>
      </c>
      <c r="D1297" s="119" t="s">
        <v>236</v>
      </c>
      <c r="E1297" s="119"/>
      <c r="F1297" s="119"/>
      <c r="G1297" s="325">
        <f>G1296-G1270</f>
        <v>3219</v>
      </c>
      <c r="H1297" s="325">
        <f t="shared" ref="H1297:V1297" si="1066">H1296-H1270</f>
        <v>2407</v>
      </c>
      <c r="I1297" s="325">
        <f t="shared" si="1066"/>
        <v>2075</v>
      </c>
      <c r="J1297" s="325">
        <f t="shared" si="1066"/>
        <v>3404</v>
      </c>
      <c r="K1297" s="325">
        <f t="shared" si="1066"/>
        <v>5603</v>
      </c>
      <c r="L1297" s="326">
        <f t="shared" si="1066"/>
        <v>1575</v>
      </c>
      <c r="M1297" s="326">
        <f t="shared" si="1066"/>
        <v>1427</v>
      </c>
      <c r="N1297" s="326">
        <f t="shared" si="1066"/>
        <v>2061</v>
      </c>
      <c r="O1297" s="326">
        <f t="shared" si="1066"/>
        <v>1240</v>
      </c>
      <c r="P1297" s="325">
        <f t="shared" si="1066"/>
        <v>6302</v>
      </c>
      <c r="Q1297" s="326">
        <f t="shared" si="1066"/>
        <v>1357</v>
      </c>
      <c r="R1297" s="326">
        <f t="shared" si="1066"/>
        <v>1209.9999999999998</v>
      </c>
      <c r="S1297" s="326">
        <f t="shared" si="1066"/>
        <v>1046</v>
      </c>
      <c r="T1297" s="326">
        <f t="shared" si="1066"/>
        <v>606</v>
      </c>
      <c r="U1297" s="325">
        <f t="shared" si="1066"/>
        <v>4159</v>
      </c>
      <c r="V1297" s="326">
        <f t="shared" si="1066"/>
        <v>675</v>
      </c>
      <c r="W1297" s="326">
        <f t="shared" ref="W1297:AE1297" si="1067">W1296-W1270</f>
        <v>141</v>
      </c>
      <c r="X1297" s="326">
        <f t="shared" si="1067"/>
        <v>523</v>
      </c>
      <c r="Y1297" s="326">
        <f t="shared" ca="1" si="1067"/>
        <v>989.79942647999997</v>
      </c>
      <c r="Z1297" s="325">
        <f ca="1">Z1296-Z1270</f>
        <v>2328.79942648</v>
      </c>
      <c r="AA1297" s="326">
        <f ca="1">AA1296-AA1270</f>
        <v>1104.1673280729833</v>
      </c>
      <c r="AB1297" s="326">
        <f t="shared" ca="1" si="1067"/>
        <v>1053.8644060885306</v>
      </c>
      <c r="AC1297" s="326">
        <f t="shared" ca="1" si="1067"/>
        <v>1252.0451145343668</v>
      </c>
      <c r="AD1297" s="326">
        <f t="shared" ca="1" si="1067"/>
        <v>1374.7625985308518</v>
      </c>
      <c r="AE1297" s="325">
        <f t="shared" ca="1" si="1067"/>
        <v>4784.8394472267319</v>
      </c>
      <c r="AF1297" s="325">
        <f t="shared" ref="AF1297:AL1297" ca="1" si="1068">AF1296-AF1270</f>
        <v>4664.9668143124354</v>
      </c>
      <c r="AG1297" s="325">
        <f t="shared" ca="1" si="1068"/>
        <v>5211.3591520102764</v>
      </c>
      <c r="AH1297" s="325">
        <f t="shared" ca="1" si="1068"/>
        <v>5504.8603568489725</v>
      </c>
      <c r="AI1297" s="325">
        <f t="shared" ca="1" si="1068"/>
        <v>5832.1454685784684</v>
      </c>
      <c r="AJ1297" s="325">
        <f t="shared" ca="1" si="1068"/>
        <v>5945.002403657606</v>
      </c>
      <c r="AK1297" s="325">
        <f t="shared" ca="1" si="1068"/>
        <v>5702.752403657606</v>
      </c>
      <c r="AL1297" s="325">
        <f t="shared" ca="1" si="1068"/>
        <v>5702.752403657606</v>
      </c>
      <c r="AM1297" s="651"/>
    </row>
    <row r="1298" spans="2:39" s="83" customFormat="1">
      <c r="L1298" s="140"/>
      <c r="M1298" s="140"/>
      <c r="N1298" s="140"/>
      <c r="O1298" s="140"/>
      <c r="Q1298" s="140"/>
      <c r="R1298" s="140"/>
      <c r="S1298" s="140"/>
      <c r="T1298" s="140"/>
      <c r="V1298" s="140"/>
      <c r="W1298" s="140"/>
      <c r="X1298" s="140"/>
      <c r="Y1298" s="140"/>
      <c r="AA1298" s="140"/>
      <c r="AB1298" s="140"/>
      <c r="AC1298" s="140"/>
      <c r="AD1298" s="140"/>
      <c r="AG1298" s="235"/>
      <c r="AH1298" s="235"/>
      <c r="AI1298" s="235"/>
      <c r="AJ1298" s="235"/>
      <c r="AK1298" s="92"/>
      <c r="AM1298" s="651"/>
    </row>
    <row r="1299" spans="2:39" s="83" customFormat="1">
      <c r="L1299" s="140"/>
      <c r="M1299" s="140"/>
      <c r="N1299" s="140"/>
      <c r="O1299" s="140"/>
      <c r="Q1299" s="140"/>
      <c r="R1299" s="140"/>
      <c r="S1299" s="140"/>
      <c r="T1299" s="140"/>
      <c r="V1299" s="140"/>
      <c r="W1299" s="140"/>
      <c r="X1299" s="140"/>
      <c r="Y1299" s="140"/>
      <c r="AA1299" s="140"/>
      <c r="AB1299" s="140"/>
      <c r="AC1299" s="140"/>
      <c r="AD1299" s="140"/>
      <c r="AG1299" s="235"/>
      <c r="AH1299" s="235"/>
      <c r="AI1299" s="235"/>
      <c r="AJ1299" s="235"/>
      <c r="AK1299" s="92"/>
      <c r="AM1299" s="651"/>
    </row>
    <row r="1300" spans="2:39" s="83" customFormat="1">
      <c r="G1300" s="92"/>
      <c r="H1300" s="92"/>
      <c r="I1300" s="92"/>
      <c r="J1300" s="92"/>
      <c r="K1300" s="92"/>
      <c r="L1300" s="99"/>
      <c r="M1300" s="99"/>
      <c r="N1300" s="99"/>
      <c r="O1300" s="99"/>
      <c r="P1300" s="92"/>
      <c r="Q1300" s="99"/>
      <c r="R1300" s="99"/>
      <c r="S1300" s="99"/>
      <c r="T1300" s="99"/>
      <c r="U1300" s="92"/>
      <c r="V1300" s="99"/>
      <c r="W1300" s="99"/>
      <c r="X1300" s="99"/>
      <c r="Y1300" s="99"/>
      <c r="Z1300" s="92"/>
      <c r="AA1300" s="99"/>
      <c r="AB1300" s="99"/>
      <c r="AC1300" s="99"/>
      <c r="AD1300" s="99"/>
      <c r="AE1300" s="92"/>
      <c r="AF1300" s="92"/>
      <c r="AG1300" s="92"/>
      <c r="AH1300" s="92"/>
      <c r="AI1300" s="92"/>
      <c r="AJ1300" s="92"/>
      <c r="AK1300" s="92"/>
      <c r="AM1300" s="651"/>
    </row>
    <row r="1301" spans="2:39" s="83" customFormat="1">
      <c r="D1301" s="119" t="s">
        <v>207</v>
      </c>
      <c r="E1301" s="119"/>
      <c r="G1301" s="111"/>
      <c r="H1301" s="214"/>
      <c r="I1301" s="92"/>
      <c r="J1301" s="92"/>
      <c r="K1301" s="92"/>
      <c r="L1301" s="99"/>
      <c r="M1301" s="99"/>
      <c r="N1301" s="99"/>
      <c r="O1301" s="99"/>
      <c r="P1301" s="92"/>
      <c r="Q1301" s="99"/>
      <c r="R1301" s="99"/>
      <c r="S1301" s="99"/>
      <c r="T1301" s="99"/>
      <c r="U1301" s="92"/>
      <c r="V1301" s="99"/>
      <c r="W1301" s="99"/>
      <c r="X1301" s="99"/>
      <c r="Y1301" s="99"/>
      <c r="Z1301" s="92"/>
      <c r="AA1301" s="99"/>
      <c r="AB1301" s="99"/>
      <c r="AC1301" s="99"/>
      <c r="AD1301" s="99"/>
      <c r="AE1301" s="92"/>
      <c r="AF1301" s="92"/>
      <c r="AG1301" s="92"/>
      <c r="AH1301" s="92"/>
      <c r="AI1301" s="92"/>
      <c r="AJ1301" s="92"/>
      <c r="AK1301" s="92"/>
      <c r="AM1301" s="651"/>
    </row>
    <row r="1302" spans="2:39" s="83" customFormat="1">
      <c r="D1302" s="83" t="s">
        <v>355</v>
      </c>
      <c r="G1302" s="94"/>
      <c r="H1302" s="120">
        <f>H1253/G1253-1</f>
        <v>-8.3457684928586628E-2</v>
      </c>
      <c r="I1302" s="120">
        <f>I1253/H1253-1</f>
        <v>-3.9539481335038928E-2</v>
      </c>
      <c r="J1302" s="120">
        <f>J1253/I1253-1</f>
        <v>0.12604431529240823</v>
      </c>
      <c r="K1302" s="120">
        <f>K1253/J1253-1</f>
        <v>0.28064516129032269</v>
      </c>
      <c r="L1302" s="121"/>
      <c r="M1302" s="121"/>
      <c r="N1302" s="121"/>
      <c r="O1302" s="121"/>
      <c r="P1302" s="120">
        <f>P1253/K1253-1</f>
        <v>5.4911838790931977E-2</v>
      </c>
      <c r="Q1302" s="121"/>
      <c r="R1302" s="121"/>
      <c r="S1302" s="121"/>
      <c r="T1302" s="121"/>
      <c r="U1302" s="120">
        <f>U1253/P1253-1</f>
        <v>-5.014326647564471E-2</v>
      </c>
      <c r="V1302" s="121"/>
      <c r="W1302" s="121"/>
      <c r="X1302" s="121"/>
      <c r="Y1302" s="121"/>
      <c r="Z1302" s="120">
        <f>Z1253/U1253-1</f>
        <v>-0.25020948550360311</v>
      </c>
      <c r="AA1302" s="121"/>
      <c r="AB1302" s="121"/>
      <c r="AC1302" s="121"/>
      <c r="AD1302" s="121"/>
      <c r="AE1302" s="120">
        <f>AE1253/Z1253-1</f>
        <v>0.26645030163231898</v>
      </c>
      <c r="AF1302" s="120">
        <f>AF1253/AE1253-1</f>
        <v>5.4015462798540081E-2</v>
      </c>
      <c r="AG1302" s="123"/>
      <c r="AH1302" s="123"/>
      <c r="AI1302" s="123"/>
      <c r="AJ1302" s="92"/>
      <c r="AK1302" s="92"/>
      <c r="AM1302" s="651"/>
    </row>
    <row r="1303" spans="2:39" s="83" customFormat="1">
      <c r="D1303" s="83" t="s">
        <v>237</v>
      </c>
      <c r="G1303" s="94"/>
      <c r="H1303" s="120">
        <f>H1297/G1297-1</f>
        <v>-0.25225225225225223</v>
      </c>
      <c r="I1303" s="120">
        <f>I1297/H1297-1</f>
        <v>-0.13793103448275867</v>
      </c>
      <c r="J1303" s="120">
        <f>J1297/I1297-1</f>
        <v>0.64048192771084334</v>
      </c>
      <c r="K1303" s="120">
        <f>K1297/J1297-1</f>
        <v>0.64600470035252644</v>
      </c>
      <c r="L1303" s="121"/>
      <c r="M1303" s="121"/>
      <c r="N1303" s="121"/>
      <c r="O1303" s="121"/>
      <c r="P1303" s="120">
        <f>P1297/K1297-1</f>
        <v>0.12475459575227554</v>
      </c>
      <c r="Q1303" s="121"/>
      <c r="R1303" s="121"/>
      <c r="S1303" s="121"/>
      <c r="T1303" s="121"/>
      <c r="U1303" s="120">
        <f>U1297/P1297-1</f>
        <v>-0.34005077753094259</v>
      </c>
      <c r="V1303" s="121"/>
      <c r="W1303" s="121"/>
      <c r="X1303" s="121"/>
      <c r="Y1303" s="121"/>
      <c r="Z1303" s="120">
        <f ca="1">Z1297/U1297-1</f>
        <v>-0.44005784407790338</v>
      </c>
      <c r="AA1303" s="121"/>
      <c r="AB1303" s="121"/>
      <c r="AC1303" s="121"/>
      <c r="AD1303" s="121"/>
      <c r="AE1303" s="120">
        <f ca="1">AE1297/Z1297-1</f>
        <v>1.0546378502244211</v>
      </c>
      <c r="AF1303" s="120">
        <f ca="1">AF1297/AE1297-1</f>
        <v>-2.5052592513584493E-2</v>
      </c>
      <c r="AG1303" s="123"/>
      <c r="AH1303" s="123"/>
      <c r="AI1303" s="123"/>
      <c r="AJ1303" s="92"/>
      <c r="AK1303" s="92"/>
      <c r="AM1303" s="651"/>
    </row>
    <row r="1304" spans="2:39" s="83" customFormat="1">
      <c r="D1304" s="83" t="s">
        <v>204</v>
      </c>
      <c r="G1304" s="120">
        <f>G1262/G1253</f>
        <v>0.25953954380729055</v>
      </c>
      <c r="H1304" s="120">
        <f t="shared" ref="H1304:V1304" si="1069">H1262/H1253</f>
        <v>0.17885800674497035</v>
      </c>
      <c r="I1304" s="120">
        <f t="shared" si="1069"/>
        <v>0.15437704322557211</v>
      </c>
      <c r="J1304" s="120">
        <f t="shared" si="1069"/>
        <v>0.25763440860215053</v>
      </c>
      <c r="K1304" s="120">
        <f t="shared" si="1069"/>
        <v>0.38345927791771622</v>
      </c>
      <c r="L1304" s="121">
        <f t="shared" si="1069"/>
        <v>0.44016817593790425</v>
      </c>
      <c r="M1304" s="121">
        <f t="shared" si="1069"/>
        <v>0.41147214854111408</v>
      </c>
      <c r="N1304" s="121">
        <f t="shared" si="1069"/>
        <v>0.31411654721096915</v>
      </c>
      <c r="O1304" s="121">
        <f t="shared" si="1069"/>
        <v>0.31167231290421926</v>
      </c>
      <c r="P1304" s="120">
        <f t="shared" si="1069"/>
        <v>0.36779687997453042</v>
      </c>
      <c r="Q1304" s="121">
        <f t="shared" si="1069"/>
        <v>0.3425627817128139</v>
      </c>
      <c r="R1304" s="121">
        <f t="shared" si="1069"/>
        <v>0.34480560866794135</v>
      </c>
      <c r="S1304" s="121">
        <f t="shared" si="1069"/>
        <v>0.26227347611202634</v>
      </c>
      <c r="T1304" s="121">
        <f t="shared" si="1069"/>
        <v>0.17024482109227873</v>
      </c>
      <c r="U1304" s="120">
        <f t="shared" si="1069"/>
        <v>0.27987263281380931</v>
      </c>
      <c r="V1304" s="121">
        <f t="shared" si="1069"/>
        <v>0.16785864535128314</v>
      </c>
      <c r="W1304" s="121">
        <f t="shared" ref="W1304:AF1304" si="1070">W1262/W1253</f>
        <v>8.0232558139534879E-2</v>
      </c>
      <c r="X1304" s="121">
        <f t="shared" si="1070"/>
        <v>0.12701876909646442</v>
      </c>
      <c r="Y1304" s="121">
        <f t="shared" ca="1" si="1070"/>
        <v>0.29780566811944964</v>
      </c>
      <c r="Z1304" s="120">
        <f t="shared" ca="1" si="1070"/>
        <v>0.1789102846705731</v>
      </c>
      <c r="AA1304" s="121">
        <f t="shared" ca="1" si="1070"/>
        <v>0.33439999878056015</v>
      </c>
      <c r="AB1304" s="121">
        <f t="shared" ca="1" si="1070"/>
        <v>0.32586662516123022</v>
      </c>
      <c r="AC1304" s="121">
        <f t="shared" ca="1" si="1070"/>
        <v>0.33994402990520334</v>
      </c>
      <c r="AD1304" s="121">
        <f t="shared" ca="1" si="1070"/>
        <v>0.33526649554418569</v>
      </c>
      <c r="AE1304" s="120">
        <f t="shared" ca="1" si="1070"/>
        <v>0.33412556772602997</v>
      </c>
      <c r="AF1304" s="120">
        <f t="shared" ca="1" si="1070"/>
        <v>0.34030481338283625</v>
      </c>
      <c r="AG1304" s="123"/>
      <c r="AH1304" s="123"/>
      <c r="AI1304" s="123"/>
      <c r="AJ1304" s="92"/>
      <c r="AK1304" s="92"/>
      <c r="AM1304" s="651"/>
    </row>
    <row r="1305" spans="2:39" s="83" customFormat="1">
      <c r="D1305" s="83" t="s">
        <v>239</v>
      </c>
      <c r="G1305" s="142">
        <f>G1297/G1253</f>
        <v>0.34310381581752292</v>
      </c>
      <c r="H1305" s="142">
        <f t="shared" ref="H1305:V1305" si="1071">H1297/H1253</f>
        <v>0.27991626933364344</v>
      </c>
      <c r="I1305" s="142">
        <f t="shared" si="1071"/>
        <v>0.25124107034749971</v>
      </c>
      <c r="J1305" s="142">
        <f t="shared" si="1071"/>
        <v>0.36602150537634409</v>
      </c>
      <c r="K1305" s="142">
        <f t="shared" si="1071"/>
        <v>0.47044500419815283</v>
      </c>
      <c r="L1305" s="143">
        <f t="shared" si="1071"/>
        <v>0.50937904269081502</v>
      </c>
      <c r="M1305" s="143">
        <f t="shared" si="1071"/>
        <v>0.47314323607427056</v>
      </c>
      <c r="N1305" s="143">
        <f t="shared" si="1071"/>
        <v>0.64225615456528518</v>
      </c>
      <c r="O1305" s="143">
        <f t="shared" si="1071"/>
        <v>0.38189097628580226</v>
      </c>
      <c r="P1305" s="142">
        <f t="shared" si="1071"/>
        <v>0.50159184972938553</v>
      </c>
      <c r="Q1305" s="143">
        <f t="shared" si="1071"/>
        <v>0.43689632968448167</v>
      </c>
      <c r="R1305" s="143">
        <f t="shared" si="1071"/>
        <v>0.38559592096876982</v>
      </c>
      <c r="S1305" s="143">
        <f t="shared" si="1071"/>
        <v>0.34464579901153214</v>
      </c>
      <c r="T1305" s="143">
        <f t="shared" si="1071"/>
        <v>0.22824858757062147</v>
      </c>
      <c r="U1305" s="142">
        <f t="shared" si="1071"/>
        <v>0.34850008379420144</v>
      </c>
      <c r="V1305" s="143">
        <f t="shared" si="1071"/>
        <v>0.28397139251156922</v>
      </c>
      <c r="W1305" s="143">
        <f t="shared" ref="W1305:AF1305" si="1072">W1297/W1253</f>
        <v>8.1976744186046516E-2</v>
      </c>
      <c r="X1305" s="143">
        <f t="shared" si="1072"/>
        <v>0.22828459188127456</v>
      </c>
      <c r="Y1305" s="143">
        <f t="shared" ca="1" si="1072"/>
        <v>0.37373918328137545</v>
      </c>
      <c r="Z1305" s="142">
        <f t="shared" ca="1" si="1072"/>
        <v>0.25771405711410289</v>
      </c>
      <c r="AA1305" s="143">
        <f t="shared" ca="1" si="1072"/>
        <v>0.38698637897183008</v>
      </c>
      <c r="AB1305" s="143">
        <f t="shared" ca="1" si="1072"/>
        <v>0.38198353777790572</v>
      </c>
      <c r="AC1305" s="143">
        <f t="shared" ca="1" si="1072"/>
        <v>0.40236961304991087</v>
      </c>
      <c r="AD1305" s="143">
        <f t="shared" ca="1" si="1072"/>
        <v>0.40242767523825457</v>
      </c>
      <c r="AE1305" s="142">
        <f t="shared" ca="1" si="1072"/>
        <v>0.39413754737614598</v>
      </c>
      <c r="AF1305" s="142">
        <f t="shared" ca="1" si="1072"/>
        <v>0.3710102855230199</v>
      </c>
      <c r="AG1305" s="306"/>
      <c r="AH1305" s="306"/>
      <c r="AI1305" s="306"/>
      <c r="AJ1305" s="92"/>
      <c r="AK1305" s="92"/>
      <c r="AM1305" s="651"/>
    </row>
    <row r="1306" spans="2:39" s="83" customFormat="1">
      <c r="D1306" s="83" t="s">
        <v>238</v>
      </c>
      <c r="G1306" s="142">
        <f>G1273/G1253</f>
        <v>0.21168194414836922</v>
      </c>
      <c r="H1306" s="142">
        <f t="shared" ref="H1306:V1306" si="1073">H1273/H1253</f>
        <v>0.12361902546807768</v>
      </c>
      <c r="I1306" s="142">
        <f t="shared" si="1073"/>
        <v>8.5845744036808336E-2</v>
      </c>
      <c r="J1306" s="142">
        <f t="shared" si="1073"/>
        <v>0.21709677419354839</v>
      </c>
      <c r="K1306" s="142">
        <f t="shared" si="1073"/>
        <v>0.34517212426532323</v>
      </c>
      <c r="L1306" s="143">
        <f t="shared" si="1073"/>
        <v>0.3961836998706339</v>
      </c>
      <c r="M1306" s="143">
        <f t="shared" si="1073"/>
        <v>0.35610079575596815</v>
      </c>
      <c r="N1306" s="143">
        <f t="shared" si="1073"/>
        <v>0.52383920224368963</v>
      </c>
      <c r="O1306" s="143">
        <f t="shared" si="1073"/>
        <v>0.25870033877425314</v>
      </c>
      <c r="P1306" s="142">
        <f t="shared" si="1073"/>
        <v>0.3835561922954473</v>
      </c>
      <c r="Q1306" s="143">
        <f t="shared" si="1073"/>
        <v>0.3168061815840309</v>
      </c>
      <c r="R1306" s="143">
        <f t="shared" si="1073"/>
        <v>0.25971956660293183</v>
      </c>
      <c r="S1306" s="143">
        <f t="shared" si="1073"/>
        <v>0.2009884678747941</v>
      </c>
      <c r="T1306" s="143">
        <f t="shared" si="1073"/>
        <v>6.9679849340866296E-2</v>
      </c>
      <c r="U1306" s="142">
        <f t="shared" si="1073"/>
        <v>0.21283727166080108</v>
      </c>
      <c r="V1306" s="143">
        <f t="shared" si="1073"/>
        <v>0.12494741270509045</v>
      </c>
      <c r="W1306" s="143">
        <f t="shared" ref="W1306:AF1306" si="1074">W1273/W1253</f>
        <v>-0.10058139534883721</v>
      </c>
      <c r="X1306" s="143">
        <f t="shared" si="1074"/>
        <v>4.8450458315146223E-2</v>
      </c>
      <c r="Y1306" s="143">
        <f t="shared" ca="1" si="1074"/>
        <v>0.2253459885591633</v>
      </c>
      <c r="Z1306" s="142" t="e">
        <f t="shared" ca="1" si="1074"/>
        <v>#VALUE!</v>
      </c>
      <c r="AA1306" s="143">
        <f t="shared" ca="1" si="1074"/>
        <v>0.25974818050510451</v>
      </c>
      <c r="AB1306" s="143">
        <f t="shared" ca="1" si="1074"/>
        <v>0.24866267645906764</v>
      </c>
      <c r="AC1306" s="143">
        <f t="shared" ca="1" si="1074"/>
        <v>0.27149224123982091</v>
      </c>
      <c r="AD1306" s="143">
        <f t="shared" ca="1" si="1074"/>
        <v>0.27291602505760848</v>
      </c>
      <c r="AE1306" s="142">
        <f t="shared" ca="1" si="1074"/>
        <v>0.26394448974668266</v>
      </c>
      <c r="AF1306" s="142">
        <f t="shared" ca="1" si="1074"/>
        <v>0.24068555066219943</v>
      </c>
      <c r="AG1306" s="306"/>
      <c r="AH1306" s="306"/>
      <c r="AI1306" s="306"/>
      <c r="AJ1306" s="92"/>
      <c r="AK1306" s="92"/>
      <c r="AM1306" s="651"/>
    </row>
    <row r="1307" spans="2:39" s="83" customFormat="1">
      <c r="D1307" s="83" t="s">
        <v>249</v>
      </c>
      <c r="G1307" s="336">
        <f>-G1268/G1253</f>
        <v>1.3749733532295886E-2</v>
      </c>
      <c r="H1307" s="336">
        <f t="shared" ref="H1307:V1307" si="1075">-H1268/H1253</f>
        <v>1.3838818467263635E-2</v>
      </c>
      <c r="I1307" s="336">
        <f t="shared" si="1075"/>
        <v>1.3076643661460226E-2</v>
      </c>
      <c r="J1307" s="336">
        <f t="shared" si="1075"/>
        <v>1.064516129032258E-2</v>
      </c>
      <c r="K1307" s="336">
        <f t="shared" si="1075"/>
        <v>9.7397145256087319E-3</v>
      </c>
      <c r="L1307" s="337">
        <f t="shared" si="1075"/>
        <v>1.0025873221216041E-2</v>
      </c>
      <c r="M1307" s="337">
        <f t="shared" si="1075"/>
        <v>9.6153846153846159E-3</v>
      </c>
      <c r="N1307" s="337">
        <f t="shared" si="1075"/>
        <v>9.9719538797133061E-3</v>
      </c>
      <c r="O1307" s="337">
        <f t="shared" si="1075"/>
        <v>1.5398829688943641E-2</v>
      </c>
      <c r="P1307" s="336">
        <f t="shared" si="1075"/>
        <v>1.1302133078637377E-2</v>
      </c>
      <c r="Q1307" s="337">
        <f t="shared" si="1075"/>
        <v>1.28783000643915E-2</v>
      </c>
      <c r="R1307" s="337">
        <f t="shared" si="1075"/>
        <v>1.3702995538559592E-2</v>
      </c>
      <c r="S1307" s="337">
        <f t="shared" si="1075"/>
        <v>1.1532125205930808E-2</v>
      </c>
      <c r="T1307" s="337">
        <f t="shared" si="1075"/>
        <v>1.6195856873822974E-2</v>
      </c>
      <c r="U1307" s="336">
        <f t="shared" si="1075"/>
        <v>1.3490866432042902E-2</v>
      </c>
      <c r="V1307" s="337">
        <f t="shared" si="1075"/>
        <v>1.3041649137568364E-2</v>
      </c>
      <c r="W1307" s="337">
        <f>-W1268/W1253</f>
        <v>1.3953488372093023E-2</v>
      </c>
      <c r="X1307" s="337"/>
      <c r="Y1307" s="337"/>
      <c r="Z1307" s="336"/>
      <c r="AA1307" s="337"/>
      <c r="AB1307" s="337"/>
      <c r="AC1307" s="337"/>
      <c r="AD1307" s="337"/>
      <c r="AE1307" s="336"/>
      <c r="AF1307" s="338"/>
      <c r="AG1307" s="338"/>
      <c r="AH1307" s="338"/>
      <c r="AI1307" s="338"/>
      <c r="AJ1307" s="92"/>
      <c r="AK1307" s="92"/>
      <c r="AM1307" s="651"/>
    </row>
    <row r="1308" spans="2:39" s="83" customFormat="1">
      <c r="D1308" s="83" t="s">
        <v>250</v>
      </c>
      <c r="G1308" s="336">
        <f>-SUM(G1266,G1267)/G1253</f>
        <v>1.1085056491153272E-2</v>
      </c>
      <c r="H1308" s="336">
        <f t="shared" ref="H1308:V1308" si="1076">-SUM(H1266,H1267)/H1253</f>
        <v>1.0350040702407257E-2</v>
      </c>
      <c r="I1308" s="336">
        <f t="shared" si="1076"/>
        <v>1.4892844169996368E-2</v>
      </c>
      <c r="J1308" s="336">
        <f t="shared" si="1076"/>
        <v>8.7096774193548381E-3</v>
      </c>
      <c r="K1308" s="336">
        <f t="shared" si="1076"/>
        <v>9.4878253568429893E-3</v>
      </c>
      <c r="L1308" s="337">
        <f t="shared" si="1076"/>
        <v>7.1151358344113845E-3</v>
      </c>
      <c r="M1308" s="337">
        <f t="shared" si="1076"/>
        <v>6.9628647214854114E-3</v>
      </c>
      <c r="N1308" s="337">
        <f t="shared" si="1076"/>
        <v>8.4138360860081026E-3</v>
      </c>
      <c r="O1308" s="337">
        <f t="shared" si="1076"/>
        <v>1.0471204188481676E-2</v>
      </c>
      <c r="P1308" s="336">
        <f t="shared" si="1076"/>
        <v>8.2776185928048387E-3</v>
      </c>
      <c r="Q1308" s="337">
        <f t="shared" si="1076"/>
        <v>8.0489375402446883E-3</v>
      </c>
      <c r="R1308" s="337">
        <f t="shared" si="1076"/>
        <v>8.2855321861057991E-3</v>
      </c>
      <c r="S1308" s="337">
        <f t="shared" si="1076"/>
        <v>1.4497528830313015E-2</v>
      </c>
      <c r="T1308" s="337">
        <f t="shared" si="1076"/>
        <v>1.4689265536723164E-2</v>
      </c>
      <c r="U1308" s="336">
        <f t="shared" si="1076"/>
        <v>1.1228422993128876E-2</v>
      </c>
      <c r="V1308" s="337">
        <f t="shared" si="1076"/>
        <v>1.4303744215397559E-2</v>
      </c>
      <c r="W1308" s="337">
        <f>-SUM(W1266,W1267)/W1253</f>
        <v>1.4534883720930232E-2</v>
      </c>
      <c r="X1308" s="337"/>
      <c r="Y1308" s="337"/>
      <c r="Z1308" s="336"/>
      <c r="AA1308" s="337"/>
      <c r="AB1308" s="337"/>
      <c r="AC1308" s="337"/>
      <c r="AD1308" s="337"/>
      <c r="AE1308" s="336"/>
      <c r="AF1308" s="338"/>
      <c r="AG1308" s="338"/>
      <c r="AH1308" s="338"/>
      <c r="AI1308" s="338"/>
      <c r="AJ1308" s="92"/>
      <c r="AK1308" s="92"/>
      <c r="AM1308" s="651"/>
    </row>
    <row r="1309" spans="2:39" s="83" customFormat="1">
      <c r="D1309" s="83" t="s">
        <v>251</v>
      </c>
      <c r="G1309" s="142">
        <f>(G1267+G1266)/G1269</f>
        <v>0.23162583518930957</v>
      </c>
      <c r="H1309" s="142">
        <f t="shared" ref="H1309:V1309" si="1077">(H1267+H1266)/H1269</f>
        <v>0.18736842105263157</v>
      </c>
      <c r="I1309" s="142">
        <f t="shared" si="1077"/>
        <v>0.21731448763250882</v>
      </c>
      <c r="J1309" s="142">
        <f t="shared" si="1077"/>
        <v>0.21485411140583555</v>
      </c>
      <c r="K1309" s="142">
        <f t="shared" si="1077"/>
        <v>0.24780701754385964</v>
      </c>
      <c r="L1309" s="143">
        <f t="shared" si="1077"/>
        <v>0.16176470588235295</v>
      </c>
      <c r="M1309" s="143">
        <f t="shared" si="1077"/>
        <v>0.12574850299401197</v>
      </c>
      <c r="N1309" s="143">
        <f t="shared" si="1077"/>
        <v>-4.0118870728083213E-2</v>
      </c>
      <c r="O1309" s="143">
        <f t="shared" si="1077"/>
        <v>0.19767441860465115</v>
      </c>
      <c r="P1309" s="142">
        <f t="shared" si="1077"/>
        <v>-0.5252525252525253</v>
      </c>
      <c r="Q1309" s="143">
        <f t="shared" si="1077"/>
        <v>0.3125</v>
      </c>
      <c r="R1309" s="143">
        <f t="shared" si="1077"/>
        <v>9.7378277153558054E-2</v>
      </c>
      <c r="S1309" s="143">
        <f t="shared" si="1077"/>
        <v>0.23655913978494625</v>
      </c>
      <c r="T1309" s="143">
        <f t="shared" si="1077"/>
        <v>0.14606741573033707</v>
      </c>
      <c r="U1309" s="142">
        <f t="shared" si="1077"/>
        <v>0.16750000000000001</v>
      </c>
      <c r="V1309" s="143">
        <f t="shared" si="1077"/>
        <v>0.33333333333333331</v>
      </c>
      <c r="W1309" s="143">
        <f>(W1267+W1266)/W1269</f>
        <v>8.0385852090032156E-2</v>
      </c>
      <c r="X1309" s="143"/>
      <c r="Y1309" s="143"/>
      <c r="Z1309" s="142"/>
      <c r="AA1309" s="143"/>
      <c r="AB1309" s="143"/>
      <c r="AC1309" s="143"/>
      <c r="AD1309" s="143"/>
      <c r="AE1309" s="142"/>
      <c r="AF1309" s="142"/>
      <c r="AG1309" s="338"/>
      <c r="AH1309" s="338"/>
      <c r="AI1309" s="338"/>
      <c r="AJ1309" s="92"/>
      <c r="AK1309" s="92"/>
      <c r="AM1309" s="651"/>
    </row>
    <row r="1310" spans="2:39" s="83" customFormat="1">
      <c r="G1310" s="92"/>
      <c r="H1310" s="92"/>
      <c r="I1310" s="92"/>
      <c r="J1310" s="92"/>
      <c r="K1310" s="92"/>
      <c r="L1310" s="99"/>
      <c r="M1310" s="99"/>
      <c r="N1310" s="99"/>
      <c r="O1310" s="99"/>
      <c r="P1310" s="92"/>
      <c r="Q1310" s="99"/>
      <c r="R1310" s="99"/>
      <c r="S1310" s="99"/>
      <c r="T1310" s="99"/>
      <c r="U1310" s="92"/>
      <c r="V1310" s="99"/>
      <c r="W1310" s="99"/>
      <c r="X1310" s="99"/>
      <c r="Y1310" s="99"/>
      <c r="Z1310" s="92"/>
      <c r="AA1310" s="99"/>
      <c r="AB1310" s="99"/>
      <c r="AC1310" s="99"/>
      <c r="AD1310" s="99"/>
      <c r="AE1310" s="92"/>
      <c r="AF1310" s="92"/>
      <c r="AG1310" s="92"/>
      <c r="AH1310" s="92"/>
      <c r="AI1310" s="92"/>
      <c r="AJ1310" s="92"/>
      <c r="AK1310" s="92"/>
      <c r="AM1310" s="651"/>
    </row>
    <row r="1311" spans="2:39" s="83" customFormat="1">
      <c r="G1311" s="92"/>
      <c r="H1311" s="92"/>
      <c r="I1311" s="92"/>
      <c r="J1311" s="92"/>
      <c r="K1311" s="92"/>
      <c r="L1311" s="99"/>
      <c r="M1311" s="99"/>
      <c r="N1311" s="99"/>
      <c r="O1311" s="99"/>
      <c r="P1311" s="92"/>
      <c r="Q1311" s="99"/>
      <c r="R1311" s="99"/>
      <c r="S1311" s="99"/>
      <c r="T1311" s="99"/>
      <c r="U1311" s="92"/>
      <c r="V1311" s="99"/>
      <c r="W1311" s="99"/>
      <c r="X1311" s="99"/>
      <c r="Y1311" s="99"/>
      <c r="Z1311" s="92"/>
      <c r="AA1311" s="99"/>
      <c r="AB1311" s="99"/>
      <c r="AC1311" s="99"/>
      <c r="AD1311" s="99"/>
      <c r="AE1311" s="92"/>
      <c r="AF1311" s="92"/>
      <c r="AG1311" s="92"/>
      <c r="AH1311" s="92"/>
      <c r="AI1311" s="92"/>
      <c r="AJ1311" s="92"/>
      <c r="AK1311" s="92"/>
      <c r="AM1311" s="651"/>
    </row>
    <row r="1312" spans="2:39" s="83" customFormat="1">
      <c r="G1312" s="92"/>
      <c r="H1312" s="92"/>
      <c r="I1312" s="92"/>
      <c r="J1312" s="92"/>
      <c r="K1312" s="92"/>
      <c r="L1312" s="99"/>
      <c r="M1312" s="99"/>
      <c r="N1312" s="99"/>
      <c r="O1312" s="99"/>
      <c r="P1312" s="92"/>
      <c r="Q1312" s="99"/>
      <c r="R1312" s="99"/>
      <c r="S1312" s="99"/>
      <c r="T1312" s="99"/>
      <c r="U1312" s="92"/>
      <c r="V1312" s="99"/>
      <c r="W1312" s="99"/>
      <c r="X1312" s="99"/>
      <c r="Y1312" s="99"/>
      <c r="Z1312" s="92"/>
      <c r="AA1312" s="99"/>
      <c r="AB1312" s="99"/>
      <c r="AC1312" s="99"/>
      <c r="AD1312" s="99"/>
      <c r="AE1312" s="92"/>
      <c r="AF1312" s="92"/>
      <c r="AG1312" s="92"/>
      <c r="AH1312" s="92"/>
      <c r="AI1312" s="92"/>
      <c r="AJ1312" s="92"/>
      <c r="AK1312" s="92"/>
      <c r="AM1312" s="651"/>
    </row>
    <row r="1313" spans="4:44" s="83" customFormat="1">
      <c r="D1313" s="119" t="s">
        <v>268</v>
      </c>
      <c r="E1313" s="119"/>
      <c r="G1313" s="92"/>
      <c r="H1313" s="92"/>
      <c r="I1313" s="92"/>
      <c r="J1313" s="92"/>
      <c r="K1313" s="92"/>
      <c r="L1313" s="99"/>
      <c r="M1313" s="99"/>
      <c r="N1313" s="99"/>
      <c r="O1313" s="99"/>
      <c r="P1313" s="92"/>
      <c r="Q1313" s="99"/>
      <c r="R1313" s="99"/>
      <c r="S1313" s="99"/>
      <c r="T1313" s="99"/>
      <c r="U1313" s="92"/>
      <c r="V1313" s="99"/>
      <c r="W1313" s="99"/>
      <c r="X1313" s="99"/>
      <c r="Y1313" s="99"/>
      <c r="Z1313" s="92"/>
      <c r="AA1313" s="99"/>
      <c r="AB1313" s="99"/>
      <c r="AC1313" s="99"/>
      <c r="AD1313" s="99"/>
      <c r="AE1313" s="92"/>
      <c r="AF1313" s="92"/>
      <c r="AG1313" s="92"/>
      <c r="AH1313" s="92"/>
      <c r="AI1313" s="92"/>
      <c r="AJ1313" s="92"/>
      <c r="AK1313" s="92"/>
      <c r="AM1313" s="651"/>
    </row>
    <row r="1314" spans="4:44" s="83" customFormat="1">
      <c r="D1314" s="83" t="s">
        <v>269</v>
      </c>
      <c r="G1314" s="94">
        <f t="shared" ref="G1314:V1314" si="1078">G83</f>
        <v>1690</v>
      </c>
      <c r="H1314" s="94">
        <f t="shared" si="1078"/>
        <v>886</v>
      </c>
      <c r="I1314" s="94">
        <f t="shared" si="1078"/>
        <v>850</v>
      </c>
      <c r="J1314" s="94">
        <f t="shared" si="1078"/>
        <v>1933</v>
      </c>
      <c r="K1314" s="94">
        <f t="shared" si="1078"/>
        <v>3633</v>
      </c>
      <c r="L1314" s="101">
        <f t="shared" si="1078"/>
        <v>996</v>
      </c>
      <c r="M1314" s="101">
        <f t="shared" si="1078"/>
        <v>931</v>
      </c>
      <c r="N1314" s="101">
        <f t="shared" si="1078"/>
        <v>800</v>
      </c>
      <c r="O1314" s="101">
        <f t="shared" si="1078"/>
        <v>964</v>
      </c>
      <c r="P1314" s="94">
        <f t="shared" si="1078"/>
        <v>3691</v>
      </c>
      <c r="Q1314" s="101">
        <f t="shared" si="1078"/>
        <v>891</v>
      </c>
      <c r="R1314" s="101">
        <f t="shared" si="1078"/>
        <v>873</v>
      </c>
      <c r="S1314" s="101">
        <f t="shared" si="1078"/>
        <v>605</v>
      </c>
      <c r="T1314" s="101">
        <f t="shared" si="1078"/>
        <v>399</v>
      </c>
      <c r="U1314" s="94">
        <f t="shared" si="1078"/>
        <v>2768</v>
      </c>
      <c r="V1314" s="101">
        <f t="shared" si="1078"/>
        <v>445</v>
      </c>
      <c r="W1314" s="101">
        <f t="shared" ref="W1314:AE1314" si="1079">W83</f>
        <v>165</v>
      </c>
      <c r="X1314" s="101">
        <f t="shared" si="1079"/>
        <v>85</v>
      </c>
      <c r="Y1314" s="101">
        <f t="shared" si="1079"/>
        <v>121</v>
      </c>
      <c r="Z1314" s="94">
        <f t="shared" si="1079"/>
        <v>816</v>
      </c>
      <c r="AA1314" s="101">
        <f t="shared" si="1079"/>
        <v>363.75</v>
      </c>
      <c r="AB1314" s="101">
        <f t="shared" si="1079"/>
        <v>408.75</v>
      </c>
      <c r="AC1314" s="101">
        <f t="shared" si="1079"/>
        <v>319.53532700000005</v>
      </c>
      <c r="AD1314" s="101">
        <f t="shared" si="1079"/>
        <v>357.03500739999993</v>
      </c>
      <c r="AE1314" s="94">
        <f t="shared" si="1079"/>
        <v>1449.0703343999999</v>
      </c>
      <c r="AF1314" s="94">
        <f>AF82</f>
        <v>1236.4364999999998</v>
      </c>
      <c r="AG1314" s="94">
        <f t="shared" ref="AG1314:AL1314" si="1080">AG82</f>
        <v>1092.5680000000002</v>
      </c>
      <c r="AH1314" s="94">
        <f t="shared" si="1080"/>
        <v>1125.5870000000004</v>
      </c>
      <c r="AI1314" s="94">
        <f t="shared" si="1080"/>
        <v>1125.5870000000004</v>
      </c>
      <c r="AJ1314" s="94">
        <f t="shared" si="1080"/>
        <v>1125.5870000000004</v>
      </c>
      <c r="AK1314" s="94">
        <f t="shared" si="1080"/>
        <v>1125.5870000000004</v>
      </c>
      <c r="AL1314" s="94">
        <f t="shared" si="1080"/>
        <v>1125.5870000000004</v>
      </c>
      <c r="AM1314" s="651"/>
    </row>
    <row r="1315" spans="4:44" s="83" customFormat="1">
      <c r="D1315" s="83" t="s">
        <v>146</v>
      </c>
      <c r="G1315" s="94">
        <f t="shared" ref="G1315:V1315" si="1081">G527</f>
        <v>1280</v>
      </c>
      <c r="H1315" s="94">
        <f t="shared" si="1081"/>
        <v>1045</v>
      </c>
      <c r="I1315" s="94">
        <f t="shared" si="1081"/>
        <v>701</v>
      </c>
      <c r="J1315" s="94">
        <f t="shared" si="1081"/>
        <v>823</v>
      </c>
      <c r="K1315" s="94">
        <f t="shared" si="1081"/>
        <v>1217</v>
      </c>
      <c r="L1315" s="101">
        <f t="shared" si="1081"/>
        <v>355</v>
      </c>
      <c r="M1315" s="101">
        <f t="shared" si="1081"/>
        <v>325</v>
      </c>
      <c r="N1315" s="101">
        <f t="shared" si="1081"/>
        <v>188</v>
      </c>
      <c r="O1315" s="101">
        <f t="shared" si="1081"/>
        <v>241</v>
      </c>
      <c r="P1315" s="94">
        <f t="shared" si="1081"/>
        <v>1108</v>
      </c>
      <c r="Q1315" s="101">
        <f t="shared" si="1081"/>
        <v>279</v>
      </c>
      <c r="R1315" s="101">
        <f t="shared" si="1081"/>
        <v>198.00000000000003</v>
      </c>
      <c r="S1315" s="101">
        <f t="shared" si="1081"/>
        <v>201.00000000000003</v>
      </c>
      <c r="T1315" s="101">
        <f t="shared" si="1081"/>
        <v>219.00000000000003</v>
      </c>
      <c r="U1315" s="94">
        <f t="shared" si="1081"/>
        <v>897</v>
      </c>
      <c r="V1315" s="101">
        <f t="shared" si="1081"/>
        <v>114</v>
      </c>
      <c r="W1315" s="101">
        <f t="shared" ref="W1315:AE1315" si="1082">W527</f>
        <v>74</v>
      </c>
      <c r="X1315" s="101">
        <f t="shared" si="1082"/>
        <v>232</v>
      </c>
      <c r="Y1315" s="101">
        <f t="shared" si="1082"/>
        <v>499</v>
      </c>
      <c r="Z1315" s="94">
        <f t="shared" si="1082"/>
        <v>919</v>
      </c>
      <c r="AA1315" s="101">
        <f t="shared" si="1082"/>
        <v>478</v>
      </c>
      <c r="AB1315" s="101">
        <f t="shared" si="1082"/>
        <v>559</v>
      </c>
      <c r="AC1315" s="101">
        <f t="shared" si="1082"/>
        <v>348.99681488442332</v>
      </c>
      <c r="AD1315" s="101">
        <f t="shared" si="1082"/>
        <v>320.07321887679348</v>
      </c>
      <c r="AE1315" s="94">
        <f t="shared" si="1082"/>
        <v>1706.0700337612168</v>
      </c>
      <c r="AF1315" s="94">
        <f>AF526</f>
        <v>2064.7996795530653</v>
      </c>
      <c r="AG1315" s="94">
        <f t="shared" ref="AG1315:AL1315" si="1083">AG526</f>
        <v>2750.1788459726931</v>
      </c>
      <c r="AH1315" s="94">
        <f t="shared" si="1083"/>
        <v>3307.0433314646939</v>
      </c>
      <c r="AI1315" s="94">
        <f t="shared" si="1083"/>
        <v>2856.9485929010179</v>
      </c>
      <c r="AJ1315" s="94">
        <f t="shared" si="1083"/>
        <v>2920.5709122008438</v>
      </c>
      <c r="AK1315" s="94">
        <f t="shared" si="1083"/>
        <v>2787.5709122008438</v>
      </c>
      <c r="AL1315" s="94">
        <f t="shared" si="1083"/>
        <v>2787.5709122008438</v>
      </c>
      <c r="AM1315" s="651"/>
      <c r="AR1315" s="118"/>
    </row>
    <row r="1316" spans="4:44" s="83" customFormat="1">
      <c r="D1316" s="83" t="s">
        <v>171</v>
      </c>
      <c r="G1316" s="94">
        <f t="shared" ref="G1316:V1316" si="1084">G986</f>
        <v>547</v>
      </c>
      <c r="H1316" s="94">
        <f t="shared" si="1084"/>
        <v>732</v>
      </c>
      <c r="I1316" s="94">
        <f t="shared" si="1084"/>
        <v>759</v>
      </c>
      <c r="J1316" s="94">
        <f t="shared" si="1084"/>
        <v>1014</v>
      </c>
      <c r="K1316" s="94">
        <f t="shared" si="1084"/>
        <v>1145</v>
      </c>
      <c r="L1316" s="101">
        <f t="shared" si="1084"/>
        <v>283</v>
      </c>
      <c r="M1316" s="101">
        <f t="shared" si="1084"/>
        <v>237</v>
      </c>
      <c r="N1316" s="101">
        <f t="shared" si="1084"/>
        <v>1135</v>
      </c>
      <c r="O1316" s="101">
        <f t="shared" si="1084"/>
        <v>250</v>
      </c>
      <c r="P1316" s="94">
        <f t="shared" si="1084"/>
        <v>1905</v>
      </c>
      <c r="Q1316" s="101">
        <f t="shared" si="1084"/>
        <v>236</v>
      </c>
      <c r="R1316" s="101">
        <f t="shared" si="1084"/>
        <v>174</v>
      </c>
      <c r="S1316" s="101">
        <f t="shared" si="1084"/>
        <v>268</v>
      </c>
      <c r="T1316" s="101">
        <f t="shared" si="1084"/>
        <v>150</v>
      </c>
      <c r="U1316" s="94">
        <f t="shared" si="1084"/>
        <v>768</v>
      </c>
      <c r="V1316" s="101">
        <f t="shared" si="1084"/>
        <v>168</v>
      </c>
      <c r="W1316" s="101">
        <f t="shared" ref="W1316:AE1316" si="1085">W986</f>
        <v>105</v>
      </c>
      <c r="X1316" s="101">
        <f t="shared" si="1085"/>
        <v>276</v>
      </c>
      <c r="Y1316" s="101">
        <f t="shared" ca="1" si="1085"/>
        <v>191</v>
      </c>
      <c r="Z1316" s="94">
        <f t="shared" ca="1" si="1085"/>
        <v>740</v>
      </c>
      <c r="AA1316" s="101">
        <f ca="1">AA986</f>
        <v>80.166632957019146</v>
      </c>
      <c r="AB1316" s="101">
        <f t="shared" ca="1" si="1085"/>
        <v>70.31362774335301</v>
      </c>
      <c r="AC1316" s="101">
        <f t="shared" ca="1" si="1085"/>
        <v>187.81946918574602</v>
      </c>
      <c r="AD1316" s="101">
        <f t="shared" ca="1" si="1085"/>
        <v>171.242553975009</v>
      </c>
      <c r="AE1316" s="94">
        <f t="shared" ca="1" si="1085"/>
        <v>509.54228386112754</v>
      </c>
      <c r="AF1316" s="94">
        <f ca="1">AF985</f>
        <v>509.5422838611272</v>
      </c>
      <c r="AG1316" s="94">
        <f t="shared" ref="AG1316:AL1316" ca="1" si="1086">AG985</f>
        <v>509.5422838611272</v>
      </c>
      <c r="AH1316" s="94">
        <f t="shared" ca="1" si="1086"/>
        <v>527.13693602838816</v>
      </c>
      <c r="AI1316" s="94">
        <f t="shared" ca="1" si="1086"/>
        <v>527.13693602838816</v>
      </c>
      <c r="AJ1316" s="94">
        <f t="shared" ca="1" si="1086"/>
        <v>527.13693602838816</v>
      </c>
      <c r="AK1316" s="94">
        <f t="shared" ca="1" si="1086"/>
        <v>527.13693602838816</v>
      </c>
      <c r="AL1316" s="94">
        <f t="shared" ca="1" si="1086"/>
        <v>527.13693602838816</v>
      </c>
      <c r="AM1316" s="651"/>
      <c r="AR1316" s="118"/>
    </row>
    <row r="1317" spans="4:44" s="83" customFormat="1">
      <c r="D1317" s="83" t="s">
        <v>176</v>
      </c>
      <c r="G1317" s="94">
        <f t="shared" ref="G1317:V1317" si="1087">G1120</f>
        <v>-7</v>
      </c>
      <c r="H1317" s="94">
        <f t="shared" si="1087"/>
        <v>-3</v>
      </c>
      <c r="I1317" s="94">
        <f t="shared" si="1087"/>
        <v>-11</v>
      </c>
      <c r="J1317" s="94">
        <f t="shared" si="1087"/>
        <v>-28</v>
      </c>
      <c r="K1317" s="94">
        <f t="shared" si="1087"/>
        <v>0</v>
      </c>
      <c r="L1317" s="101">
        <f t="shared" si="1087"/>
        <v>11</v>
      </c>
      <c r="M1317" s="101">
        <f t="shared" si="1087"/>
        <v>11</v>
      </c>
      <c r="N1317" s="101">
        <f t="shared" si="1087"/>
        <v>5</v>
      </c>
      <c r="O1317" s="101">
        <f t="shared" si="1087"/>
        <v>-132</v>
      </c>
      <c r="P1317" s="94">
        <f t="shared" si="1087"/>
        <v>-105</v>
      </c>
      <c r="Q1317" s="101">
        <f t="shared" si="1087"/>
        <v>14</v>
      </c>
      <c r="R1317" s="101">
        <f t="shared" si="1087"/>
        <v>67</v>
      </c>
      <c r="S1317" s="101">
        <f t="shared" si="1087"/>
        <v>40</v>
      </c>
      <c r="T1317" s="101">
        <f t="shared" si="1087"/>
        <v>-3</v>
      </c>
      <c r="U1317" s="94">
        <f t="shared" si="1087"/>
        <v>118</v>
      </c>
      <c r="V1317" s="101">
        <f t="shared" si="1087"/>
        <v>-95</v>
      </c>
      <c r="W1317" s="101">
        <f t="shared" ref="W1317:AE1317" si="1088">W1120</f>
        <v>-79</v>
      </c>
      <c r="X1317" s="101">
        <f t="shared" si="1088"/>
        <v>-33</v>
      </c>
      <c r="Y1317" s="101">
        <f t="shared" si="1088"/>
        <v>-44</v>
      </c>
      <c r="Z1317" s="94">
        <f t="shared" si="1088"/>
        <v>-251</v>
      </c>
      <c r="AA1317" s="101">
        <f t="shared" si="1088"/>
        <v>120.32553440444994</v>
      </c>
      <c r="AB1317" s="101">
        <f t="shared" si="1088"/>
        <v>120.32553440444994</v>
      </c>
      <c r="AC1317" s="101">
        <f t="shared" si="1088"/>
        <v>120.32553440444994</v>
      </c>
      <c r="AD1317" s="101">
        <f t="shared" si="1088"/>
        <v>120.32553440444994</v>
      </c>
      <c r="AE1317" s="94">
        <f t="shared" si="1088"/>
        <v>481.30213761779976</v>
      </c>
      <c r="AF1317" s="94">
        <f>AF1119</f>
        <v>114.21608560579909</v>
      </c>
      <c r="AG1317" s="94">
        <f t="shared" ref="AG1317:AL1317" si="1089">AG1119</f>
        <v>137.91876654009894</v>
      </c>
      <c r="AH1317" s="94">
        <f t="shared" si="1089"/>
        <v>137.91876654009894</v>
      </c>
      <c r="AI1317" s="94">
        <f t="shared" si="1089"/>
        <v>137.91876654009894</v>
      </c>
      <c r="AJ1317" s="94">
        <f t="shared" si="1089"/>
        <v>137.91876654009894</v>
      </c>
      <c r="AK1317" s="94">
        <f t="shared" si="1089"/>
        <v>137.91876654009894</v>
      </c>
      <c r="AL1317" s="94">
        <f t="shared" si="1089"/>
        <v>137.91876654009894</v>
      </c>
      <c r="AM1317" s="651"/>
      <c r="AR1317" s="118"/>
    </row>
    <row r="1318" spans="4:44" s="83" customFormat="1">
      <c r="D1318" s="83" t="s">
        <v>187</v>
      </c>
      <c r="G1318" s="94">
        <f>G1237</f>
        <v>-291</v>
      </c>
      <c r="H1318" s="94">
        <f t="shared" ref="H1318:V1318" si="1090">H1237</f>
        <v>-253</v>
      </c>
      <c r="I1318" s="94">
        <f t="shared" si="1090"/>
        <v>-224</v>
      </c>
      <c r="J1318" s="94">
        <f t="shared" si="1090"/>
        <v>-338</v>
      </c>
      <c r="K1318" s="94">
        <f t="shared" si="1090"/>
        <v>-392</v>
      </c>
      <c r="L1318" s="101">
        <f t="shared" si="1090"/>
        <v>-70</v>
      </c>
      <c r="M1318" s="101">
        <f t="shared" si="1090"/>
        <v>-77</v>
      </c>
      <c r="N1318" s="101">
        <f t="shared" si="1090"/>
        <v>-67</v>
      </c>
      <c r="O1318" s="101">
        <f t="shared" si="1090"/>
        <v>-83</v>
      </c>
      <c r="P1318" s="94">
        <f t="shared" si="1090"/>
        <v>-297</v>
      </c>
      <c r="Q1318" s="101">
        <f t="shared" si="1090"/>
        <v>-63</v>
      </c>
      <c r="R1318" s="101">
        <f t="shared" si="1090"/>
        <v>-102</v>
      </c>
      <c r="S1318" s="101">
        <f t="shared" si="1090"/>
        <v>-68</v>
      </c>
      <c r="T1318" s="101">
        <f t="shared" si="1090"/>
        <v>-159</v>
      </c>
      <c r="U1318" s="94">
        <f t="shared" si="1090"/>
        <v>-392</v>
      </c>
      <c r="V1318" s="101">
        <f t="shared" si="1090"/>
        <v>43</v>
      </c>
      <c r="W1318" s="101">
        <f t="shared" ref="W1318:AE1318" si="1091">W1237</f>
        <v>-124</v>
      </c>
      <c r="X1318" s="101">
        <f t="shared" si="1091"/>
        <v>-37</v>
      </c>
      <c r="Y1318" s="101">
        <f t="shared" si="1091"/>
        <v>-239</v>
      </c>
      <c r="Z1318" s="94">
        <f>Z1237</f>
        <v>-357</v>
      </c>
      <c r="AA1318" s="101">
        <f t="shared" si="1091"/>
        <v>-89.25</v>
      </c>
      <c r="AB1318" s="101">
        <f t="shared" si="1091"/>
        <v>-89.25</v>
      </c>
      <c r="AC1318" s="101">
        <f t="shared" si="1091"/>
        <v>-89.25</v>
      </c>
      <c r="AD1318" s="101">
        <f t="shared" si="1091"/>
        <v>-89.25</v>
      </c>
      <c r="AE1318" s="94">
        <f t="shared" si="1091"/>
        <v>-357</v>
      </c>
      <c r="AF1318" s="94">
        <v>-400</v>
      </c>
      <c r="AG1318" s="94">
        <v>-399</v>
      </c>
      <c r="AH1318" s="94">
        <v>-398</v>
      </c>
      <c r="AI1318" s="94">
        <v>-397</v>
      </c>
      <c r="AJ1318" s="94">
        <v>-396</v>
      </c>
      <c r="AK1318" s="94">
        <v>-395</v>
      </c>
      <c r="AL1318" s="94">
        <v>-394</v>
      </c>
      <c r="AM1318" s="651"/>
      <c r="AR1318" s="118"/>
    </row>
    <row r="1319" spans="4:44" s="83" customFormat="1">
      <c r="D1319" s="103" t="s">
        <v>270</v>
      </c>
      <c r="E1319" s="103"/>
      <c r="F1319" s="103"/>
      <c r="G1319" s="116">
        <f t="shared" ref="G1319:AF1319" si="1092">SUM(G1314:G1318)</f>
        <v>3219</v>
      </c>
      <c r="H1319" s="116">
        <f t="shared" si="1092"/>
        <v>2407</v>
      </c>
      <c r="I1319" s="116">
        <f t="shared" si="1092"/>
        <v>2075</v>
      </c>
      <c r="J1319" s="116">
        <f t="shared" si="1092"/>
        <v>3404</v>
      </c>
      <c r="K1319" s="116">
        <f t="shared" si="1092"/>
        <v>5603</v>
      </c>
      <c r="L1319" s="117">
        <f t="shared" si="1092"/>
        <v>1575</v>
      </c>
      <c r="M1319" s="117">
        <f t="shared" si="1092"/>
        <v>1427</v>
      </c>
      <c r="N1319" s="117">
        <f t="shared" si="1092"/>
        <v>2061</v>
      </c>
      <c r="O1319" s="117">
        <f t="shared" si="1092"/>
        <v>1240</v>
      </c>
      <c r="P1319" s="116">
        <f t="shared" si="1092"/>
        <v>6302</v>
      </c>
      <c r="Q1319" s="117">
        <f t="shared" si="1092"/>
        <v>1357</v>
      </c>
      <c r="R1319" s="117">
        <f t="shared" si="1092"/>
        <v>1210</v>
      </c>
      <c r="S1319" s="117">
        <f t="shared" si="1092"/>
        <v>1046</v>
      </c>
      <c r="T1319" s="117">
        <f t="shared" si="1092"/>
        <v>606</v>
      </c>
      <c r="U1319" s="116">
        <f t="shared" si="1092"/>
        <v>4159</v>
      </c>
      <c r="V1319" s="117">
        <f t="shared" si="1092"/>
        <v>675</v>
      </c>
      <c r="W1319" s="117">
        <f t="shared" si="1092"/>
        <v>141</v>
      </c>
      <c r="X1319" s="117">
        <f t="shared" si="1092"/>
        <v>523</v>
      </c>
      <c r="Y1319" s="117">
        <f t="shared" ca="1" si="1092"/>
        <v>989.79942647999997</v>
      </c>
      <c r="Z1319" s="116">
        <f ca="1">SUM(Z1314:Z1318)</f>
        <v>2328.79942648</v>
      </c>
      <c r="AA1319" s="117" t="e">
        <f t="shared" ca="1" si="1092"/>
        <v>#VALUE!</v>
      </c>
      <c r="AB1319" s="117" t="e">
        <f t="shared" ca="1" si="1092"/>
        <v>#VALUE!</v>
      </c>
      <c r="AC1319" s="117" t="e">
        <f t="shared" ca="1" si="1092"/>
        <v>#VALUE!</v>
      </c>
      <c r="AD1319" s="117" t="e">
        <f t="shared" ca="1" si="1092"/>
        <v>#VALUE!</v>
      </c>
      <c r="AE1319" s="116" t="e">
        <f t="shared" ca="1" si="1092"/>
        <v>#VALUE!</v>
      </c>
      <c r="AF1319" s="116" t="e">
        <f t="shared" ca="1" si="1092"/>
        <v>#VALUE!</v>
      </c>
      <c r="AG1319" s="116" t="e">
        <f t="shared" ref="AG1319:AL1319" ca="1" si="1093">SUM(AG1314:AG1318)</f>
        <v>#VALUE!</v>
      </c>
      <c r="AH1319" s="116" t="e">
        <f t="shared" ca="1" si="1093"/>
        <v>#VALUE!</v>
      </c>
      <c r="AI1319" s="116" t="e">
        <f t="shared" ca="1" si="1093"/>
        <v>#VALUE!</v>
      </c>
      <c r="AJ1319" s="116" t="e">
        <f t="shared" ca="1" si="1093"/>
        <v>#VALUE!</v>
      </c>
      <c r="AK1319" s="116" t="e">
        <f t="shared" ca="1" si="1093"/>
        <v>#VALUE!</v>
      </c>
      <c r="AL1319" s="116" t="e">
        <f t="shared" ca="1" si="1093"/>
        <v>#VALUE!</v>
      </c>
      <c r="AM1319" s="651"/>
    </row>
    <row r="1320" spans="4:44" s="83" customFormat="1">
      <c r="D1320" s="98"/>
      <c r="E1320" s="98"/>
      <c r="G1320" s="94"/>
      <c r="H1320" s="94"/>
      <c r="I1320" s="94"/>
      <c r="J1320" s="94"/>
      <c r="K1320" s="94"/>
      <c r="L1320" s="101"/>
      <c r="M1320" s="101"/>
      <c r="N1320" s="101"/>
      <c r="O1320" s="101"/>
      <c r="P1320" s="94"/>
      <c r="Q1320" s="101"/>
      <c r="R1320" s="101"/>
      <c r="S1320" s="101"/>
      <c r="T1320" s="101"/>
      <c r="U1320" s="94"/>
      <c r="V1320" s="101"/>
      <c r="W1320" s="101"/>
      <c r="X1320" s="101"/>
      <c r="Y1320" s="101"/>
      <c r="Z1320" s="94"/>
      <c r="AA1320" s="101"/>
      <c r="AB1320" s="101"/>
      <c r="AC1320" s="101"/>
      <c r="AD1320" s="101"/>
      <c r="AE1320" s="94"/>
      <c r="AF1320" s="94"/>
      <c r="AG1320" s="92"/>
      <c r="AH1320" s="92"/>
      <c r="AI1320" s="92"/>
      <c r="AJ1320" s="92"/>
      <c r="AK1320" s="92"/>
      <c r="AM1320" s="651"/>
    </row>
    <row r="1321" spans="4:44" s="83" customFormat="1">
      <c r="D1321" s="136"/>
      <c r="E1321" s="136"/>
      <c r="F1321" s="136"/>
      <c r="G1321" s="237"/>
      <c r="H1321" s="237"/>
      <c r="I1321" s="237"/>
      <c r="J1321" s="237"/>
      <c r="K1321" s="237"/>
      <c r="L1321" s="238"/>
      <c r="M1321" s="238"/>
      <c r="N1321" s="238"/>
      <c r="O1321" s="238"/>
      <c r="P1321" s="237"/>
      <c r="Q1321" s="238"/>
      <c r="R1321" s="238"/>
      <c r="S1321" s="238"/>
      <c r="T1321" s="238"/>
      <c r="U1321" s="237"/>
      <c r="V1321" s="238"/>
      <c r="W1321" s="238"/>
      <c r="X1321" s="238"/>
      <c r="Y1321" s="238"/>
      <c r="Z1321" s="237"/>
      <c r="AA1321" s="238"/>
      <c r="AB1321" s="238"/>
      <c r="AC1321" s="238"/>
      <c r="AD1321" s="238"/>
      <c r="AE1321" s="237"/>
      <c r="AF1321" s="237"/>
      <c r="AG1321" s="189"/>
      <c r="AH1321" s="189"/>
      <c r="AI1321" s="189"/>
      <c r="AJ1321" s="189"/>
      <c r="AK1321" s="92"/>
      <c r="AM1321" s="651"/>
    </row>
    <row r="1322" spans="4:44" s="83" customFormat="1">
      <c r="D1322" s="136"/>
      <c r="E1322" s="136"/>
      <c r="F1322" s="136"/>
      <c r="G1322" s="237"/>
      <c r="H1322" s="237"/>
      <c r="I1322" s="237"/>
      <c r="J1322" s="237"/>
      <c r="K1322" s="237"/>
      <c r="L1322" s="238"/>
      <c r="M1322" s="238"/>
      <c r="N1322" s="238"/>
      <c r="O1322" s="238"/>
      <c r="P1322" s="237"/>
      <c r="Q1322" s="238"/>
      <c r="R1322" s="238"/>
      <c r="S1322" s="238"/>
      <c r="T1322" s="238"/>
      <c r="U1322" s="237"/>
      <c r="V1322" s="238"/>
      <c r="W1322" s="238"/>
      <c r="X1322" s="238"/>
      <c r="Y1322" s="238"/>
      <c r="Z1322" s="237"/>
      <c r="AA1322" s="238"/>
      <c r="AB1322" s="238"/>
      <c r="AC1322" s="238"/>
      <c r="AD1322" s="238"/>
      <c r="AE1322" s="237"/>
      <c r="AF1322" s="237"/>
      <c r="AG1322" s="189"/>
      <c r="AH1322" s="189"/>
      <c r="AI1322" s="189"/>
      <c r="AJ1322" s="189"/>
      <c r="AK1322" s="92"/>
      <c r="AM1322" s="651"/>
    </row>
    <row r="1323" spans="4:44" s="83" customFormat="1">
      <c r="D1323" s="136" t="s">
        <v>823</v>
      </c>
      <c r="E1323" s="136"/>
      <c r="F1323" s="136"/>
      <c r="G1323" s="237"/>
      <c r="H1323" s="237"/>
      <c r="I1323" s="237"/>
      <c r="J1323" s="237"/>
      <c r="K1323" s="237"/>
      <c r="L1323" s="238"/>
      <c r="M1323" s="238"/>
      <c r="N1323" s="238"/>
      <c r="O1323" s="238"/>
      <c r="P1323" s="237"/>
      <c r="Q1323" s="238"/>
      <c r="R1323" s="238"/>
      <c r="S1323" s="238"/>
      <c r="T1323" s="238"/>
      <c r="U1323" s="237"/>
      <c r="V1323" s="238"/>
      <c r="W1323" s="238"/>
      <c r="X1323" s="238"/>
      <c r="Y1323" s="238"/>
      <c r="Z1323" s="237"/>
      <c r="AA1323" s="238"/>
      <c r="AB1323" s="238"/>
      <c r="AC1323" s="238"/>
      <c r="AD1323" s="238"/>
      <c r="AE1323" s="237"/>
      <c r="AF1323" s="237"/>
      <c r="AG1323" s="189"/>
      <c r="AH1323" s="189"/>
      <c r="AI1323" s="189"/>
      <c r="AJ1323" s="189"/>
      <c r="AK1323" s="92"/>
      <c r="AM1323" s="651"/>
    </row>
    <row r="1324" spans="4:44" s="83" customFormat="1">
      <c r="D1324" s="83" t="s">
        <v>269</v>
      </c>
      <c r="F1324" s="136"/>
      <c r="G1324" s="339">
        <f t="shared" ref="G1324:O1324" si="1094">G1314/SUM(G$1314:G$1317)</f>
        <v>0.48148148148148145</v>
      </c>
      <c r="H1324" s="339">
        <f t="shared" si="1094"/>
        <v>0.33308270676691731</v>
      </c>
      <c r="I1324" s="339">
        <f t="shared" si="1094"/>
        <v>0.36972596781209222</v>
      </c>
      <c r="J1324" s="339">
        <f t="shared" si="1094"/>
        <v>0.51656867985034738</v>
      </c>
      <c r="K1324" s="339">
        <f t="shared" si="1094"/>
        <v>0.6060050041701418</v>
      </c>
      <c r="L1324" s="796">
        <f t="shared" si="1094"/>
        <v>0.60547112462006081</v>
      </c>
      <c r="M1324" s="796">
        <f t="shared" si="1094"/>
        <v>0.61901595744680848</v>
      </c>
      <c r="N1324" s="796">
        <f t="shared" si="1094"/>
        <v>0.37593984962406013</v>
      </c>
      <c r="O1324" s="796">
        <f t="shared" si="1094"/>
        <v>0.72864701436130008</v>
      </c>
      <c r="P1324" s="339">
        <f t="shared" ref="P1324:U1324" si="1095">P1314/SUM(P$1314:P$1317)</f>
        <v>0.55932717078345207</v>
      </c>
      <c r="Q1324" s="796">
        <f t="shared" si="1095"/>
        <v>0.62746478873239442</v>
      </c>
      <c r="R1324" s="796">
        <f t="shared" si="1095"/>
        <v>0.66539634146341464</v>
      </c>
      <c r="S1324" s="796">
        <f t="shared" si="1095"/>
        <v>0.54308797127468578</v>
      </c>
      <c r="T1324" s="796">
        <f t="shared" si="1095"/>
        <v>0.52156862745098043</v>
      </c>
      <c r="U1324" s="339">
        <f t="shared" si="1095"/>
        <v>0.60821797407163258</v>
      </c>
      <c r="V1324" s="796">
        <f>V1314/SUM(V$1314:V$1317)</f>
        <v>0.70411392405063289</v>
      </c>
      <c r="W1324" s="796">
        <f>W1314/SUM(W$1314:W$1317)</f>
        <v>0.62264150943396224</v>
      </c>
      <c r="X1324" s="796">
        <f>X1314/SUM(X$1314:X$1317)</f>
        <v>0.15178571428571427</v>
      </c>
      <c r="Y1324" s="796">
        <f ca="1">Y1314/SUM(Y$1314:Y$1317)</f>
        <v>0.34186146912496862</v>
      </c>
      <c r="Z1324" s="339">
        <f ca="1">Z1314/SUM(Z$1314:Z$1317)</f>
        <v>0.41821786872045608</v>
      </c>
      <c r="AA1324" s="796" t="e">
        <f t="shared" ref="AA1324:AL1324" ca="1" si="1096">AA1314/SUM(AA$1314:AA$1317)</f>
        <v>#VALUE!</v>
      </c>
      <c r="AB1324" s="796" t="e">
        <f t="shared" ca="1" si="1096"/>
        <v>#VALUE!</v>
      </c>
      <c r="AC1324" s="796" t="e">
        <f t="shared" ca="1" si="1096"/>
        <v>#VALUE!</v>
      </c>
      <c r="AD1324" s="796" t="e">
        <f t="shared" ca="1" si="1096"/>
        <v>#VALUE!</v>
      </c>
      <c r="AE1324" s="339" t="e">
        <f t="shared" ca="1" si="1096"/>
        <v>#VALUE!</v>
      </c>
      <c r="AF1324" s="339" t="e">
        <f t="shared" ca="1" si="1096"/>
        <v>#VALUE!</v>
      </c>
      <c r="AG1324" s="339" t="e">
        <f t="shared" ca="1" si="1096"/>
        <v>#VALUE!</v>
      </c>
      <c r="AH1324" s="339" t="e">
        <f t="shared" ca="1" si="1096"/>
        <v>#VALUE!</v>
      </c>
      <c r="AI1324" s="339" t="e">
        <f t="shared" ca="1" si="1096"/>
        <v>#VALUE!</v>
      </c>
      <c r="AJ1324" s="339" t="e">
        <f t="shared" ca="1" si="1096"/>
        <v>#VALUE!</v>
      </c>
      <c r="AK1324" s="339" t="e">
        <f t="shared" ca="1" si="1096"/>
        <v>#VALUE!</v>
      </c>
      <c r="AL1324" s="339" t="e">
        <f t="shared" ca="1" si="1096"/>
        <v>#VALUE!</v>
      </c>
      <c r="AM1324" s="651"/>
    </row>
    <row r="1325" spans="4:44" s="83" customFormat="1">
      <c r="D1325" s="83" t="s">
        <v>146</v>
      </c>
      <c r="F1325" s="136"/>
      <c r="G1325" s="339">
        <f t="shared" ref="G1325:H1327" si="1097">G1315/SUM(G$1314:G$1317)</f>
        <v>0.36467236467236469</v>
      </c>
      <c r="H1325" s="339">
        <f t="shared" si="1097"/>
        <v>0.39285714285714285</v>
      </c>
      <c r="I1325" s="339">
        <f t="shared" ref="I1325:Z1325" si="1098">I1315/SUM(I$1314:I$1317)</f>
        <v>0.30491518051326666</v>
      </c>
      <c r="J1325" s="339">
        <f t="shared" si="1098"/>
        <v>0.21993586317477284</v>
      </c>
      <c r="K1325" s="339">
        <f t="shared" si="1098"/>
        <v>0.2030025020850709</v>
      </c>
      <c r="L1325" s="796">
        <f t="shared" si="1098"/>
        <v>0.21580547112462006</v>
      </c>
      <c r="M1325" s="796">
        <f t="shared" si="1098"/>
        <v>0.2160904255319149</v>
      </c>
      <c r="N1325" s="796">
        <f t="shared" ref="N1325:O1327" si="1099">N1315/SUM(N$1314:N$1317)</f>
        <v>8.834586466165413E-2</v>
      </c>
      <c r="O1325" s="796">
        <f t="shared" si="1099"/>
        <v>0.18216175359032502</v>
      </c>
      <c r="P1325" s="339">
        <f t="shared" si="1098"/>
        <v>0.16790422791332019</v>
      </c>
      <c r="Q1325" s="796">
        <f t="shared" si="1098"/>
        <v>0.19647887323943661</v>
      </c>
      <c r="R1325" s="796">
        <f t="shared" si="1098"/>
        <v>0.15091463414634149</v>
      </c>
      <c r="S1325" s="796">
        <f t="shared" si="1098"/>
        <v>0.18043087971274688</v>
      </c>
      <c r="T1325" s="796">
        <f t="shared" si="1098"/>
        <v>0.28627450980392161</v>
      </c>
      <c r="U1325" s="339">
        <f t="shared" si="1098"/>
        <v>0.1970995385629532</v>
      </c>
      <c r="V1325" s="796">
        <f t="shared" ref="V1325:Y1327" si="1100">V1315/SUM(V$1314:V$1317)</f>
        <v>0.18037974683544303</v>
      </c>
      <c r="W1325" s="796">
        <f t="shared" si="1100"/>
        <v>0.27924528301886792</v>
      </c>
      <c r="X1325" s="796">
        <f t="shared" si="1100"/>
        <v>0.41428571428571431</v>
      </c>
      <c r="Y1325" s="796">
        <f t="shared" ca="1" si="1100"/>
        <v>0.44482105109089787</v>
      </c>
      <c r="Z1325" s="339">
        <f t="shared" ca="1" si="1098"/>
        <v>0.35636738187677247</v>
      </c>
      <c r="AA1325" s="796" t="e">
        <f t="shared" ref="AA1325:AL1325" ca="1" si="1101">AA1315/SUM(AA$1314:AA$1317)</f>
        <v>#VALUE!</v>
      </c>
      <c r="AB1325" s="796" t="e">
        <f t="shared" ca="1" si="1101"/>
        <v>#VALUE!</v>
      </c>
      <c r="AC1325" s="796" t="e">
        <f t="shared" ca="1" si="1101"/>
        <v>#VALUE!</v>
      </c>
      <c r="AD1325" s="796" t="e">
        <f t="shared" ca="1" si="1101"/>
        <v>#VALUE!</v>
      </c>
      <c r="AE1325" s="339" t="e">
        <f t="shared" ca="1" si="1101"/>
        <v>#VALUE!</v>
      </c>
      <c r="AF1325" s="339" t="e">
        <f t="shared" ca="1" si="1101"/>
        <v>#VALUE!</v>
      </c>
      <c r="AG1325" s="339" t="e">
        <f t="shared" ca="1" si="1101"/>
        <v>#VALUE!</v>
      </c>
      <c r="AH1325" s="339" t="e">
        <f t="shared" ca="1" si="1101"/>
        <v>#VALUE!</v>
      </c>
      <c r="AI1325" s="339" t="e">
        <f t="shared" ca="1" si="1101"/>
        <v>#VALUE!</v>
      </c>
      <c r="AJ1325" s="339" t="e">
        <f t="shared" ca="1" si="1101"/>
        <v>#VALUE!</v>
      </c>
      <c r="AK1325" s="339" t="e">
        <f t="shared" ca="1" si="1101"/>
        <v>#VALUE!</v>
      </c>
      <c r="AL1325" s="339" t="e">
        <f t="shared" ca="1" si="1101"/>
        <v>#VALUE!</v>
      </c>
      <c r="AM1325" s="651"/>
    </row>
    <row r="1326" spans="4:44" s="83" customFormat="1">
      <c r="D1326" s="83" t="s">
        <v>171</v>
      </c>
      <c r="F1326" s="136"/>
      <c r="G1326" s="339">
        <f t="shared" si="1097"/>
        <v>0.15584045584045583</v>
      </c>
      <c r="H1326" s="339">
        <f t="shared" si="1097"/>
        <v>0.27518796992481204</v>
      </c>
      <c r="I1326" s="339">
        <f t="shared" ref="I1326:Z1326" si="1102">I1316/SUM(I$1314:I$1317)</f>
        <v>0.33014354066985646</v>
      </c>
      <c r="J1326" s="339">
        <f t="shared" si="1102"/>
        <v>0.27097808658471406</v>
      </c>
      <c r="K1326" s="339">
        <f t="shared" si="1102"/>
        <v>0.19099249374478733</v>
      </c>
      <c r="L1326" s="796">
        <f t="shared" si="1102"/>
        <v>0.17203647416413373</v>
      </c>
      <c r="M1326" s="796">
        <f t="shared" si="1102"/>
        <v>0.15757978723404256</v>
      </c>
      <c r="N1326" s="796">
        <f t="shared" si="1099"/>
        <v>0.53336466165413532</v>
      </c>
      <c r="O1326" s="796">
        <f t="shared" si="1099"/>
        <v>0.1889644746787604</v>
      </c>
      <c r="P1326" s="339">
        <f t="shared" si="1102"/>
        <v>0.28868010304591607</v>
      </c>
      <c r="Q1326" s="796">
        <f t="shared" si="1102"/>
        <v>0.16619718309859155</v>
      </c>
      <c r="R1326" s="796">
        <f t="shared" si="1102"/>
        <v>0.1326219512195122</v>
      </c>
      <c r="S1326" s="796">
        <f t="shared" si="1102"/>
        <v>0.24057450628366248</v>
      </c>
      <c r="T1326" s="796">
        <f t="shared" si="1102"/>
        <v>0.19607843137254902</v>
      </c>
      <c r="U1326" s="339">
        <f t="shared" si="1102"/>
        <v>0.16875411997363216</v>
      </c>
      <c r="V1326" s="796">
        <f t="shared" si="1100"/>
        <v>0.26582278481012656</v>
      </c>
      <c r="W1326" s="796">
        <f t="shared" si="1100"/>
        <v>0.39622641509433965</v>
      </c>
      <c r="X1326" s="796">
        <f t="shared" si="1100"/>
        <v>0.49285714285714288</v>
      </c>
      <c r="Y1326" s="796">
        <f t="shared" ca="1" si="1100"/>
        <v>0.17026216584841983</v>
      </c>
      <c r="Z1326" s="339">
        <f t="shared" ca="1" si="1102"/>
        <v>0.28695523676693324</v>
      </c>
      <c r="AA1326" s="796">
        <f t="shared" ref="AA1326:AL1326" ca="1" si="1103">AA1316/SUM(AA$1314:AA$1317)</f>
        <v>6.871421786485836E-2</v>
      </c>
      <c r="AB1326" s="796">
        <f t="shared" ca="1" si="1103"/>
        <v>6.2984476538189588E-2</v>
      </c>
      <c r="AC1326" s="796">
        <f t="shared" ca="1" si="1103"/>
        <v>0.14287791807911801</v>
      </c>
      <c r="AD1326" s="796">
        <f t="shared" ca="1" si="1103"/>
        <v>0.11914493158734567</v>
      </c>
      <c r="AE1326" s="339">
        <f t="shared" ca="1" si="1103"/>
        <v>0.10120328348142089</v>
      </c>
      <c r="AF1326" s="339">
        <f t="shared" ca="1" si="1103"/>
        <v>0.10367156139840755</v>
      </c>
      <c r="AG1326" s="339">
        <f t="shared" ca="1" si="1103"/>
        <v>9.3299537656952897E-2</v>
      </c>
      <c r="AH1326" s="339">
        <f t="shared" ca="1" si="1103"/>
        <v>9.1598562491795668E-2</v>
      </c>
      <c r="AI1326" s="339">
        <f t="shared" ca="1" si="1103"/>
        <v>8.6669570590127906E-2</v>
      </c>
      <c r="AJ1326" s="339">
        <f t="shared" ca="1" si="1103"/>
        <v>8.5090674979748177E-2</v>
      </c>
      <c r="AK1326" s="339">
        <f t="shared" ca="1" si="1103"/>
        <v>8.8553479177883213E-2</v>
      </c>
      <c r="AL1326" s="339">
        <f t="shared" ca="1" si="1103"/>
        <v>8.8553479177883213E-2</v>
      </c>
      <c r="AM1326" s="651"/>
    </row>
    <row r="1327" spans="4:44" s="83" customFormat="1">
      <c r="D1327" s="83" t="s">
        <v>176</v>
      </c>
      <c r="F1327" s="136"/>
      <c r="G1327" s="339">
        <f t="shared" si="1097"/>
        <v>-1.9943019943019944E-3</v>
      </c>
      <c r="H1327" s="339">
        <f t="shared" si="1097"/>
        <v>-1.1278195488721805E-3</v>
      </c>
      <c r="I1327" s="339">
        <f t="shared" ref="I1327:Z1327" si="1104">I1317/SUM(I$1314:I$1317)</f>
        <v>-4.7846889952153108E-3</v>
      </c>
      <c r="J1327" s="339">
        <f t="shared" si="1104"/>
        <v>-7.4826296098343134E-3</v>
      </c>
      <c r="K1327" s="339">
        <f t="shared" si="1104"/>
        <v>0</v>
      </c>
      <c r="L1327" s="796">
        <f t="shared" si="1104"/>
        <v>6.6869300911854106E-3</v>
      </c>
      <c r="M1327" s="796">
        <f t="shared" si="1104"/>
        <v>7.3138297872340427E-3</v>
      </c>
      <c r="N1327" s="796">
        <f t="shared" si="1099"/>
        <v>2.3496240601503758E-3</v>
      </c>
      <c r="O1327" s="796">
        <f t="shared" si="1099"/>
        <v>-9.9773242630385492E-2</v>
      </c>
      <c r="P1327" s="339">
        <f t="shared" si="1104"/>
        <v>-1.5911501742688287E-2</v>
      </c>
      <c r="Q1327" s="796">
        <f t="shared" si="1104"/>
        <v>9.8591549295774655E-3</v>
      </c>
      <c r="R1327" s="796">
        <f t="shared" si="1104"/>
        <v>5.1067073170731704E-2</v>
      </c>
      <c r="S1327" s="796">
        <f t="shared" si="1104"/>
        <v>3.5906642728904849E-2</v>
      </c>
      <c r="T1327" s="796">
        <f t="shared" si="1104"/>
        <v>-3.9215686274509803E-3</v>
      </c>
      <c r="U1327" s="339">
        <f t="shared" si="1104"/>
        <v>2.5928367391782024E-2</v>
      </c>
      <c r="V1327" s="796">
        <f t="shared" si="1100"/>
        <v>-0.15031645569620253</v>
      </c>
      <c r="W1327" s="796">
        <f t="shared" si="1100"/>
        <v>-0.2981132075471698</v>
      </c>
      <c r="X1327" s="796">
        <f t="shared" si="1100"/>
        <v>-5.8928571428571427E-2</v>
      </c>
      <c r="Y1327" s="796">
        <f t="shared" ca="1" si="1100"/>
        <v>4.3055313935713685E-2</v>
      </c>
      <c r="Z1327" s="339">
        <f t="shared" ca="1" si="1104"/>
        <v>-6.1540487364161803E-2</v>
      </c>
      <c r="AA1327" s="796" t="e">
        <f t="shared" ref="AA1327:AL1327" ca="1" si="1105">AA1317/SUM(AA$1314:AA$1317)</f>
        <v>#VALUE!</v>
      </c>
      <c r="AB1327" s="796" t="e">
        <f t="shared" ca="1" si="1105"/>
        <v>#VALUE!</v>
      </c>
      <c r="AC1327" s="796" t="e">
        <f t="shared" ca="1" si="1105"/>
        <v>#VALUE!</v>
      </c>
      <c r="AD1327" s="796" t="e">
        <f t="shared" ca="1" si="1105"/>
        <v>#VALUE!</v>
      </c>
      <c r="AE1327" s="339" t="e">
        <f t="shared" ca="1" si="1105"/>
        <v>#VALUE!</v>
      </c>
      <c r="AF1327" s="339" t="e">
        <f t="shared" ca="1" si="1105"/>
        <v>#VALUE!</v>
      </c>
      <c r="AG1327" s="339" t="e">
        <f t="shared" ca="1" si="1105"/>
        <v>#VALUE!</v>
      </c>
      <c r="AH1327" s="339" t="e">
        <f t="shared" ca="1" si="1105"/>
        <v>#VALUE!</v>
      </c>
      <c r="AI1327" s="339" t="e">
        <f t="shared" ca="1" si="1105"/>
        <v>#VALUE!</v>
      </c>
      <c r="AJ1327" s="339" t="e">
        <f t="shared" ca="1" si="1105"/>
        <v>#VALUE!</v>
      </c>
      <c r="AK1327" s="339" t="e">
        <f t="shared" ca="1" si="1105"/>
        <v>#VALUE!</v>
      </c>
      <c r="AL1327" s="339" t="e">
        <f t="shared" ca="1" si="1105"/>
        <v>#VALUE!</v>
      </c>
      <c r="AM1327" s="651"/>
    </row>
    <row r="1328" spans="4:44" s="83" customFormat="1">
      <c r="F1328" s="136"/>
      <c r="G1328" s="237"/>
      <c r="H1328" s="237"/>
      <c r="I1328" s="237"/>
      <c r="J1328" s="237"/>
      <c r="K1328" s="237"/>
      <c r="L1328" s="238"/>
      <c r="M1328" s="238"/>
      <c r="N1328" s="238"/>
      <c r="O1328" s="238"/>
      <c r="P1328" s="237"/>
      <c r="Q1328" s="238"/>
      <c r="R1328" s="238"/>
      <c r="S1328" s="238"/>
      <c r="T1328" s="238"/>
      <c r="U1328" s="237"/>
      <c r="V1328" s="238"/>
      <c r="W1328" s="238"/>
      <c r="X1328" s="238"/>
      <c r="Y1328" s="238"/>
      <c r="Z1328" s="237"/>
      <c r="AA1328" s="238"/>
      <c r="AB1328" s="238"/>
      <c r="AC1328" s="238"/>
      <c r="AD1328" s="238"/>
      <c r="AE1328" s="237"/>
      <c r="AF1328" s="237"/>
      <c r="AG1328" s="189"/>
      <c r="AH1328" s="189"/>
      <c r="AI1328" s="189"/>
      <c r="AJ1328" s="189"/>
      <c r="AK1328" s="92"/>
      <c r="AM1328" s="651"/>
    </row>
    <row r="1329" spans="1:54" s="83" customFormat="1">
      <c r="D1329" s="136"/>
      <c r="E1329" s="136"/>
      <c r="F1329" s="136"/>
      <c r="G1329" s="237"/>
      <c r="H1329" s="237"/>
      <c r="I1329" s="237"/>
      <c r="J1329" s="237"/>
      <c r="K1329" s="237"/>
      <c r="L1329" s="238"/>
      <c r="M1329" s="238"/>
      <c r="N1329" s="238"/>
      <c r="O1329" s="238"/>
      <c r="P1329" s="237"/>
      <c r="Q1329" s="238"/>
      <c r="R1329" s="238"/>
      <c r="S1329" s="238"/>
      <c r="T1329" s="238"/>
      <c r="U1329" s="237"/>
      <c r="V1329" s="238"/>
      <c r="W1329" s="238"/>
      <c r="X1329" s="238"/>
      <c r="Y1329" s="238"/>
      <c r="Z1329" s="237"/>
      <c r="AA1329" s="238"/>
      <c r="AB1329" s="238"/>
      <c r="AC1329" s="238"/>
      <c r="AD1329" s="238"/>
      <c r="AE1329" s="237"/>
      <c r="AF1329" s="237"/>
      <c r="AG1329" s="189"/>
      <c r="AH1329" s="189"/>
      <c r="AI1329" s="189"/>
      <c r="AJ1329" s="189"/>
      <c r="AK1329" s="92"/>
      <c r="AM1329" s="651"/>
    </row>
    <row r="1330" spans="1:54" s="83" customFormat="1">
      <c r="D1330" s="136"/>
      <c r="E1330" s="136"/>
      <c r="F1330" s="136"/>
      <c r="G1330" s="237"/>
      <c r="H1330" s="237"/>
      <c r="I1330" s="237"/>
      <c r="J1330" s="237"/>
      <c r="K1330" s="237"/>
      <c r="L1330" s="238"/>
      <c r="M1330" s="238"/>
      <c r="N1330" s="238"/>
      <c r="O1330" s="238"/>
      <c r="P1330" s="237"/>
      <c r="Q1330" s="238"/>
      <c r="R1330" s="238"/>
      <c r="S1330" s="238"/>
      <c r="T1330" s="238"/>
      <c r="U1330" s="237"/>
      <c r="V1330" s="238"/>
      <c r="W1330" s="238"/>
      <c r="X1330" s="238"/>
      <c r="Y1330" s="238"/>
      <c r="Z1330" s="237"/>
      <c r="AA1330" s="238"/>
      <c r="AB1330" s="238"/>
      <c r="AC1330" s="238"/>
      <c r="AD1330" s="238"/>
      <c r="AE1330" s="237"/>
      <c r="AF1330" s="237"/>
      <c r="AG1330" s="189"/>
      <c r="AH1330" s="189"/>
      <c r="AI1330" s="189"/>
      <c r="AJ1330" s="189"/>
      <c r="AK1330" s="92"/>
      <c r="AM1330" s="651"/>
    </row>
    <row r="1331" spans="1:54" s="83" customFormat="1">
      <c r="G1331" s="92"/>
      <c r="H1331" s="92"/>
      <c r="I1331" s="92"/>
      <c r="J1331" s="92"/>
      <c r="K1331" s="92"/>
      <c r="L1331" s="99"/>
      <c r="M1331" s="99"/>
      <c r="N1331" s="99"/>
      <c r="O1331" s="99"/>
      <c r="P1331" s="92"/>
      <c r="Q1331" s="99"/>
      <c r="R1331" s="99"/>
      <c r="S1331" s="99"/>
      <c r="T1331" s="99"/>
      <c r="U1331" s="92"/>
      <c r="V1331" s="99"/>
      <c r="W1331" s="99"/>
      <c r="X1331" s="99"/>
      <c r="Y1331" s="99"/>
      <c r="Z1331" s="92"/>
      <c r="AA1331" s="99"/>
      <c r="AB1331" s="99"/>
      <c r="AC1331" s="99"/>
      <c r="AD1331" s="99"/>
      <c r="AE1331" s="92"/>
      <c r="AF1331" s="92"/>
      <c r="AG1331" s="92"/>
      <c r="AH1331" s="92"/>
      <c r="AI1331" s="92"/>
      <c r="AJ1331" s="92"/>
      <c r="AK1331" s="92"/>
      <c r="AM1331" s="651"/>
    </row>
    <row r="1332" spans="1:54" s="83" customFormat="1">
      <c r="G1332" s="92"/>
      <c r="H1332" s="92"/>
      <c r="I1332" s="92"/>
      <c r="J1332" s="92"/>
      <c r="K1332" s="92"/>
      <c r="L1332" s="99"/>
      <c r="M1332" s="99"/>
      <c r="N1332" s="99"/>
      <c r="O1332" s="99"/>
      <c r="P1332" s="92"/>
      <c r="Q1332" s="99"/>
      <c r="R1332" s="99"/>
      <c r="S1332" s="99"/>
      <c r="T1332" s="99"/>
      <c r="U1332" s="92"/>
      <c r="V1332" s="99"/>
      <c r="W1332" s="99"/>
      <c r="X1332" s="99"/>
      <c r="Y1332" s="99"/>
      <c r="Z1332" s="92"/>
      <c r="AA1332" s="99"/>
      <c r="AB1332" s="99"/>
      <c r="AC1332" s="99"/>
      <c r="AD1332" s="99"/>
      <c r="AE1332" s="92"/>
      <c r="AF1332" s="92"/>
      <c r="AG1332" s="92"/>
      <c r="AH1332" s="92"/>
      <c r="AI1332" s="92"/>
      <c r="AJ1332" s="92"/>
      <c r="AK1332" s="92"/>
      <c r="AM1332" s="651"/>
    </row>
    <row r="1333" spans="1:54" s="83" customFormat="1">
      <c r="A1333" s="79" t="s">
        <v>40</v>
      </c>
      <c r="B1333" s="79"/>
      <c r="C1333" s="79"/>
      <c r="D1333" s="81" t="s">
        <v>41</v>
      </c>
      <c r="E1333" s="81"/>
      <c r="F1333" s="81"/>
      <c r="G1333" s="81"/>
      <c r="H1333" s="81"/>
      <c r="I1333" s="81"/>
      <c r="J1333" s="81"/>
      <c r="K1333" s="81"/>
      <c r="L1333" s="81"/>
      <c r="M1333" s="81"/>
      <c r="N1333" s="81"/>
      <c r="O1333" s="81"/>
      <c r="P1333" s="340"/>
      <c r="Q1333" s="340"/>
      <c r="R1333" s="340"/>
      <c r="S1333" s="340"/>
      <c r="T1333" s="340"/>
      <c r="U1333" s="340"/>
      <c r="V1333" s="340"/>
      <c r="W1333" s="340"/>
      <c r="X1333" s="340"/>
      <c r="Y1333" s="340"/>
      <c r="Z1333" s="340"/>
      <c r="AA1333" s="340"/>
      <c r="AB1333" s="340"/>
      <c r="AC1333" s="340"/>
      <c r="AD1333" s="340"/>
      <c r="AE1333" s="340"/>
      <c r="AF1333" s="340"/>
      <c r="AG1333" s="340"/>
      <c r="AH1333" s="340"/>
      <c r="AI1333" s="340"/>
      <c r="AJ1333" s="340"/>
      <c r="AK1333" s="223"/>
      <c r="AL1333" s="322"/>
      <c r="AM1333" s="651"/>
      <c r="AN1333" s="322"/>
      <c r="AO1333" s="322"/>
      <c r="AP1333" s="322"/>
      <c r="AQ1333" s="322"/>
      <c r="AR1333" s="322"/>
      <c r="AS1333" s="322"/>
      <c r="AT1333" s="322"/>
      <c r="AU1333" s="322"/>
      <c r="AV1333" s="322"/>
      <c r="AW1333" s="322"/>
      <c r="AX1333" s="322"/>
      <c r="AY1333" s="322"/>
      <c r="AZ1333" s="322"/>
      <c r="BA1333" s="322"/>
      <c r="BB1333" s="322"/>
    </row>
    <row r="1334" spans="1:54" s="83" customFormat="1">
      <c r="A1334" s="341"/>
      <c r="B1334" s="341"/>
      <c r="C1334" s="341"/>
      <c r="D1334" s="342"/>
      <c r="E1334" s="342"/>
      <c r="F1334" s="342"/>
      <c r="G1334" s="342"/>
      <c r="H1334" s="342"/>
      <c r="I1334" s="342"/>
      <c r="J1334" s="342"/>
      <c r="K1334" s="342"/>
      <c r="L1334" s="342"/>
      <c r="M1334" s="342"/>
      <c r="N1334" s="342"/>
      <c r="O1334" s="342"/>
      <c r="P1334" s="343"/>
      <c r="Q1334" s="1041"/>
      <c r="R1334" s="1041"/>
      <c r="S1334" s="1041"/>
      <c r="T1334" s="1041"/>
      <c r="U1334" s="343"/>
      <c r="V1334" s="1041"/>
      <c r="W1334" s="1041"/>
      <c r="X1334" s="1041"/>
      <c r="Y1334" s="1041"/>
      <c r="Z1334" s="343"/>
      <c r="AA1334" s="1041"/>
      <c r="AB1334" s="1041"/>
      <c r="AC1334" s="1041"/>
      <c r="AD1334" s="1041"/>
      <c r="AE1334" s="343"/>
      <c r="AF1334" s="343"/>
      <c r="AG1334" s="343"/>
      <c r="AH1334" s="343"/>
      <c r="AI1334" s="343"/>
      <c r="AJ1334" s="343"/>
      <c r="AK1334" s="223"/>
      <c r="AL1334" s="322"/>
      <c r="AM1334" s="651"/>
      <c r="AN1334" s="322"/>
      <c r="AO1334" s="322"/>
      <c r="AP1334" s="322"/>
      <c r="AQ1334" s="322"/>
      <c r="AR1334" s="322"/>
      <c r="AS1334" s="322"/>
      <c r="AT1334" s="322"/>
      <c r="AU1334" s="322"/>
      <c r="AV1334" s="322"/>
      <c r="AW1334" s="322"/>
      <c r="AX1334" s="322"/>
      <c r="AY1334" s="322"/>
      <c r="AZ1334" s="322"/>
      <c r="BA1334" s="322"/>
      <c r="BB1334" s="322"/>
    </row>
    <row r="1335" spans="1:54" s="83" customFormat="1">
      <c r="A1335" s="341"/>
      <c r="B1335" s="341"/>
      <c r="C1335" s="341"/>
      <c r="D1335" s="344" t="s">
        <v>310</v>
      </c>
      <c r="E1335" s="376"/>
      <c r="F1335" s="342"/>
      <c r="G1335" s="128"/>
      <c r="H1335" s="128"/>
      <c r="I1335" s="128"/>
      <c r="J1335" s="128"/>
      <c r="K1335" s="128"/>
      <c r="L1335" s="128"/>
      <c r="M1335" s="128"/>
      <c r="N1335" s="128"/>
      <c r="O1335" s="128"/>
      <c r="P1335" s="128"/>
      <c r="Q1335" s="1041"/>
      <c r="R1335" s="1041"/>
      <c r="S1335" s="1041"/>
      <c r="T1335" s="1041"/>
      <c r="U1335" s="128"/>
      <c r="V1335" s="1041"/>
      <c r="W1335" s="1041"/>
      <c r="X1335" s="1041"/>
      <c r="Y1335" s="1041"/>
      <c r="Z1335" s="128"/>
      <c r="AA1335" s="1041"/>
      <c r="AB1335" s="1041"/>
      <c r="AC1335" s="1041"/>
      <c r="AD1335" s="1041"/>
      <c r="AE1335" s="128"/>
      <c r="AF1335" s="128"/>
      <c r="AG1335" s="128"/>
      <c r="AH1335" s="128"/>
      <c r="AI1335" s="128"/>
      <c r="AJ1335" s="128"/>
      <c r="AK1335" s="223"/>
      <c r="AL1335" s="322"/>
      <c r="AM1335" s="651"/>
      <c r="AN1335" s="322"/>
      <c r="AO1335" s="322"/>
      <c r="AP1335" s="322"/>
      <c r="AQ1335" s="322"/>
      <c r="AR1335" s="322"/>
      <c r="AS1335" s="322"/>
      <c r="AT1335" s="322"/>
      <c r="AU1335" s="322"/>
      <c r="AV1335" s="322"/>
      <c r="AW1335" s="322"/>
      <c r="AX1335" s="322"/>
      <c r="AY1335" s="322"/>
      <c r="AZ1335" s="322"/>
      <c r="BA1335" s="322"/>
      <c r="BB1335" s="322"/>
    </row>
    <row r="1336" spans="1:54" s="83" customFormat="1">
      <c r="A1336" s="341"/>
      <c r="B1336" s="341"/>
      <c r="C1336" s="341"/>
      <c r="D1336" s="342"/>
      <c r="E1336" s="342"/>
      <c r="F1336" s="342"/>
      <c r="G1336" s="128"/>
      <c r="H1336" s="128"/>
      <c r="I1336" s="128"/>
      <c r="J1336" s="128"/>
      <c r="K1336" s="128"/>
      <c r="L1336" s="128"/>
      <c r="M1336" s="128"/>
      <c r="N1336" s="128"/>
      <c r="O1336" s="128"/>
      <c r="P1336" s="128"/>
      <c r="Q1336" s="1041"/>
      <c r="R1336" s="1041"/>
      <c r="S1336" s="1041"/>
      <c r="T1336" s="1041"/>
      <c r="U1336" s="128"/>
      <c r="V1336" s="1041"/>
      <c r="W1336" s="1041"/>
      <c r="X1336" s="1041"/>
      <c r="Y1336" s="1041"/>
      <c r="Z1336" s="128"/>
      <c r="AA1336" s="1041"/>
      <c r="AB1336" s="1041"/>
      <c r="AC1336" s="1041"/>
      <c r="AD1336" s="1041"/>
      <c r="AE1336" s="128"/>
      <c r="AF1336" s="128"/>
      <c r="AG1336" s="128"/>
      <c r="AH1336" s="128"/>
      <c r="AI1336" s="128"/>
      <c r="AJ1336" s="128"/>
      <c r="AK1336" s="223"/>
      <c r="AL1336" s="322"/>
      <c r="AM1336" s="651"/>
      <c r="AN1336" s="322"/>
      <c r="AO1336" s="322"/>
      <c r="AP1336" s="322"/>
      <c r="AQ1336" s="322"/>
      <c r="AR1336" s="322"/>
      <c r="AS1336" s="322"/>
      <c r="AT1336" s="322"/>
      <c r="AU1336" s="322"/>
      <c r="AV1336" s="322"/>
      <c r="AW1336" s="322"/>
      <c r="AX1336" s="322"/>
      <c r="AY1336" s="322"/>
      <c r="AZ1336" s="322"/>
      <c r="BA1336" s="322"/>
      <c r="BB1336" s="322"/>
    </row>
    <row r="1337" spans="1:54" s="83" customFormat="1">
      <c r="A1337" s="341"/>
      <c r="B1337" s="341"/>
      <c r="C1337" s="341"/>
      <c r="D1337" s="119" t="s">
        <v>281</v>
      </c>
      <c r="E1337" s="119"/>
      <c r="F1337" s="342"/>
      <c r="G1337" s="128"/>
      <c r="H1337" s="128"/>
      <c r="I1337" s="128"/>
      <c r="J1337" s="128"/>
      <c r="K1337" s="128"/>
      <c r="L1337" s="345"/>
      <c r="M1337" s="345"/>
      <c r="N1337" s="345"/>
      <c r="O1337" s="345"/>
      <c r="P1337" s="128"/>
      <c r="Q1337" s="1041"/>
      <c r="R1337" s="1041"/>
      <c r="S1337" s="1041"/>
      <c r="T1337" s="1041"/>
      <c r="U1337" s="128"/>
      <c r="V1337" s="1041"/>
      <c r="W1337" s="1041"/>
      <c r="X1337" s="1041"/>
      <c r="Y1337" s="1041"/>
      <c r="Z1337" s="128"/>
      <c r="AA1337" s="1041"/>
      <c r="AB1337" s="1041"/>
      <c r="AC1337" s="1041"/>
      <c r="AD1337" s="1041"/>
      <c r="AE1337" s="128"/>
      <c r="AF1337" s="128"/>
      <c r="AG1337" s="128"/>
      <c r="AH1337" s="128"/>
      <c r="AI1337" s="128"/>
      <c r="AJ1337" s="128"/>
      <c r="AK1337" s="223"/>
      <c r="AL1337" s="322"/>
      <c r="AM1337" s="651"/>
      <c r="AN1337" s="322"/>
      <c r="AO1337" s="322"/>
      <c r="AP1337" s="322"/>
      <c r="AQ1337" s="322"/>
      <c r="AR1337" s="322"/>
      <c r="AS1337" s="322"/>
      <c r="AT1337" s="322"/>
      <c r="AU1337" s="322"/>
      <c r="AV1337" s="322"/>
      <c r="AW1337" s="322"/>
      <c r="AX1337" s="322"/>
      <c r="AY1337" s="322"/>
      <c r="AZ1337" s="322"/>
      <c r="BA1337" s="322"/>
      <c r="BB1337" s="322"/>
    </row>
    <row r="1338" spans="1:54" s="83" customFormat="1">
      <c r="A1338" s="341"/>
      <c r="B1338" s="341"/>
      <c r="C1338" s="341"/>
      <c r="D1338" s="346" t="s">
        <v>244</v>
      </c>
      <c r="E1338" s="346"/>
      <c r="F1338" s="342"/>
      <c r="G1338" s="347"/>
      <c r="H1338" s="347">
        <f>G1340</f>
        <v>1232</v>
      </c>
      <c r="I1338" s="347">
        <f>H1340</f>
        <v>1036</v>
      </c>
      <c r="J1338" s="347">
        <f>I1340</f>
        <v>1115</v>
      </c>
      <c r="K1338" s="347">
        <f>J1340</f>
        <v>1413</v>
      </c>
      <c r="L1338" s="348"/>
      <c r="M1338" s="348"/>
      <c r="N1338" s="348"/>
      <c r="O1338" s="348"/>
      <c r="P1338" s="347">
        <f>K1340</f>
        <v>1419</v>
      </c>
      <c r="Q1338" s="1041"/>
      <c r="R1338" s="1041"/>
      <c r="S1338" s="1041"/>
      <c r="T1338" s="1041"/>
      <c r="U1338" s="347">
        <f>P1340</f>
        <v>1180</v>
      </c>
      <c r="V1338" s="1041"/>
      <c r="W1338" s="1041"/>
      <c r="X1338" s="1041"/>
      <c r="Y1338" s="1041"/>
      <c r="Z1338" s="347">
        <f>U1340</f>
        <v>1062</v>
      </c>
      <c r="AA1338" s="1041"/>
      <c r="AB1338" s="1041"/>
      <c r="AC1338" s="1041"/>
      <c r="AD1338" s="1041"/>
      <c r="AE1338" s="347">
        <f>Z1340</f>
        <v>895.93950971028346</v>
      </c>
      <c r="AF1338" s="347">
        <f t="shared" ref="AF1338:AL1338" si="1106">AE1340</f>
        <v>1134.6628623169004</v>
      </c>
      <c r="AG1338" s="347">
        <f t="shared" si="1106"/>
        <v>1195.9522019452638</v>
      </c>
      <c r="AH1338" s="347">
        <f t="shared" si="1106"/>
        <v>1275.1695926454224</v>
      </c>
      <c r="AI1338" s="347">
        <f t="shared" si="1106"/>
        <v>1375.7487860509666</v>
      </c>
      <c r="AJ1338" s="347">
        <f t="shared" si="1106"/>
        <v>1369.6881794846463</v>
      </c>
      <c r="AK1338" s="347">
        <f t="shared" si="1106"/>
        <v>1355.6286503522888</v>
      </c>
      <c r="AL1338" s="347">
        <f t="shared" si="1106"/>
        <v>1355.6286503522888</v>
      </c>
      <c r="AM1338" s="651"/>
      <c r="AN1338" s="322"/>
      <c r="AO1338" s="322"/>
      <c r="AP1338" s="322"/>
      <c r="AQ1338" s="322"/>
      <c r="AR1338" s="322"/>
      <c r="AS1338" s="322"/>
      <c r="AT1338" s="322"/>
      <c r="AU1338" s="322"/>
      <c r="AV1338" s="322"/>
      <c r="AW1338" s="322"/>
      <c r="AX1338" s="322"/>
      <c r="AY1338" s="322"/>
      <c r="AZ1338" s="322"/>
      <c r="BA1338" s="322"/>
      <c r="BB1338" s="322"/>
    </row>
    <row r="1339" spans="1:54" s="83" customFormat="1">
      <c r="A1339" s="341"/>
      <c r="B1339" s="341"/>
      <c r="C1339" s="341"/>
      <c r="D1339" s="346" t="s">
        <v>245</v>
      </c>
      <c r="E1339" s="346"/>
      <c r="F1339" s="342"/>
      <c r="G1339" s="128"/>
      <c r="H1339" s="347">
        <f>H1340-H1338</f>
        <v>-196</v>
      </c>
      <c r="I1339" s="347">
        <f>I1340-I1338</f>
        <v>79</v>
      </c>
      <c r="J1339" s="347">
        <f>J1340-J1338</f>
        <v>298</v>
      </c>
      <c r="K1339" s="347">
        <f>K1340-K1338</f>
        <v>6</v>
      </c>
      <c r="L1339" s="348"/>
      <c r="M1339" s="348"/>
      <c r="N1339" s="348"/>
      <c r="O1339" s="348"/>
      <c r="P1339" s="347">
        <f>P1340-P1338</f>
        <v>-239</v>
      </c>
      <c r="Q1339" s="1041"/>
      <c r="R1339" s="1041"/>
      <c r="S1339" s="1041"/>
      <c r="T1339" s="1041"/>
      <c r="U1339" s="347">
        <f>U1340-U1338</f>
        <v>-118</v>
      </c>
      <c r="V1339" s="1041"/>
      <c r="W1339" s="1041"/>
      <c r="X1339" s="1041"/>
      <c r="Y1339" s="1041"/>
      <c r="Z1339" s="347">
        <f>Z1340-Z1338</f>
        <v>-166.06049028971654</v>
      </c>
      <c r="AA1339" s="1041"/>
      <c r="AB1339" s="1041"/>
      <c r="AC1339" s="1041"/>
      <c r="AD1339" s="1041"/>
      <c r="AE1339" s="347">
        <f t="shared" ref="AE1339:AL1339" si="1107">AE1340-AE1338</f>
        <v>238.72335260661691</v>
      </c>
      <c r="AF1339" s="347">
        <f t="shared" si="1107"/>
        <v>61.28933962836345</v>
      </c>
      <c r="AG1339" s="347">
        <f t="shared" si="1107"/>
        <v>79.217390700158603</v>
      </c>
      <c r="AH1339" s="347">
        <f t="shared" si="1107"/>
        <v>100.57919340554417</v>
      </c>
      <c r="AI1339" s="347">
        <f t="shared" si="1107"/>
        <v>-6.0606065663203026</v>
      </c>
      <c r="AJ1339" s="347">
        <f t="shared" si="1107"/>
        <v>-14.059529132357511</v>
      </c>
      <c r="AK1339" s="347">
        <f t="shared" si="1107"/>
        <v>0</v>
      </c>
      <c r="AL1339" s="347">
        <f t="shared" si="1107"/>
        <v>0</v>
      </c>
      <c r="AM1339" s="651"/>
      <c r="AN1339" s="322"/>
      <c r="AO1339" s="322"/>
      <c r="AP1339" s="322"/>
      <c r="AQ1339" s="322"/>
      <c r="AR1339" s="322"/>
      <c r="AS1339" s="322"/>
      <c r="AT1339" s="322"/>
      <c r="AU1339" s="322"/>
      <c r="AV1339" s="322"/>
      <c r="AW1339" s="322"/>
      <c r="AX1339" s="322"/>
      <c r="AY1339" s="322"/>
      <c r="AZ1339" s="322"/>
      <c r="BA1339" s="322"/>
      <c r="BB1339" s="322"/>
    </row>
    <row r="1340" spans="1:54" s="83" customFormat="1">
      <c r="A1340" s="341"/>
      <c r="B1340" s="341"/>
      <c r="C1340" s="341"/>
      <c r="D1340" s="346" t="s">
        <v>246</v>
      </c>
      <c r="E1340" s="346"/>
      <c r="F1340" s="342"/>
      <c r="G1340" s="347">
        <f>G1480</f>
        <v>1232</v>
      </c>
      <c r="H1340" s="347">
        <f>H1480</f>
        <v>1036</v>
      </c>
      <c r="I1340" s="347">
        <f>I1480</f>
        <v>1115</v>
      </c>
      <c r="J1340" s="347">
        <f>J1480</f>
        <v>1413</v>
      </c>
      <c r="K1340" s="347">
        <f>K1480</f>
        <v>1419</v>
      </c>
      <c r="L1340" s="348"/>
      <c r="M1340" s="348"/>
      <c r="N1340" s="348"/>
      <c r="O1340" s="348"/>
      <c r="P1340" s="347">
        <f>P1480</f>
        <v>1180</v>
      </c>
      <c r="Q1340" s="1041"/>
      <c r="R1340" s="1041"/>
      <c r="S1340" s="1041"/>
      <c r="T1340" s="1041"/>
      <c r="U1340" s="347">
        <f>U1480</f>
        <v>1062</v>
      </c>
      <c r="V1340" s="1041"/>
      <c r="W1340" s="1041"/>
      <c r="X1340" s="1041"/>
      <c r="Y1340" s="1041"/>
      <c r="Z1340" s="351">
        <f>IF(Z1342,Z1342*Z1253,U1340*Z1302)</f>
        <v>895.93950971028346</v>
      </c>
      <c r="AA1340" s="1041"/>
      <c r="AB1340" s="1041"/>
      <c r="AC1340" s="1041"/>
      <c r="AD1340" s="1041"/>
      <c r="AE1340" s="351">
        <f>IF(AE1342,AE1342*AE1253,Z1340*AE1302)</f>
        <v>1134.6628623169004</v>
      </c>
      <c r="AF1340" s="351">
        <f t="shared" ref="AF1340:AL1340" si="1108">IF(AF1342,AF1342*AF1253,AE1340*AF1302)</f>
        <v>1195.9522019452638</v>
      </c>
      <c r="AG1340" s="351">
        <f t="shared" si="1108"/>
        <v>1275.1695926454224</v>
      </c>
      <c r="AH1340" s="351">
        <f t="shared" si="1108"/>
        <v>1375.7487860509666</v>
      </c>
      <c r="AI1340" s="351">
        <f t="shared" si="1108"/>
        <v>1369.6881794846463</v>
      </c>
      <c r="AJ1340" s="351">
        <f t="shared" si="1108"/>
        <v>1355.6286503522888</v>
      </c>
      <c r="AK1340" s="351">
        <f t="shared" si="1108"/>
        <v>1355.6286503522888</v>
      </c>
      <c r="AL1340" s="351">
        <f t="shared" si="1108"/>
        <v>1355.6286503522888</v>
      </c>
      <c r="AM1340" s="651"/>
      <c r="AN1340" s="322"/>
      <c r="AO1340" s="322"/>
      <c r="AP1340" s="322"/>
      <c r="AQ1340" s="322"/>
      <c r="AR1340" s="322"/>
      <c r="AS1340" s="322"/>
      <c r="AT1340" s="322"/>
      <c r="AU1340" s="322"/>
      <c r="AV1340" s="322"/>
      <c r="AW1340" s="322"/>
      <c r="AX1340" s="322"/>
      <c r="AY1340" s="322"/>
      <c r="AZ1340" s="322"/>
      <c r="BA1340" s="322"/>
      <c r="BB1340" s="322"/>
    </row>
    <row r="1341" spans="1:54" s="83" customFormat="1">
      <c r="A1341" s="341"/>
      <c r="B1341" s="341"/>
      <c r="C1341" s="341"/>
      <c r="D1341" s="342"/>
      <c r="E1341" s="342"/>
      <c r="F1341" s="342"/>
      <c r="G1341" s="128"/>
      <c r="H1341" s="128"/>
      <c r="I1341" s="128"/>
      <c r="J1341" s="128"/>
      <c r="K1341" s="128"/>
      <c r="L1341" s="345"/>
      <c r="M1341" s="345"/>
      <c r="N1341" s="345"/>
      <c r="O1341" s="345"/>
      <c r="P1341" s="128"/>
      <c r="Q1341" s="1041"/>
      <c r="R1341" s="1041"/>
      <c r="S1341" s="1041"/>
      <c r="T1341" s="1041"/>
      <c r="U1341" s="128"/>
      <c r="V1341" s="1041"/>
      <c r="W1341" s="1041"/>
      <c r="X1341" s="1041"/>
      <c r="Y1341" s="1041"/>
      <c r="Z1341" s="128"/>
      <c r="AA1341" s="1041"/>
      <c r="AB1341" s="1041"/>
      <c r="AC1341" s="1041"/>
      <c r="AD1341" s="1041"/>
      <c r="AE1341" s="128"/>
      <c r="AF1341" s="128"/>
      <c r="AG1341" s="128"/>
      <c r="AH1341" s="128"/>
      <c r="AI1341" s="128"/>
      <c r="AJ1341" s="128"/>
      <c r="AK1341" s="128"/>
      <c r="AL1341" s="128"/>
      <c r="AM1341" s="651"/>
      <c r="AN1341" s="322"/>
      <c r="AO1341" s="322"/>
      <c r="AP1341" s="322"/>
      <c r="AQ1341" s="322"/>
      <c r="AR1341" s="322"/>
      <c r="AS1341" s="322"/>
      <c r="AT1341" s="322"/>
      <c r="AU1341" s="322"/>
      <c r="AV1341" s="322"/>
      <c r="AW1341" s="322"/>
      <c r="AX1341" s="322"/>
      <c r="AY1341" s="322"/>
      <c r="AZ1341" s="322"/>
      <c r="BA1341" s="322"/>
      <c r="BB1341" s="322"/>
    </row>
    <row r="1342" spans="1:54" s="83" customFormat="1">
      <c r="A1342" s="341"/>
      <c r="B1342" s="341"/>
      <c r="C1342" s="341"/>
      <c r="D1342" s="346" t="s">
        <v>282</v>
      </c>
      <c r="E1342" s="346"/>
      <c r="F1342" s="342"/>
      <c r="G1342" s="352">
        <f>G1340/G1253</f>
        <v>0.13131528458750799</v>
      </c>
      <c r="H1342" s="352">
        <f>H1340/H1253</f>
        <v>0.12047912547970695</v>
      </c>
      <c r="I1342" s="352">
        <f>I1340/I1253</f>
        <v>0.13500423780118659</v>
      </c>
      <c r="J1342" s="352">
        <f>J1340/J1253</f>
        <v>0.15193548387096775</v>
      </c>
      <c r="K1342" s="352">
        <f>K1340/K1253</f>
        <v>0.11914357682619647</v>
      </c>
      <c r="L1342" s="353"/>
      <c r="M1342" s="353"/>
      <c r="N1342" s="353"/>
      <c r="O1342" s="353"/>
      <c r="P1342" s="352">
        <f>P1340/P1253</f>
        <v>9.3919134033747215E-2</v>
      </c>
      <c r="Q1342" s="1042"/>
      <c r="R1342" s="1042"/>
      <c r="S1342" s="1043"/>
      <c r="T1342" s="1043"/>
      <c r="U1342" s="352">
        <f>U1340/U1253</f>
        <v>8.8989441930618404E-2</v>
      </c>
      <c r="V1342" s="1042"/>
      <c r="W1342" s="1042"/>
      <c r="X1342" s="1043"/>
      <c r="Y1342" s="1043"/>
      <c r="Z1342" s="978">
        <v>0.10012734797835085</v>
      </c>
      <c r="AA1342" s="1042"/>
      <c r="AB1342" s="1042"/>
      <c r="AC1342" s="1043"/>
      <c r="AD1342" s="1043"/>
      <c r="AE1342" s="1049">
        <v>0.10012734797835085</v>
      </c>
      <c r="AF1342" s="1049">
        <f>AE1342</f>
        <v>0.10012734797835085</v>
      </c>
      <c r="AG1342" s="1049">
        <f t="shared" ref="AG1342:AL1342" si="1109">AE1342</f>
        <v>0.10012734797835085</v>
      </c>
      <c r="AH1342" s="1049">
        <f t="shared" si="1109"/>
        <v>0.10012734797835085</v>
      </c>
      <c r="AI1342" s="1049">
        <f t="shared" si="1109"/>
        <v>0.10012734797835085</v>
      </c>
      <c r="AJ1342" s="1049">
        <f t="shared" si="1109"/>
        <v>0.10012734797835085</v>
      </c>
      <c r="AK1342" s="1049">
        <f t="shared" si="1109"/>
        <v>0.10012734797835085</v>
      </c>
      <c r="AL1342" s="1049">
        <f t="shared" si="1109"/>
        <v>0.10012734797835085</v>
      </c>
      <c r="AM1342" s="651"/>
      <c r="AN1342" s="322"/>
      <c r="AO1342" s="322"/>
      <c r="AP1342" s="322"/>
      <c r="AQ1342" s="322"/>
      <c r="AR1342" s="322"/>
      <c r="AS1342" s="322"/>
      <c r="AT1342" s="322"/>
      <c r="AU1342" s="322"/>
      <c r="AV1342" s="322"/>
      <c r="AW1342" s="322"/>
      <c r="AX1342" s="322"/>
      <c r="AY1342" s="322"/>
      <c r="AZ1342" s="322"/>
      <c r="BA1342" s="322"/>
      <c r="BB1342" s="322"/>
    </row>
    <row r="1343" spans="1:54" s="83" customFormat="1">
      <c r="A1343" s="341"/>
      <c r="B1343" s="341"/>
      <c r="C1343" s="341"/>
      <c r="D1343" s="346" t="s">
        <v>283</v>
      </c>
      <c r="E1343" s="346"/>
      <c r="F1343" s="342"/>
      <c r="G1343" s="354">
        <f>G1342*365</f>
        <v>47.930078874440419</v>
      </c>
      <c r="H1343" s="354">
        <f>H1342*365</f>
        <v>43.974880800093032</v>
      </c>
      <c r="I1343" s="354">
        <f>I1342*365</f>
        <v>49.276546797433106</v>
      </c>
      <c r="J1343" s="354">
        <f>J1342*365</f>
        <v>55.45645161290323</v>
      </c>
      <c r="K1343" s="354">
        <f>K1342*365</f>
        <v>43.487405541561714</v>
      </c>
      <c r="L1343" s="355"/>
      <c r="M1343" s="355"/>
      <c r="N1343" s="355"/>
      <c r="O1343" s="355"/>
      <c r="P1343" s="354">
        <f>P1342*365</f>
        <v>34.280483922317735</v>
      </c>
      <c r="Q1343" s="1044"/>
      <c r="R1343" s="1044"/>
      <c r="S1343" s="1045"/>
      <c r="T1343" s="1045"/>
      <c r="U1343" s="354">
        <f>U1342*365</f>
        <v>32.481146304675718</v>
      </c>
      <c r="V1343" s="1044"/>
      <c r="W1343" s="1044"/>
      <c r="X1343" s="1045"/>
      <c r="Y1343" s="1045"/>
      <c r="Z1343" s="354">
        <f>Z1342*365</f>
        <v>36.54648201209806</v>
      </c>
      <c r="AA1343" s="1044"/>
      <c r="AB1343" s="1044"/>
      <c r="AC1343" s="1045"/>
      <c r="AD1343" s="1045"/>
      <c r="AE1343" s="354">
        <f>AE1342*365</f>
        <v>36.54648201209806</v>
      </c>
      <c r="AF1343" s="354">
        <f>AF1342*365</f>
        <v>36.54648201209806</v>
      </c>
      <c r="AG1343" s="354">
        <f t="shared" ref="AG1343:AL1343" si="1110">AG1342*365</f>
        <v>36.54648201209806</v>
      </c>
      <c r="AH1343" s="354">
        <f t="shared" si="1110"/>
        <v>36.54648201209806</v>
      </c>
      <c r="AI1343" s="354">
        <f t="shared" si="1110"/>
        <v>36.54648201209806</v>
      </c>
      <c r="AJ1343" s="354">
        <f t="shared" si="1110"/>
        <v>36.54648201209806</v>
      </c>
      <c r="AK1343" s="354">
        <f t="shared" si="1110"/>
        <v>36.54648201209806</v>
      </c>
      <c r="AL1343" s="354">
        <f t="shared" si="1110"/>
        <v>36.54648201209806</v>
      </c>
      <c r="AM1343" s="651"/>
      <c r="AN1343" s="322"/>
      <c r="AO1343" s="322"/>
      <c r="AP1343" s="322"/>
      <c r="AQ1343" s="322"/>
      <c r="AR1343" s="322"/>
      <c r="AS1343" s="322"/>
      <c r="AT1343" s="322"/>
      <c r="AU1343" s="322"/>
      <c r="AV1343" s="322"/>
      <c r="AW1343" s="322"/>
      <c r="AX1343" s="322"/>
      <c r="AY1343" s="322"/>
      <c r="AZ1343" s="322"/>
      <c r="BA1343" s="322"/>
      <c r="BB1343" s="322"/>
    </row>
    <row r="1344" spans="1:54" s="83" customFormat="1">
      <c r="A1344" s="341"/>
      <c r="B1344" s="341"/>
      <c r="C1344" s="341"/>
      <c r="D1344" s="342"/>
      <c r="E1344" s="342"/>
      <c r="F1344" s="342"/>
      <c r="G1344" s="128"/>
      <c r="H1344" s="128"/>
      <c r="I1344" s="128"/>
      <c r="J1344" s="128"/>
      <c r="K1344" s="128"/>
      <c r="L1344" s="345"/>
      <c r="M1344" s="345"/>
      <c r="N1344" s="345"/>
      <c r="O1344" s="345"/>
      <c r="P1344" s="128"/>
      <c r="Q1344" s="1041"/>
      <c r="R1344" s="1041"/>
      <c r="S1344" s="1041"/>
      <c r="T1344" s="1041"/>
      <c r="U1344" s="128"/>
      <c r="V1344" s="1041"/>
      <c r="W1344" s="1041"/>
      <c r="X1344" s="1041"/>
      <c r="Y1344" s="1041"/>
      <c r="Z1344" s="128"/>
      <c r="AA1344" s="1041"/>
      <c r="AB1344" s="1041"/>
      <c r="AC1344" s="1041"/>
      <c r="AD1344" s="1041"/>
      <c r="AE1344" s="128"/>
      <c r="AF1344" s="128"/>
      <c r="AG1344" s="350"/>
      <c r="AH1344" s="350"/>
      <c r="AI1344" s="350"/>
      <c r="AJ1344" s="128"/>
      <c r="AK1344" s="223"/>
      <c r="AL1344" s="322"/>
      <c r="AM1344" s="651"/>
      <c r="AN1344" s="322"/>
      <c r="AO1344" s="322"/>
      <c r="AP1344" s="322"/>
      <c r="AQ1344" s="322"/>
      <c r="AR1344" s="322"/>
      <c r="AS1344" s="322"/>
      <c r="AT1344" s="322"/>
      <c r="AU1344" s="322"/>
      <c r="AV1344" s="322"/>
      <c r="AW1344" s="322"/>
      <c r="AX1344" s="322"/>
      <c r="AY1344" s="322"/>
      <c r="AZ1344" s="322"/>
      <c r="BA1344" s="322"/>
      <c r="BB1344" s="322"/>
    </row>
    <row r="1345" spans="1:54" s="83" customFormat="1">
      <c r="A1345" s="341"/>
      <c r="B1345" s="341"/>
      <c r="C1345" s="341"/>
      <c r="D1345" s="342"/>
      <c r="E1345" s="342"/>
      <c r="F1345" s="342"/>
      <c r="G1345" s="128"/>
      <c r="H1345" s="128"/>
      <c r="I1345" s="128"/>
      <c r="J1345" s="128"/>
      <c r="K1345" s="128"/>
      <c r="L1345" s="345"/>
      <c r="M1345" s="345"/>
      <c r="N1345" s="345"/>
      <c r="O1345" s="345"/>
      <c r="P1345" s="128"/>
      <c r="Q1345" s="1041"/>
      <c r="R1345" s="1041"/>
      <c r="S1345" s="1041"/>
      <c r="T1345" s="1041"/>
      <c r="U1345" s="128"/>
      <c r="V1345" s="1041"/>
      <c r="W1345" s="1041"/>
      <c r="X1345" s="1041"/>
      <c r="Y1345" s="1041"/>
      <c r="Z1345" s="128"/>
      <c r="AA1345" s="1041"/>
      <c r="AB1345" s="1041"/>
      <c r="AC1345" s="1041"/>
      <c r="AD1345" s="1041"/>
      <c r="AE1345" s="128"/>
      <c r="AF1345" s="128"/>
      <c r="AG1345" s="350"/>
      <c r="AH1345" s="350"/>
      <c r="AI1345" s="350"/>
      <c r="AJ1345" s="128"/>
      <c r="AK1345" s="223"/>
      <c r="AL1345" s="322"/>
      <c r="AM1345" s="651"/>
      <c r="AN1345" s="322"/>
      <c r="AO1345" s="322"/>
      <c r="AP1345" s="322"/>
      <c r="AQ1345" s="322"/>
      <c r="AR1345" s="322"/>
      <c r="AS1345" s="322"/>
      <c r="AT1345" s="322"/>
      <c r="AU1345" s="322"/>
      <c r="AV1345" s="322"/>
      <c r="AW1345" s="322"/>
      <c r="AX1345" s="322"/>
      <c r="AY1345" s="322"/>
      <c r="AZ1345" s="322"/>
      <c r="BA1345" s="322"/>
      <c r="BB1345" s="322"/>
    </row>
    <row r="1346" spans="1:54" s="83" customFormat="1">
      <c r="A1346" s="341"/>
      <c r="B1346" s="341"/>
      <c r="C1346" s="341"/>
      <c r="D1346" s="119" t="s">
        <v>243</v>
      </c>
      <c r="E1346" s="119"/>
      <c r="F1346" s="342"/>
      <c r="G1346" s="128"/>
      <c r="H1346" s="128"/>
      <c r="I1346" s="128"/>
      <c r="J1346" s="128"/>
      <c r="K1346" s="128"/>
      <c r="L1346" s="345"/>
      <c r="M1346" s="345"/>
      <c r="N1346" s="345"/>
      <c r="O1346" s="345"/>
      <c r="P1346" s="128"/>
      <c r="Q1346" s="1041"/>
      <c r="R1346" s="1041"/>
      <c r="S1346" s="1041"/>
      <c r="T1346" s="1041"/>
      <c r="U1346" s="128"/>
      <c r="V1346" s="1041"/>
      <c r="W1346" s="1041"/>
      <c r="X1346" s="1041"/>
      <c r="Y1346" s="1041"/>
      <c r="Z1346" s="128"/>
      <c r="AA1346" s="1041"/>
      <c r="AB1346" s="1041"/>
      <c r="AC1346" s="1041"/>
      <c r="AD1346" s="1041"/>
      <c r="AE1346" s="128"/>
      <c r="AF1346" s="128"/>
      <c r="AG1346" s="350"/>
      <c r="AH1346" s="350"/>
      <c r="AI1346" s="350"/>
      <c r="AJ1346" s="128"/>
      <c r="AK1346" s="223"/>
      <c r="AL1346" s="322"/>
      <c r="AM1346" s="651"/>
      <c r="AN1346" s="322"/>
      <c r="AO1346" s="322"/>
      <c r="AP1346" s="322"/>
      <c r="AQ1346" s="322"/>
      <c r="AR1346" s="322"/>
      <c r="AS1346" s="322"/>
      <c r="AT1346" s="322"/>
      <c r="AU1346" s="322"/>
      <c r="AV1346" s="322"/>
      <c r="AW1346" s="322"/>
      <c r="AX1346" s="322"/>
      <c r="AY1346" s="322"/>
      <c r="AZ1346" s="322"/>
      <c r="BA1346" s="322"/>
      <c r="BB1346" s="322"/>
    </row>
    <row r="1347" spans="1:54" s="83" customFormat="1">
      <c r="A1347" s="356"/>
      <c r="B1347" s="356"/>
      <c r="C1347" s="356"/>
      <c r="D1347" s="346" t="s">
        <v>244</v>
      </c>
      <c r="E1347" s="346"/>
      <c r="F1347" s="357"/>
      <c r="G1347" s="357"/>
      <c r="H1347" s="357"/>
      <c r="I1347" s="357"/>
      <c r="J1347" s="357"/>
      <c r="K1347" s="358"/>
      <c r="L1347" s="359"/>
      <c r="M1347" s="359"/>
      <c r="N1347" s="359"/>
      <c r="O1347" s="359"/>
      <c r="P1347" s="128"/>
      <c r="Q1347" s="1041"/>
      <c r="R1347" s="1046"/>
      <c r="S1347" s="1041"/>
      <c r="T1347" s="1041"/>
      <c r="U1347" s="347">
        <f>P1349</f>
        <v>2065</v>
      </c>
      <c r="V1347" s="1041"/>
      <c r="W1347" s="1046"/>
      <c r="X1347" s="1041"/>
      <c r="Y1347" s="1041"/>
      <c r="Z1347" s="347">
        <f>U1349</f>
        <v>1981</v>
      </c>
      <c r="AA1347" s="1041"/>
      <c r="AB1347" s="1046"/>
      <c r="AC1347" s="1041"/>
      <c r="AD1347" s="1041"/>
      <c r="AE1347" s="347">
        <f ca="1">Z1349</f>
        <v>1710.3055934372817</v>
      </c>
      <c r="AF1347" s="347">
        <f t="shared" ref="AF1347:AL1347" ca="1" si="1111">AE1349</f>
        <v>1863.3782664866308</v>
      </c>
      <c r="AG1347" s="347">
        <f t="shared" ca="1" si="1111"/>
        <v>1912.0315332040757</v>
      </c>
      <c r="AH1347" s="347">
        <f t="shared" ca="1" si="1111"/>
        <v>1997.1939831818399</v>
      </c>
      <c r="AI1347" s="347">
        <f t="shared" ca="1" si="1111"/>
        <v>2057.7585358265487</v>
      </c>
      <c r="AJ1347" s="347">
        <f t="shared" ca="1" si="1111"/>
        <v>2136.1484029414673</v>
      </c>
      <c r="AK1347" s="347">
        <f t="shared" ca="1" si="1111"/>
        <v>2163.1793916017841</v>
      </c>
      <c r="AL1347" s="347">
        <f t="shared" ca="1" si="1111"/>
        <v>2163.1793916017841</v>
      </c>
      <c r="AM1347" s="651"/>
      <c r="AN1347" s="322"/>
      <c r="AO1347" s="322"/>
      <c r="AP1347" s="322"/>
      <c r="AQ1347" s="322"/>
      <c r="AR1347" s="322"/>
      <c r="AS1347" s="322"/>
      <c r="AT1347" s="322"/>
      <c r="AU1347" s="322"/>
      <c r="AV1347" s="322"/>
      <c r="AW1347" s="322"/>
      <c r="AX1347" s="322"/>
      <c r="AY1347" s="322"/>
      <c r="AZ1347" s="322"/>
      <c r="BA1347" s="322"/>
      <c r="BB1347" s="322"/>
    </row>
    <row r="1348" spans="1:54" s="83" customFormat="1">
      <c r="A1348" s="341"/>
      <c r="B1348" s="341"/>
      <c r="C1348" s="341"/>
      <c r="D1348" s="346" t="s">
        <v>245</v>
      </c>
      <c r="E1348" s="346"/>
      <c r="F1348" s="360"/>
      <c r="G1348" s="358"/>
      <c r="H1348" s="358"/>
      <c r="I1348" s="358"/>
      <c r="J1348" s="358"/>
      <c r="K1348" s="358"/>
      <c r="L1348" s="359"/>
      <c r="M1348" s="359"/>
      <c r="N1348" s="359"/>
      <c r="O1348" s="359"/>
      <c r="P1348" s="128"/>
      <c r="Q1348" s="1041"/>
      <c r="R1348" s="1041"/>
      <c r="S1348" s="1041"/>
      <c r="T1348" s="1041"/>
      <c r="U1348" s="351">
        <f>U1349-U1347</f>
        <v>-84</v>
      </c>
      <c r="V1348" s="1041"/>
      <c r="W1348" s="1041"/>
      <c r="X1348" s="1041"/>
      <c r="Y1348" s="1041"/>
      <c r="Z1348" s="351">
        <f ca="1">Z1349-Z1347</f>
        <v>-270.69440656271831</v>
      </c>
      <c r="AA1348" s="1041"/>
      <c r="AB1348" s="1041"/>
      <c r="AC1348" s="1041"/>
      <c r="AD1348" s="1041"/>
      <c r="AE1348" s="351">
        <f t="shared" ref="AE1348:AL1348" ca="1" si="1112">AE1349-AE1347</f>
        <v>153.07267304934908</v>
      </c>
      <c r="AF1348" s="351">
        <f t="shared" ca="1" si="1112"/>
        <v>48.653266717444922</v>
      </c>
      <c r="AG1348" s="351">
        <f t="shared" ca="1" si="1112"/>
        <v>85.162449977764254</v>
      </c>
      <c r="AH1348" s="351">
        <f t="shared" ca="1" si="1112"/>
        <v>60.564552644708783</v>
      </c>
      <c r="AI1348" s="351">
        <f t="shared" ca="1" si="1112"/>
        <v>78.389867114918616</v>
      </c>
      <c r="AJ1348" s="351">
        <f t="shared" ca="1" si="1112"/>
        <v>27.03098866031678</v>
      </c>
      <c r="AK1348" s="351">
        <f t="shared" ca="1" si="1112"/>
        <v>0</v>
      </c>
      <c r="AL1348" s="351">
        <f t="shared" ca="1" si="1112"/>
        <v>0</v>
      </c>
      <c r="AM1348" s="651"/>
      <c r="AN1348" s="322"/>
      <c r="AO1348" s="322"/>
      <c r="AP1348" s="322"/>
      <c r="AQ1348" s="322"/>
      <c r="AR1348" s="322"/>
      <c r="AS1348" s="322"/>
      <c r="AT1348" s="322"/>
      <c r="AU1348" s="322"/>
      <c r="AV1348" s="322"/>
      <c r="AW1348" s="322"/>
      <c r="AX1348" s="322"/>
      <c r="AY1348" s="322"/>
      <c r="AZ1348" s="322"/>
      <c r="BA1348" s="322"/>
      <c r="BB1348" s="322"/>
    </row>
    <row r="1349" spans="1:54" s="83" customFormat="1">
      <c r="A1349" s="341"/>
      <c r="B1349" s="341"/>
      <c r="C1349" s="341"/>
      <c r="D1349" s="346" t="s">
        <v>246</v>
      </c>
      <c r="E1349" s="346"/>
      <c r="F1349" s="360"/>
      <c r="G1349" s="347">
        <f>G1481</f>
        <v>1695</v>
      </c>
      <c r="H1349" s="347">
        <f>H1481</f>
        <v>1752</v>
      </c>
      <c r="I1349" s="347">
        <f>I1481</f>
        <v>1620</v>
      </c>
      <c r="J1349" s="347">
        <f>J1481</f>
        <v>1673</v>
      </c>
      <c r="K1349" s="347">
        <f>K1481</f>
        <v>1669</v>
      </c>
      <c r="L1349" s="348"/>
      <c r="M1349" s="348"/>
      <c r="N1349" s="348"/>
      <c r="O1349" s="348"/>
      <c r="P1349" s="347">
        <f>P1481</f>
        <v>2065</v>
      </c>
      <c r="Q1349" s="1041"/>
      <c r="R1349" s="1046"/>
      <c r="S1349" s="1046"/>
      <c r="T1349" s="1046"/>
      <c r="U1349" s="347">
        <f>U1481</f>
        <v>1981</v>
      </c>
      <c r="V1349" s="1041"/>
      <c r="W1349" s="1046"/>
      <c r="X1349" s="1046"/>
      <c r="Y1349" s="1046"/>
      <c r="Z1349" s="351">
        <f ca="1">IF(Z1351,-(Z1351*Z1260),(U1349*(Z1260/U1260)))</f>
        <v>1710.3055934372817</v>
      </c>
      <c r="AA1349" s="1041"/>
      <c r="AB1349" s="1046"/>
      <c r="AC1349" s="1046"/>
      <c r="AD1349" s="1046"/>
      <c r="AE1349" s="351">
        <f ca="1">IF(AE1351,-(AE1351*AE1260),(Z1349*(AE1260/Z1260)))</f>
        <v>1863.3782664866308</v>
      </c>
      <c r="AF1349" s="351">
        <f ca="1">IF(AF1351,-(AF1351*AF1260),(AE1349*(AF1260/AE1260)))</f>
        <v>1912.0315332040757</v>
      </c>
      <c r="AG1349" s="351">
        <f t="shared" ref="AG1349:AL1349" ca="1" si="1113">IF(AG1351,-(AG1351*AG1260),(AF1349*(AG1260/AF1260)))</f>
        <v>1997.1939831818399</v>
      </c>
      <c r="AH1349" s="351">
        <f t="shared" ca="1" si="1113"/>
        <v>2057.7585358265487</v>
      </c>
      <c r="AI1349" s="351">
        <f t="shared" ca="1" si="1113"/>
        <v>2136.1484029414673</v>
      </c>
      <c r="AJ1349" s="351">
        <f t="shared" ca="1" si="1113"/>
        <v>2163.1793916017841</v>
      </c>
      <c r="AK1349" s="351">
        <f t="shared" ca="1" si="1113"/>
        <v>2163.1793916017841</v>
      </c>
      <c r="AL1349" s="351">
        <f t="shared" ca="1" si="1113"/>
        <v>2163.1793916017841</v>
      </c>
      <c r="AM1349" s="651"/>
      <c r="AN1349" s="322"/>
      <c r="AO1349" s="322"/>
      <c r="AP1349" s="322"/>
      <c r="AQ1349" s="322"/>
      <c r="AR1349" s="322"/>
      <c r="AS1349" s="322"/>
      <c r="AT1349" s="322"/>
      <c r="AU1349" s="322"/>
      <c r="AV1349" s="322"/>
      <c r="AW1349" s="322"/>
      <c r="AX1349" s="322"/>
      <c r="AY1349" s="322"/>
      <c r="AZ1349" s="322"/>
      <c r="BA1349" s="322"/>
      <c r="BB1349" s="322"/>
    </row>
    <row r="1350" spans="1:54" s="83" customFormat="1">
      <c r="A1350" s="341"/>
      <c r="B1350" s="341"/>
      <c r="C1350" s="341"/>
      <c r="D1350" s="342"/>
      <c r="E1350" s="342"/>
      <c r="F1350" s="360"/>
      <c r="G1350" s="128"/>
      <c r="H1350" s="128"/>
      <c r="I1350" s="128"/>
      <c r="J1350" s="128"/>
      <c r="K1350" s="128"/>
      <c r="L1350" s="345"/>
      <c r="M1350" s="345"/>
      <c r="N1350" s="345"/>
      <c r="O1350" s="345"/>
      <c r="P1350" s="128"/>
      <c r="Q1350" s="1041"/>
      <c r="R1350" s="1041"/>
      <c r="S1350" s="1041"/>
      <c r="T1350" s="1041"/>
      <c r="U1350" s="128"/>
      <c r="V1350" s="1041"/>
      <c r="W1350" s="1041"/>
      <c r="X1350" s="1041"/>
      <c r="Y1350" s="1041"/>
      <c r="Z1350" s="362"/>
      <c r="AA1350" s="1041"/>
      <c r="AB1350" s="1041"/>
      <c r="AC1350" s="1041"/>
      <c r="AD1350" s="1041"/>
      <c r="AE1350" s="362"/>
      <c r="AF1350" s="343"/>
      <c r="AG1350" s="343"/>
      <c r="AH1350" s="343"/>
      <c r="AI1350" s="343"/>
      <c r="AJ1350" s="343"/>
      <c r="AK1350" s="343"/>
      <c r="AL1350" s="343"/>
      <c r="AM1350" s="651"/>
      <c r="AN1350" s="322"/>
      <c r="AO1350" s="322"/>
      <c r="AP1350" s="322"/>
      <c r="AQ1350" s="322"/>
      <c r="AR1350" s="322"/>
      <c r="AS1350" s="322"/>
      <c r="AT1350" s="322"/>
      <c r="AU1350" s="322"/>
      <c r="AV1350" s="322"/>
      <c r="AW1350" s="322"/>
      <c r="AX1350" s="322"/>
      <c r="AY1350" s="322"/>
      <c r="AZ1350" s="322"/>
      <c r="BA1350" s="322"/>
      <c r="BB1350" s="322"/>
    </row>
    <row r="1351" spans="1:54" s="83" customFormat="1">
      <c r="A1351" s="341"/>
      <c r="B1351" s="341"/>
      <c r="C1351" s="341"/>
      <c r="D1351" s="346" t="s">
        <v>247</v>
      </c>
      <c r="E1351" s="346"/>
      <c r="F1351" s="360"/>
      <c r="G1351" s="352">
        <f>G1349/-G1260</f>
        <v>0.24399021160213041</v>
      </c>
      <c r="H1351" s="352">
        <f>H1349/-H1260</f>
        <v>0.24812349525562952</v>
      </c>
      <c r="I1351" s="352">
        <f>I1349/-I1260</f>
        <v>0.23195876288659795</v>
      </c>
      <c r="J1351" s="352">
        <f>J1349/-J1260</f>
        <v>0.24232329084588644</v>
      </c>
      <c r="K1351" s="352">
        <f>K1349/-K1260</f>
        <v>0.22729129783467247</v>
      </c>
      <c r="L1351" s="353"/>
      <c r="M1351" s="353"/>
      <c r="N1351" s="353"/>
      <c r="O1351" s="353"/>
      <c r="P1351" s="352">
        <f>P1349/-P1260</f>
        <v>0.25997733853707666</v>
      </c>
      <c r="Q1351" s="1042"/>
      <c r="R1351" s="1042"/>
      <c r="S1351" s="1042"/>
      <c r="T1351" s="1042"/>
      <c r="U1351" s="352">
        <f>U1349/-U1260</f>
        <v>0.23050965790086106</v>
      </c>
      <c r="V1351" s="1042"/>
      <c r="W1351" s="1042"/>
      <c r="X1351" s="1042"/>
      <c r="Y1351" s="1042"/>
      <c r="Z1351" s="978">
        <f>U1351</f>
        <v>0.23050965790086106</v>
      </c>
      <c r="AA1351" s="1042"/>
      <c r="AB1351" s="1042"/>
      <c r="AC1351" s="1042"/>
      <c r="AD1351" s="1042"/>
      <c r="AE1351" s="1049">
        <f>Z1351</f>
        <v>0.23050965790086106</v>
      </c>
      <c r="AF1351" s="1049">
        <f t="shared" ref="AF1351:AL1351" si="1114">AE1351</f>
        <v>0.23050965790086106</v>
      </c>
      <c r="AG1351" s="1049">
        <f t="shared" si="1114"/>
        <v>0.23050965790086106</v>
      </c>
      <c r="AH1351" s="1049">
        <f t="shared" si="1114"/>
        <v>0.23050965790086106</v>
      </c>
      <c r="AI1351" s="1049">
        <f t="shared" si="1114"/>
        <v>0.23050965790086106</v>
      </c>
      <c r="AJ1351" s="1049">
        <f t="shared" si="1114"/>
        <v>0.23050965790086106</v>
      </c>
      <c r="AK1351" s="1049">
        <f t="shared" si="1114"/>
        <v>0.23050965790086106</v>
      </c>
      <c r="AL1351" s="1049">
        <f t="shared" si="1114"/>
        <v>0.23050965790086106</v>
      </c>
      <c r="AM1351" s="651"/>
      <c r="AN1351" s="322"/>
      <c r="AO1351" s="322"/>
      <c r="AP1351" s="322"/>
      <c r="AQ1351" s="322"/>
      <c r="AR1351" s="322"/>
      <c r="AS1351" s="322"/>
      <c r="AT1351" s="322"/>
      <c r="AU1351" s="322"/>
      <c r="AV1351" s="322"/>
      <c r="AW1351" s="322"/>
      <c r="AX1351" s="322"/>
      <c r="AY1351" s="322"/>
      <c r="AZ1351" s="322"/>
      <c r="BA1351" s="322"/>
      <c r="BB1351" s="322"/>
    </row>
    <row r="1352" spans="1:54" s="83" customFormat="1">
      <c r="A1352" s="341"/>
      <c r="B1352" s="341"/>
      <c r="C1352" s="341"/>
      <c r="D1352" s="346" t="s">
        <v>248</v>
      </c>
      <c r="E1352" s="346"/>
      <c r="F1352" s="360"/>
      <c r="G1352" s="363">
        <f>-G1260/G1349</f>
        <v>4.0985250737463126</v>
      </c>
      <c r="H1352" s="363">
        <f>-H1260/H1349</f>
        <v>4.0302511415525117</v>
      </c>
      <c r="I1352" s="363">
        <f>-I1260/I1349</f>
        <v>4.3111111111111109</v>
      </c>
      <c r="J1352" s="363">
        <f>-J1260/J1349</f>
        <v>4.1267184698147039</v>
      </c>
      <c r="K1352" s="363">
        <f>-K1260/K1349</f>
        <v>4.3996405032953865</v>
      </c>
      <c r="L1352" s="364"/>
      <c r="M1352" s="364"/>
      <c r="N1352" s="364"/>
      <c r="O1352" s="364"/>
      <c r="P1352" s="363">
        <f>-P1260/P1349</f>
        <v>3.8464891041162228</v>
      </c>
      <c r="Q1352" s="1047"/>
      <c r="R1352" s="1047"/>
      <c r="S1352" s="1047"/>
      <c r="T1352" s="1047"/>
      <c r="U1352" s="363">
        <f>-U1260/U1349</f>
        <v>4.3382130237253911</v>
      </c>
      <c r="V1352" s="1047"/>
      <c r="W1352" s="1047"/>
      <c r="X1352" s="1047"/>
      <c r="Y1352" s="1047"/>
      <c r="Z1352" s="363">
        <f ca="1">-Z1260/Z1349</f>
        <v>4.338213023725392</v>
      </c>
      <c r="AA1352" s="1047"/>
      <c r="AB1352" s="1047"/>
      <c r="AC1352" s="1047"/>
      <c r="AD1352" s="1047"/>
      <c r="AE1352" s="363">
        <f t="shared" ref="AE1352:AL1352" ca="1" si="1115">-AE1260/AE1349</f>
        <v>4.3382130237253911</v>
      </c>
      <c r="AF1352" s="363">
        <f ca="1">-AF1260/AF1349</f>
        <v>4.3382130237253911</v>
      </c>
      <c r="AG1352" s="363">
        <f t="shared" ca="1" si="1115"/>
        <v>4.3382130237253911</v>
      </c>
      <c r="AH1352" s="363">
        <f t="shared" ca="1" si="1115"/>
        <v>4.3382130237253911</v>
      </c>
      <c r="AI1352" s="363">
        <f t="shared" ca="1" si="1115"/>
        <v>4.3382130237253911</v>
      </c>
      <c r="AJ1352" s="363">
        <f t="shared" ca="1" si="1115"/>
        <v>4.3382130237253911</v>
      </c>
      <c r="AK1352" s="363">
        <f t="shared" ca="1" si="1115"/>
        <v>4.3382130237253911</v>
      </c>
      <c r="AL1352" s="363">
        <f t="shared" ca="1" si="1115"/>
        <v>4.3382130237253911</v>
      </c>
      <c r="AM1352" s="651"/>
      <c r="AN1352" s="322"/>
      <c r="AO1352" s="322"/>
      <c r="AP1352" s="322"/>
      <c r="AQ1352" s="322"/>
      <c r="AR1352" s="322"/>
      <c r="AS1352" s="322"/>
      <c r="AT1352" s="322"/>
      <c r="AU1352" s="322"/>
      <c r="AV1352" s="322"/>
      <c r="AW1352" s="322"/>
      <c r="AX1352" s="322"/>
      <c r="AY1352" s="322"/>
      <c r="AZ1352" s="322"/>
      <c r="BA1352" s="322"/>
      <c r="BB1352" s="322"/>
    </row>
    <row r="1353" spans="1:54" s="83" customFormat="1">
      <c r="A1353" s="341"/>
      <c r="B1353" s="341"/>
      <c r="C1353" s="341"/>
      <c r="D1353" s="342"/>
      <c r="E1353" s="342"/>
      <c r="F1353" s="360"/>
      <c r="G1353" s="362"/>
      <c r="H1353" s="362"/>
      <c r="I1353" s="362"/>
      <c r="J1353" s="362"/>
      <c r="K1353" s="362"/>
      <c r="L1353" s="365"/>
      <c r="M1353" s="365"/>
      <c r="N1353" s="365"/>
      <c r="O1353" s="365"/>
      <c r="P1353" s="362"/>
      <c r="Q1353" s="1048"/>
      <c r="R1353" s="1048"/>
      <c r="S1353" s="1048"/>
      <c r="T1353" s="1048"/>
      <c r="U1353" s="362"/>
      <c r="V1353" s="1048"/>
      <c r="W1353" s="1048"/>
      <c r="X1353" s="1048"/>
      <c r="Y1353" s="1048"/>
      <c r="Z1353" s="362"/>
      <c r="AA1353" s="1048"/>
      <c r="AB1353" s="1048"/>
      <c r="AC1353" s="1048"/>
      <c r="AD1353" s="1048"/>
      <c r="AE1353" s="362"/>
      <c r="AF1353" s="343"/>
      <c r="AG1353" s="361"/>
      <c r="AH1353" s="361"/>
      <c r="AI1353" s="361"/>
      <c r="AJ1353" s="343"/>
      <c r="AK1353" s="223"/>
      <c r="AL1353" s="322"/>
      <c r="AM1353" s="651"/>
      <c r="AN1353" s="322"/>
      <c r="AO1353" s="322"/>
      <c r="AP1353" s="322"/>
      <c r="AQ1353" s="322"/>
      <c r="AR1353" s="322"/>
      <c r="AS1353" s="322"/>
      <c r="AT1353" s="322"/>
      <c r="AU1353" s="322"/>
      <c r="AV1353" s="322"/>
      <c r="AW1353" s="322"/>
      <c r="AX1353" s="322"/>
      <c r="AY1353" s="322"/>
      <c r="AZ1353" s="322"/>
      <c r="BA1353" s="322"/>
      <c r="BB1353" s="322"/>
    </row>
    <row r="1354" spans="1:54" s="83" customFormat="1">
      <c r="A1354" s="341"/>
      <c r="B1354" s="341"/>
      <c r="C1354" s="341"/>
      <c r="D1354" s="342"/>
      <c r="E1354" s="342"/>
      <c r="F1354" s="360"/>
      <c r="G1354" s="362"/>
      <c r="H1354" s="362"/>
      <c r="I1354" s="362"/>
      <c r="J1354" s="362"/>
      <c r="K1354" s="362"/>
      <c r="L1354" s="365"/>
      <c r="M1354" s="365"/>
      <c r="N1354" s="365"/>
      <c r="O1354" s="365"/>
      <c r="P1354" s="362"/>
      <c r="Q1354" s="1048"/>
      <c r="R1354" s="1048"/>
      <c r="S1354" s="1048"/>
      <c r="T1354" s="1048"/>
      <c r="U1354" s="362"/>
      <c r="V1354" s="1048"/>
      <c r="W1354" s="1048"/>
      <c r="X1354" s="1048"/>
      <c r="Y1354" s="1048"/>
      <c r="Z1354" s="362"/>
      <c r="AA1354" s="1048"/>
      <c r="AB1354" s="1048"/>
      <c r="AC1354" s="1048"/>
      <c r="AD1354" s="1048"/>
      <c r="AE1354" s="362"/>
      <c r="AF1354" s="343"/>
      <c r="AG1354" s="343"/>
      <c r="AH1354" s="343"/>
      <c r="AI1354" s="343"/>
      <c r="AJ1354" s="343"/>
      <c r="AK1354" s="223"/>
      <c r="AL1354" s="322"/>
      <c r="AM1354" s="651"/>
      <c r="AN1354" s="322"/>
      <c r="AO1354" s="322"/>
      <c r="AP1354" s="322"/>
      <c r="AQ1354" s="322"/>
      <c r="AR1354" s="322"/>
      <c r="AS1354" s="322"/>
      <c r="AT1354" s="322"/>
      <c r="AU1354" s="322"/>
      <c r="AV1354" s="322"/>
      <c r="AW1354" s="322"/>
      <c r="AX1354" s="322"/>
      <c r="AY1354" s="322"/>
      <c r="AZ1354" s="322"/>
      <c r="BA1354" s="322"/>
      <c r="BB1354" s="322"/>
    </row>
    <row r="1355" spans="1:54" s="83" customFormat="1">
      <c r="A1355" s="341"/>
      <c r="B1355" s="341"/>
      <c r="C1355" s="341"/>
      <c r="D1355" s="366" t="s">
        <v>295</v>
      </c>
      <c r="E1355" s="366"/>
      <c r="F1355" s="360"/>
      <c r="G1355" s="362"/>
      <c r="H1355" s="362"/>
      <c r="I1355" s="362"/>
      <c r="J1355" s="362"/>
      <c r="K1355" s="362"/>
      <c r="L1355" s="365"/>
      <c r="M1355" s="365"/>
      <c r="N1355" s="365"/>
      <c r="O1355" s="365"/>
      <c r="P1355" s="362"/>
      <c r="Q1355" s="1048"/>
      <c r="R1355" s="1048"/>
      <c r="S1355" s="1048"/>
      <c r="T1355" s="1048"/>
      <c r="U1355" s="362"/>
      <c r="V1355" s="1048"/>
      <c r="W1355" s="1048"/>
      <c r="X1355" s="1048"/>
      <c r="Y1355" s="1048"/>
      <c r="Z1355" s="362"/>
      <c r="AA1355" s="1048"/>
      <c r="AB1355" s="1048"/>
      <c r="AC1355" s="1048"/>
      <c r="AD1355" s="1048"/>
      <c r="AE1355" s="362"/>
      <c r="AF1355" s="343"/>
      <c r="AG1355" s="343"/>
      <c r="AH1355" s="343"/>
      <c r="AI1355" s="343"/>
      <c r="AJ1355" s="343"/>
      <c r="AK1355" s="223"/>
      <c r="AL1355" s="322"/>
      <c r="AM1355" s="651"/>
      <c r="AN1355" s="322"/>
      <c r="AO1355" s="322"/>
      <c r="AP1355" s="322"/>
      <c r="AQ1355" s="322"/>
      <c r="AR1355" s="322"/>
      <c r="AS1355" s="322"/>
      <c r="AT1355" s="322"/>
      <c r="AU1355" s="322"/>
      <c r="AV1355" s="322"/>
      <c r="AW1355" s="322"/>
      <c r="AX1355" s="322"/>
      <c r="AY1355" s="322"/>
      <c r="AZ1355" s="322"/>
      <c r="BA1355" s="322"/>
      <c r="BB1355" s="322"/>
    </row>
    <row r="1356" spans="1:54" s="83" customFormat="1">
      <c r="A1356" s="341"/>
      <c r="B1356" s="341"/>
      <c r="C1356" s="341"/>
      <c r="D1356" s="367" t="s">
        <v>244</v>
      </c>
      <c r="E1356" s="367"/>
      <c r="F1356" s="360"/>
      <c r="G1356" s="128"/>
      <c r="H1356" s="347">
        <f>G1358</f>
        <v>1845</v>
      </c>
      <c r="I1356" s="347">
        <f>H1358</f>
        <v>1722</v>
      </c>
      <c r="J1356" s="347">
        <f>I1358</f>
        <v>1698</v>
      </c>
      <c r="K1356" s="347">
        <f>J1358</f>
        <v>2069</v>
      </c>
      <c r="L1356" s="348"/>
      <c r="M1356" s="348"/>
      <c r="N1356" s="348"/>
      <c r="O1356" s="348"/>
      <c r="P1356" s="347">
        <f>K1358</f>
        <v>2558</v>
      </c>
      <c r="Q1356" s="1046"/>
      <c r="R1356" s="1046"/>
      <c r="S1356" s="1046"/>
      <c r="T1356" s="1046"/>
      <c r="U1356" s="347">
        <f>P1358</f>
        <v>2484</v>
      </c>
      <c r="V1356" s="1046"/>
      <c r="W1356" s="1046"/>
      <c r="X1356" s="1046"/>
      <c r="Y1356" s="1046"/>
      <c r="Z1356" s="347">
        <f>U1358</f>
        <v>2587</v>
      </c>
      <c r="AA1356" s="1046"/>
      <c r="AB1356" s="1046"/>
      <c r="AC1356" s="1046"/>
      <c r="AD1356" s="1046"/>
      <c r="AE1356" s="347">
        <f ca="1">Z1358</f>
        <v>2233.4985210612058</v>
      </c>
      <c r="AF1356" s="347">
        <f ca="1">AE1358</f>
        <v>2433.3970597682555</v>
      </c>
      <c r="AG1356" s="347">
        <f t="shared" ref="AG1356:AL1356" ca="1" si="1116">AF1358</f>
        <v>2496.9336579499973</v>
      </c>
      <c r="AH1356" s="347">
        <f t="shared" ca="1" si="1116"/>
        <v>2608.1478215504394</v>
      </c>
      <c r="AI1356" s="347">
        <f t="shared" ca="1" si="1116"/>
        <v>2687.2394407790421</v>
      </c>
      <c r="AJ1356" s="347">
        <f t="shared" ca="1" si="1116"/>
        <v>2789.6092470517801</v>
      </c>
      <c r="AK1356" s="347">
        <f t="shared" ca="1" si="1116"/>
        <v>2824.9091802492762</v>
      </c>
      <c r="AL1356" s="347">
        <f t="shared" ca="1" si="1116"/>
        <v>2824.9091802492762</v>
      </c>
      <c r="AM1356" s="651"/>
      <c r="AN1356" s="322"/>
      <c r="AO1356" s="322"/>
      <c r="AP1356" s="322"/>
      <c r="AQ1356" s="322"/>
      <c r="AR1356" s="322"/>
      <c r="AS1356" s="322"/>
      <c r="AT1356" s="322"/>
      <c r="AU1356" s="322"/>
      <c r="AV1356" s="322"/>
      <c r="AW1356" s="322"/>
      <c r="AX1356" s="322"/>
      <c r="AY1356" s="322"/>
      <c r="AZ1356" s="322"/>
      <c r="BA1356" s="322"/>
      <c r="BB1356" s="322"/>
    </row>
    <row r="1357" spans="1:54" s="83" customFormat="1">
      <c r="A1357" s="341"/>
      <c r="B1357" s="341"/>
      <c r="C1357" s="341"/>
      <c r="D1357" s="367" t="s">
        <v>245</v>
      </c>
      <c r="E1357" s="367"/>
      <c r="F1357" s="360"/>
      <c r="G1357" s="128"/>
      <c r="H1357" s="347">
        <f>H1358-H1356</f>
        <v>-123</v>
      </c>
      <c r="I1357" s="347">
        <f>I1358-I1356</f>
        <v>-24</v>
      </c>
      <c r="J1357" s="347">
        <f>J1358-J1356</f>
        <v>371</v>
      </c>
      <c r="K1357" s="347">
        <f>K1358-K1356</f>
        <v>489</v>
      </c>
      <c r="L1357" s="348"/>
      <c r="M1357" s="348"/>
      <c r="N1357" s="348"/>
      <c r="O1357" s="348"/>
      <c r="P1357" s="347">
        <f>P1358-P1356</f>
        <v>-74</v>
      </c>
      <c r="Q1357" s="348"/>
      <c r="R1357" s="348"/>
      <c r="S1357" s="348"/>
      <c r="T1357" s="348"/>
      <c r="U1357" s="347">
        <f>U1358-U1356</f>
        <v>103</v>
      </c>
      <c r="V1357" s="348"/>
      <c r="W1357" s="348"/>
      <c r="X1357" s="348"/>
      <c r="Y1357" s="348"/>
      <c r="Z1357" s="347">
        <f ca="1">Z1358-Z1356</f>
        <v>-353.50147893879421</v>
      </c>
      <c r="AA1357" s="348"/>
      <c r="AB1357" s="348"/>
      <c r="AC1357" s="348"/>
      <c r="AD1357" s="348"/>
      <c r="AE1357" s="347">
        <f ca="1">AE1358-AE1356</f>
        <v>199.89853870704974</v>
      </c>
      <c r="AF1357" s="347">
        <f ca="1">AF1358-AF1356</f>
        <v>63.536598181741738</v>
      </c>
      <c r="AG1357" s="347">
        <f t="shared" ref="AG1357:AL1357" ca="1" si="1117">AG1358-AG1356</f>
        <v>111.21416360044213</v>
      </c>
      <c r="AH1357" s="347">
        <f t="shared" ca="1" si="1117"/>
        <v>79.091619228602667</v>
      </c>
      <c r="AI1357" s="347">
        <f t="shared" ca="1" si="1117"/>
        <v>102.36980627273806</v>
      </c>
      <c r="AJ1357" s="347">
        <f t="shared" ca="1" si="1117"/>
        <v>35.299933197496102</v>
      </c>
      <c r="AK1357" s="347">
        <f t="shared" ca="1" si="1117"/>
        <v>0</v>
      </c>
      <c r="AL1357" s="347">
        <f t="shared" ca="1" si="1117"/>
        <v>0</v>
      </c>
      <c r="AM1357" s="651"/>
      <c r="AN1357" s="322"/>
      <c r="AO1357" s="322"/>
      <c r="AP1357" s="322"/>
      <c r="AQ1357" s="322"/>
      <c r="AR1357" s="322"/>
      <c r="AS1357" s="322"/>
      <c r="AT1357" s="322"/>
      <c r="AU1357" s="322"/>
      <c r="AV1357" s="322"/>
      <c r="AW1357" s="322"/>
      <c r="AX1357" s="322"/>
      <c r="AY1357" s="322"/>
      <c r="AZ1357" s="322"/>
      <c r="BA1357" s="322"/>
      <c r="BB1357" s="322"/>
    </row>
    <row r="1358" spans="1:54" s="83" customFormat="1">
      <c r="A1358" s="341"/>
      <c r="B1358" s="341"/>
      <c r="C1358" s="341"/>
      <c r="D1358" s="367" t="s">
        <v>246</v>
      </c>
      <c r="E1358" s="367"/>
      <c r="F1358" s="360"/>
      <c r="G1358" s="347">
        <f>G1495+G1496</f>
        <v>1845</v>
      </c>
      <c r="H1358" s="347">
        <f>H1495+H1496</f>
        <v>1722</v>
      </c>
      <c r="I1358" s="347">
        <f>I1495+I1496</f>
        <v>1698</v>
      </c>
      <c r="J1358" s="347">
        <f>J1495+J1496</f>
        <v>2069</v>
      </c>
      <c r="K1358" s="347">
        <f>K1495+K1496</f>
        <v>2558</v>
      </c>
      <c r="L1358" s="348"/>
      <c r="M1358" s="348"/>
      <c r="N1358" s="348"/>
      <c r="O1358" s="348"/>
      <c r="P1358" s="347">
        <f>P1495+P1496</f>
        <v>2484</v>
      </c>
      <c r="Q1358" s="348"/>
      <c r="R1358" s="348"/>
      <c r="S1358" s="348"/>
      <c r="T1358" s="348"/>
      <c r="U1358" s="347">
        <f>U1495+U1496</f>
        <v>2587</v>
      </c>
      <c r="V1358" s="348"/>
      <c r="W1358" s="348"/>
      <c r="X1358" s="348"/>
      <c r="Y1358" s="348"/>
      <c r="Z1358" s="351">
        <f ca="1">IF((Z1360),(Z1360*-Z1260),(-U1358*(Z1260/U1260)))</f>
        <v>2233.4985210612058</v>
      </c>
      <c r="AA1358" s="348"/>
      <c r="AB1358" s="348"/>
      <c r="AC1358" s="348"/>
      <c r="AD1358" s="348"/>
      <c r="AE1358" s="351">
        <f ca="1">IF((AE1360),(AE1360*-AE1260),(-Z1358*(AE1260/Z1260)))</f>
        <v>2433.3970597682555</v>
      </c>
      <c r="AF1358" s="351">
        <f ca="1">IF((AF1360),(AF1360*-AF1260),(-AA1358*(AF1260/AA1260)))</f>
        <v>2496.9336579499973</v>
      </c>
      <c r="AG1358" s="351">
        <f t="shared" ref="AG1358:AL1358" ca="1" si="1118">IF((AG1360),(AG1360*-AG1260),(-AB1358*(AG1260/AB1260)))</f>
        <v>2608.1478215504394</v>
      </c>
      <c r="AH1358" s="351">
        <f t="shared" ca="1" si="1118"/>
        <v>2687.2394407790421</v>
      </c>
      <c r="AI1358" s="351">
        <f t="shared" ca="1" si="1118"/>
        <v>2789.6092470517801</v>
      </c>
      <c r="AJ1358" s="351">
        <f t="shared" ca="1" si="1118"/>
        <v>2824.9091802492762</v>
      </c>
      <c r="AK1358" s="351">
        <f t="shared" ca="1" si="1118"/>
        <v>2824.9091802492762</v>
      </c>
      <c r="AL1358" s="351">
        <f t="shared" ca="1" si="1118"/>
        <v>2824.9091802492762</v>
      </c>
      <c r="AM1358" s="651"/>
      <c r="AN1358" s="322"/>
      <c r="AO1358" s="322"/>
      <c r="AP1358" s="322"/>
      <c r="AQ1358" s="322"/>
      <c r="AR1358" s="322"/>
      <c r="AS1358" s="322"/>
      <c r="AT1358" s="322"/>
      <c r="AU1358" s="322"/>
      <c r="AV1358" s="322"/>
      <c r="AW1358" s="322"/>
      <c r="AX1358" s="322"/>
      <c r="AY1358" s="322"/>
      <c r="AZ1358" s="322"/>
      <c r="BA1358" s="322"/>
      <c r="BB1358" s="322"/>
    </row>
    <row r="1359" spans="1:54" s="83" customFormat="1">
      <c r="A1359" s="341"/>
      <c r="B1359" s="341"/>
      <c r="C1359" s="341"/>
      <c r="D1359" s="367"/>
      <c r="E1359" s="367"/>
      <c r="F1359" s="360"/>
      <c r="G1359" s="362"/>
      <c r="H1359" s="362"/>
      <c r="I1359" s="362"/>
      <c r="J1359" s="362"/>
      <c r="K1359" s="362"/>
      <c r="L1359" s="365"/>
      <c r="M1359" s="365"/>
      <c r="N1359" s="365"/>
      <c r="O1359" s="365"/>
      <c r="P1359" s="362"/>
      <c r="Q1359" s="365"/>
      <c r="R1359" s="365"/>
      <c r="S1359" s="365"/>
      <c r="T1359" s="365"/>
      <c r="U1359" s="362"/>
      <c r="V1359" s="365"/>
      <c r="W1359" s="365"/>
      <c r="X1359" s="365"/>
      <c r="Y1359" s="365"/>
      <c r="Z1359" s="362"/>
      <c r="AA1359" s="365"/>
      <c r="AB1359" s="365"/>
      <c r="AC1359" s="365"/>
      <c r="AD1359" s="365"/>
      <c r="AE1359" s="362"/>
      <c r="AF1359" s="343"/>
      <c r="AG1359" s="343"/>
      <c r="AH1359" s="343"/>
      <c r="AI1359" s="343"/>
      <c r="AJ1359" s="343"/>
      <c r="AK1359" s="343"/>
      <c r="AL1359" s="343"/>
      <c r="AM1359" s="651"/>
      <c r="AN1359" s="322"/>
      <c r="AO1359" s="322"/>
      <c r="AP1359" s="322"/>
      <c r="AQ1359" s="322"/>
      <c r="AR1359" s="322"/>
      <c r="AS1359" s="322"/>
      <c r="AT1359" s="322"/>
      <c r="AU1359" s="322"/>
      <c r="AV1359" s="322"/>
      <c r="AW1359" s="322"/>
      <c r="AX1359" s="322"/>
      <c r="AY1359" s="322"/>
      <c r="AZ1359" s="322"/>
      <c r="BA1359" s="322"/>
      <c r="BB1359" s="322"/>
    </row>
    <row r="1360" spans="1:54" s="83" customFormat="1">
      <c r="A1360" s="341"/>
      <c r="B1360" s="341"/>
      <c r="C1360" s="341"/>
      <c r="D1360" s="367" t="s">
        <v>296</v>
      </c>
      <c r="E1360" s="367"/>
      <c r="F1360" s="360"/>
      <c r="G1360" s="352">
        <f>G1358/-G1260</f>
        <v>0.26558226572621274</v>
      </c>
      <c r="H1360" s="352">
        <f>H1358/-H1260</f>
        <v>0.24387480526837557</v>
      </c>
      <c r="I1360" s="352">
        <f>I1358/-I1260</f>
        <v>0.24312714776632302</v>
      </c>
      <c r="J1360" s="352">
        <f>J1358/-J1260</f>
        <v>0.29968134414831982</v>
      </c>
      <c r="K1360" s="352">
        <f>K1358/-K1260</f>
        <v>0.34835898134277543</v>
      </c>
      <c r="L1360" s="353"/>
      <c r="M1360" s="353"/>
      <c r="N1360" s="353"/>
      <c r="O1360" s="353"/>
      <c r="P1360" s="352">
        <f>P1358/-P1260</f>
        <v>0.31272818834193628</v>
      </c>
      <c r="Q1360" s="353"/>
      <c r="R1360" s="353"/>
      <c r="S1360" s="353"/>
      <c r="T1360" s="353"/>
      <c r="U1360" s="352">
        <f>U1358/-U1260</f>
        <v>0.30102397021177568</v>
      </c>
      <c r="V1360" s="353"/>
      <c r="W1360" s="353"/>
      <c r="X1360" s="353"/>
      <c r="Y1360" s="353"/>
      <c r="Z1360" s="978">
        <f>U1360</f>
        <v>0.30102397021177568</v>
      </c>
      <c r="AA1360" s="353"/>
      <c r="AB1360" s="353"/>
      <c r="AC1360" s="353"/>
      <c r="AD1360" s="353"/>
      <c r="AE1360" s="1049">
        <f>Z1360</f>
        <v>0.30102397021177568</v>
      </c>
      <c r="AF1360" s="1049">
        <f t="shared" ref="AF1360:AL1360" si="1119">AE1360</f>
        <v>0.30102397021177568</v>
      </c>
      <c r="AG1360" s="1049">
        <f t="shared" si="1119"/>
        <v>0.30102397021177568</v>
      </c>
      <c r="AH1360" s="1049">
        <f t="shared" si="1119"/>
        <v>0.30102397021177568</v>
      </c>
      <c r="AI1360" s="1049">
        <f t="shared" si="1119"/>
        <v>0.30102397021177568</v>
      </c>
      <c r="AJ1360" s="1049">
        <f t="shared" si="1119"/>
        <v>0.30102397021177568</v>
      </c>
      <c r="AK1360" s="1049">
        <f t="shared" si="1119"/>
        <v>0.30102397021177568</v>
      </c>
      <c r="AL1360" s="1049">
        <f t="shared" si="1119"/>
        <v>0.30102397021177568</v>
      </c>
      <c r="AM1360" s="651"/>
      <c r="AN1360" s="322"/>
      <c r="AO1360" s="322"/>
      <c r="AP1360" s="322"/>
      <c r="AQ1360" s="322"/>
      <c r="AR1360" s="322"/>
      <c r="AS1360" s="322"/>
      <c r="AT1360" s="322"/>
      <c r="AU1360" s="322"/>
      <c r="AV1360" s="322"/>
      <c r="AW1360" s="322"/>
      <c r="AX1360" s="322"/>
      <c r="AY1360" s="322"/>
      <c r="AZ1360" s="322"/>
      <c r="BA1360" s="322"/>
      <c r="BB1360" s="322"/>
    </row>
    <row r="1361" spans="1:54" s="83" customFormat="1">
      <c r="A1361" s="341"/>
      <c r="B1361" s="341"/>
      <c r="C1361" s="341"/>
      <c r="D1361" s="367" t="s">
        <v>297</v>
      </c>
      <c r="E1361" s="367"/>
      <c r="F1361" s="360"/>
      <c r="G1361" s="354">
        <f>G1360*365</f>
        <v>96.937526990067653</v>
      </c>
      <c r="H1361" s="354">
        <f>H1360*365</f>
        <v>89.014303922957083</v>
      </c>
      <c r="I1361" s="354">
        <f>I1360*365</f>
        <v>88.741408934707906</v>
      </c>
      <c r="J1361" s="354">
        <f>J1360*365</f>
        <v>109.38369061413674</v>
      </c>
      <c r="K1361" s="354">
        <f>K1360*365</f>
        <v>127.15102819011304</v>
      </c>
      <c r="L1361" s="355"/>
      <c r="M1361" s="355"/>
      <c r="N1361" s="355"/>
      <c r="O1361" s="355"/>
      <c r="P1361" s="354">
        <f>P1360*365</f>
        <v>114.14578874480674</v>
      </c>
      <c r="Q1361" s="355"/>
      <c r="R1361" s="355"/>
      <c r="S1361" s="355"/>
      <c r="T1361" s="355"/>
      <c r="U1361" s="354">
        <f>U1360*365</f>
        <v>109.87374912729813</v>
      </c>
      <c r="V1361" s="355"/>
      <c r="W1361" s="355"/>
      <c r="X1361" s="355"/>
      <c r="Y1361" s="355"/>
      <c r="Z1361" s="354">
        <f>Z1360*365</f>
        <v>109.87374912729813</v>
      </c>
      <c r="AA1361" s="355"/>
      <c r="AB1361" s="355"/>
      <c r="AC1361" s="355"/>
      <c r="AD1361" s="355"/>
      <c r="AE1361" s="354">
        <f>AE1360*365</f>
        <v>109.87374912729813</v>
      </c>
      <c r="AF1361" s="354">
        <f>AF1360*365</f>
        <v>109.87374912729813</v>
      </c>
      <c r="AG1361" s="354">
        <f t="shared" ref="AG1361:AL1361" si="1120">AG1360*365</f>
        <v>109.87374912729813</v>
      </c>
      <c r="AH1361" s="354">
        <f t="shared" si="1120"/>
        <v>109.87374912729813</v>
      </c>
      <c r="AI1361" s="354">
        <f t="shared" si="1120"/>
        <v>109.87374912729813</v>
      </c>
      <c r="AJ1361" s="354">
        <f t="shared" si="1120"/>
        <v>109.87374912729813</v>
      </c>
      <c r="AK1361" s="354">
        <f t="shared" si="1120"/>
        <v>109.87374912729813</v>
      </c>
      <c r="AL1361" s="354">
        <f t="shared" si="1120"/>
        <v>109.87374912729813</v>
      </c>
      <c r="AM1361" s="651"/>
      <c r="AN1361" s="322"/>
      <c r="AO1361" s="322"/>
      <c r="AP1361" s="322"/>
      <c r="AQ1361" s="322"/>
      <c r="AR1361" s="322"/>
      <c r="AS1361" s="322"/>
      <c r="AT1361" s="322"/>
      <c r="AU1361" s="322"/>
      <c r="AV1361" s="322"/>
      <c r="AW1361" s="322"/>
      <c r="AX1361" s="322"/>
      <c r="AY1361" s="322"/>
      <c r="AZ1361" s="322"/>
      <c r="BA1361" s="322"/>
      <c r="BB1361" s="322"/>
    </row>
    <row r="1362" spans="1:54" s="83" customFormat="1">
      <c r="A1362" s="341"/>
      <c r="B1362" s="341"/>
      <c r="C1362" s="341"/>
      <c r="D1362" s="342"/>
      <c r="E1362" s="342"/>
      <c r="F1362" s="360"/>
      <c r="G1362" s="362"/>
      <c r="H1362" s="362"/>
      <c r="I1362" s="362"/>
      <c r="J1362" s="362"/>
      <c r="K1362" s="362"/>
      <c r="L1362" s="365"/>
      <c r="M1362" s="365"/>
      <c r="N1362" s="365"/>
      <c r="O1362" s="365"/>
      <c r="P1362" s="362"/>
      <c r="Q1362" s="365"/>
      <c r="R1362" s="365"/>
      <c r="S1362" s="365"/>
      <c r="T1362" s="365"/>
      <c r="U1362" s="362"/>
      <c r="V1362" s="365"/>
      <c r="W1362" s="365"/>
      <c r="X1362" s="365"/>
      <c r="Y1362" s="365"/>
      <c r="Z1362" s="362"/>
      <c r="AA1362" s="365"/>
      <c r="AB1362" s="365"/>
      <c r="AC1362" s="365"/>
      <c r="AD1362" s="365"/>
      <c r="AE1362" s="362"/>
      <c r="AF1362" s="343"/>
      <c r="AG1362" s="343"/>
      <c r="AH1362" s="343"/>
      <c r="AI1362" s="343"/>
      <c r="AJ1362" s="343"/>
      <c r="AK1362" s="223"/>
      <c r="AL1362" s="322"/>
      <c r="AM1362" s="651"/>
      <c r="AN1362" s="322"/>
      <c r="AO1362" s="322"/>
      <c r="AP1362" s="322"/>
      <c r="AQ1362" s="322"/>
      <c r="AR1362" s="322"/>
      <c r="AS1362" s="322"/>
      <c r="AT1362" s="322"/>
      <c r="AU1362" s="322"/>
      <c r="AV1362" s="322"/>
      <c r="AW1362" s="322"/>
      <c r="AX1362" s="322"/>
      <c r="AY1362" s="322"/>
      <c r="AZ1362" s="322"/>
      <c r="BA1362" s="322"/>
      <c r="BB1362" s="322"/>
    </row>
    <row r="1363" spans="1:54" s="83" customFormat="1">
      <c r="A1363" s="341"/>
      <c r="B1363" s="341"/>
      <c r="C1363" s="341"/>
      <c r="D1363" s="366" t="s">
        <v>368</v>
      </c>
      <c r="E1363" s="366"/>
      <c r="F1363" s="360"/>
      <c r="G1363" s="128"/>
      <c r="H1363" s="128"/>
      <c r="I1363" s="128"/>
      <c r="J1363" s="128"/>
      <c r="K1363" s="128"/>
      <c r="L1363" s="345"/>
      <c r="M1363" s="345"/>
      <c r="N1363" s="345"/>
      <c r="O1363" s="345"/>
      <c r="P1363" s="128"/>
      <c r="Q1363" s="345"/>
      <c r="R1363" s="345"/>
      <c r="S1363" s="345"/>
      <c r="T1363" s="345"/>
      <c r="U1363" s="128"/>
      <c r="V1363" s="345"/>
      <c r="W1363" s="345"/>
      <c r="X1363" s="345"/>
      <c r="Y1363" s="345"/>
      <c r="Z1363" s="128"/>
      <c r="AA1363" s="345"/>
      <c r="AB1363" s="345"/>
      <c r="AC1363" s="345"/>
      <c r="AD1363" s="345"/>
      <c r="AE1363" s="128"/>
      <c r="AF1363" s="129"/>
      <c r="AG1363" s="129"/>
      <c r="AH1363" s="129"/>
      <c r="AI1363" s="129"/>
      <c r="AJ1363" s="343"/>
      <c r="AK1363" s="223"/>
      <c r="AL1363" s="322"/>
      <c r="AM1363" s="651"/>
      <c r="AN1363" s="322"/>
      <c r="AO1363" s="322"/>
      <c r="AP1363" s="322"/>
      <c r="AQ1363" s="322"/>
      <c r="AR1363" s="322"/>
      <c r="AS1363" s="322"/>
      <c r="AT1363" s="322"/>
      <c r="AU1363" s="322"/>
      <c r="AV1363" s="322"/>
      <c r="AW1363" s="322"/>
      <c r="AX1363" s="322"/>
      <c r="AY1363" s="322"/>
      <c r="AZ1363" s="322"/>
      <c r="BA1363" s="322"/>
      <c r="BB1363" s="322"/>
    </row>
    <row r="1364" spans="1:54" s="83" customFormat="1">
      <c r="A1364" s="341"/>
      <c r="B1364" s="341"/>
      <c r="C1364" s="341"/>
      <c r="D1364" s="367" t="s">
        <v>244</v>
      </c>
      <c r="E1364" s="367"/>
      <c r="F1364" s="360"/>
      <c r="G1364" s="128"/>
      <c r="H1364" s="130" t="str">
        <f>G1482</f>
        <v xml:space="preserve"> </v>
      </c>
      <c r="I1364" s="130" t="str">
        <f>H1482</f>
        <v xml:space="preserve"> </v>
      </c>
      <c r="J1364" s="130" t="str">
        <f>I1482</f>
        <v xml:space="preserve"> </v>
      </c>
      <c r="K1364" s="130">
        <f>J1482</f>
        <v>172</v>
      </c>
      <c r="L1364" s="345"/>
      <c r="M1364" s="345"/>
      <c r="N1364" s="345"/>
      <c r="O1364" s="345"/>
      <c r="P1364" s="130">
        <f>M1482</f>
        <v>201</v>
      </c>
      <c r="Q1364" s="345"/>
      <c r="R1364" s="345"/>
      <c r="S1364" s="345"/>
      <c r="T1364" s="345"/>
      <c r="U1364" s="130">
        <f>T1482</f>
        <v>331</v>
      </c>
      <c r="V1364" s="345"/>
      <c r="W1364" s="345"/>
      <c r="X1364" s="345"/>
      <c r="Y1364" s="345"/>
      <c r="Z1364" s="130">
        <f>U1482</f>
        <v>331</v>
      </c>
      <c r="AA1364" s="345"/>
      <c r="AB1364" s="345"/>
      <c r="AC1364" s="345"/>
      <c r="AD1364" s="345"/>
      <c r="AE1364" s="130">
        <f>Z1482</f>
        <v>248.18066029830737</v>
      </c>
      <c r="AF1364" s="130">
        <f t="shared" ref="AF1364:AL1364" si="1121">AE1482</f>
        <v>314.30847209409944</v>
      </c>
      <c r="AG1364" s="130">
        <f t="shared" si="1121"/>
        <v>331.28598967576426</v>
      </c>
      <c r="AH1364" s="130">
        <f t="shared" si="1121"/>
        <v>331.28598967576426</v>
      </c>
      <c r="AI1364" s="130">
        <f t="shared" si="1121"/>
        <v>331.28598967576426</v>
      </c>
      <c r="AJ1364" s="130">
        <f t="shared" si="1121"/>
        <v>331.28598967576426</v>
      </c>
      <c r="AK1364" s="130">
        <f t="shared" si="1121"/>
        <v>331.28598967576426</v>
      </c>
      <c r="AL1364" s="130">
        <f t="shared" si="1121"/>
        <v>331.28598967576426</v>
      </c>
      <c r="AM1364" s="651"/>
      <c r="AN1364" s="322"/>
      <c r="AO1364" s="322"/>
      <c r="AP1364" s="322"/>
      <c r="AQ1364" s="322"/>
      <c r="AR1364" s="322"/>
      <c r="AS1364" s="322"/>
      <c r="AT1364" s="322"/>
      <c r="AU1364" s="322"/>
      <c r="AV1364" s="322"/>
      <c r="AW1364" s="322"/>
      <c r="AX1364" s="322"/>
      <c r="AY1364" s="322"/>
      <c r="AZ1364" s="322"/>
      <c r="BA1364" s="322"/>
      <c r="BB1364" s="322"/>
    </row>
    <row r="1365" spans="1:54" s="83" customFormat="1">
      <c r="A1365" s="341"/>
      <c r="B1365" s="341"/>
      <c r="C1365" s="341"/>
      <c r="D1365" s="367" t="s">
        <v>245</v>
      </c>
      <c r="E1365" s="367"/>
      <c r="F1365" s="360"/>
      <c r="G1365" s="128"/>
      <c r="H1365" s="128"/>
      <c r="I1365" s="128"/>
      <c r="J1365" s="128"/>
      <c r="K1365" s="130">
        <f>K1366-K1364</f>
        <v>138</v>
      </c>
      <c r="L1365" s="345"/>
      <c r="M1365" s="345"/>
      <c r="N1365" s="345"/>
      <c r="O1365" s="345"/>
      <c r="P1365" s="130">
        <f>P1366-P1364</f>
        <v>59</v>
      </c>
      <c r="Q1365" s="345"/>
      <c r="R1365" s="345"/>
      <c r="S1365" s="345"/>
      <c r="T1365" s="345"/>
      <c r="U1365" s="351">
        <f>U1366-U1364</f>
        <v>-16.597421203438387</v>
      </c>
      <c r="V1365" s="345"/>
      <c r="W1365" s="345"/>
      <c r="X1365" s="345"/>
      <c r="Y1365" s="345"/>
      <c r="Z1365" s="351">
        <f>Z1366-Z1364</f>
        <v>-82.819339701692627</v>
      </c>
      <c r="AA1365" s="345"/>
      <c r="AB1365" s="345"/>
      <c r="AC1365" s="345"/>
      <c r="AD1365" s="345"/>
      <c r="AE1365" s="351">
        <f>AE1366-AE1364</f>
        <v>66.12781179579207</v>
      </c>
      <c r="AF1365" s="351">
        <f>AF1366-AF1364</f>
        <v>16.977517581664813</v>
      </c>
      <c r="AG1365" s="351">
        <f t="shared" ref="AG1365:AL1365" si="1122">AG1366-AG1364</f>
        <v>0</v>
      </c>
      <c r="AH1365" s="351">
        <f t="shared" si="1122"/>
        <v>0</v>
      </c>
      <c r="AI1365" s="351">
        <f t="shared" si="1122"/>
        <v>0</v>
      </c>
      <c r="AJ1365" s="351">
        <f t="shared" si="1122"/>
        <v>0</v>
      </c>
      <c r="AK1365" s="351">
        <f t="shared" si="1122"/>
        <v>0</v>
      </c>
      <c r="AL1365" s="351">
        <f t="shared" si="1122"/>
        <v>0</v>
      </c>
      <c r="AM1365" s="651"/>
      <c r="AN1365" s="322"/>
      <c r="AO1365" s="322"/>
      <c r="AP1365" s="322"/>
      <c r="AQ1365" s="322"/>
      <c r="AR1365" s="322"/>
      <c r="AS1365" s="322"/>
      <c r="AT1365" s="322"/>
      <c r="AU1365" s="322"/>
      <c r="AV1365" s="322"/>
      <c r="AW1365" s="322"/>
      <c r="AX1365" s="322"/>
      <c r="AY1365" s="322"/>
      <c r="AZ1365" s="322"/>
      <c r="BA1365" s="322"/>
      <c r="BB1365" s="322"/>
    </row>
    <row r="1366" spans="1:54" s="83" customFormat="1">
      <c r="A1366" s="341"/>
      <c r="B1366" s="341"/>
      <c r="C1366" s="341"/>
      <c r="D1366" s="367" t="s">
        <v>246</v>
      </c>
      <c r="E1366" s="367"/>
      <c r="F1366" s="360"/>
      <c r="G1366" s="130" t="str">
        <f>G1482</f>
        <v xml:space="preserve"> </v>
      </c>
      <c r="H1366" s="130" t="str">
        <f>H1482</f>
        <v xml:space="preserve"> </v>
      </c>
      <c r="I1366" s="130" t="str">
        <f>I1482</f>
        <v xml:space="preserve"> </v>
      </c>
      <c r="J1366" s="130">
        <f>J1482</f>
        <v>172</v>
      </c>
      <c r="K1366" s="130">
        <f>K1482</f>
        <v>310</v>
      </c>
      <c r="L1366" s="345"/>
      <c r="M1366" s="345"/>
      <c r="N1366" s="345"/>
      <c r="O1366" s="345"/>
      <c r="P1366" s="130">
        <f>P1482</f>
        <v>260</v>
      </c>
      <c r="Q1366" s="345"/>
      <c r="R1366" s="345"/>
      <c r="S1366" s="345"/>
      <c r="T1366" s="345"/>
      <c r="U1366" s="351">
        <f>U1364*(1+U1368)</f>
        <v>314.40257879656161</v>
      </c>
      <c r="V1366" s="345"/>
      <c r="W1366" s="345"/>
      <c r="X1366" s="345"/>
      <c r="Y1366" s="345"/>
      <c r="Z1366" s="351">
        <f>Z1364*(1+Z1368)</f>
        <v>248.18066029830737</v>
      </c>
      <c r="AA1366" s="345"/>
      <c r="AB1366" s="345"/>
      <c r="AC1366" s="345"/>
      <c r="AD1366" s="345"/>
      <c r="AE1366" s="351">
        <f t="shared" ref="AE1366:AL1366" si="1123">AE1364*(1+AE1368)</f>
        <v>314.30847209409944</v>
      </c>
      <c r="AF1366" s="351">
        <f t="shared" si="1123"/>
        <v>331.28598967576426</v>
      </c>
      <c r="AG1366" s="351">
        <f t="shared" si="1123"/>
        <v>331.28598967576426</v>
      </c>
      <c r="AH1366" s="351">
        <f t="shared" si="1123"/>
        <v>331.28598967576426</v>
      </c>
      <c r="AI1366" s="351">
        <f t="shared" si="1123"/>
        <v>331.28598967576426</v>
      </c>
      <c r="AJ1366" s="351">
        <f t="shared" si="1123"/>
        <v>331.28598967576426</v>
      </c>
      <c r="AK1366" s="351">
        <f t="shared" si="1123"/>
        <v>331.28598967576426</v>
      </c>
      <c r="AL1366" s="351">
        <f t="shared" si="1123"/>
        <v>331.28598967576426</v>
      </c>
      <c r="AM1366" s="651"/>
      <c r="AN1366" s="322"/>
      <c r="AO1366" s="322"/>
      <c r="AP1366" s="322"/>
      <c r="AQ1366" s="322"/>
      <c r="AR1366" s="322"/>
      <c r="AS1366" s="322"/>
      <c r="AT1366" s="322"/>
      <c r="AU1366" s="322"/>
      <c r="AV1366" s="322"/>
      <c r="AW1366" s="322"/>
      <c r="AX1366" s="322"/>
      <c r="AY1366" s="322"/>
      <c r="AZ1366" s="322"/>
      <c r="BA1366" s="322"/>
      <c r="BB1366" s="322"/>
    </row>
    <row r="1367" spans="1:54" s="83" customFormat="1">
      <c r="A1367" s="341"/>
      <c r="B1367" s="341"/>
      <c r="C1367" s="341"/>
      <c r="D1367" s="342"/>
      <c r="E1367" s="342"/>
      <c r="F1367" s="360"/>
      <c r="G1367" s="128"/>
      <c r="H1367" s="128"/>
      <c r="I1367" s="128"/>
      <c r="J1367" s="128"/>
      <c r="K1367" s="128"/>
      <c r="L1367" s="345"/>
      <c r="M1367" s="345"/>
      <c r="N1367" s="345"/>
      <c r="O1367" s="345"/>
      <c r="P1367" s="128"/>
      <c r="Q1367" s="345"/>
      <c r="R1367" s="345"/>
      <c r="S1367" s="345"/>
      <c r="T1367" s="345"/>
      <c r="U1367" s="128"/>
      <c r="V1367" s="345"/>
      <c r="W1367" s="345"/>
      <c r="X1367" s="345"/>
      <c r="Y1367" s="345"/>
      <c r="Z1367" s="128"/>
      <c r="AA1367" s="345"/>
      <c r="AB1367" s="345"/>
      <c r="AC1367" s="345"/>
      <c r="AD1367" s="345"/>
      <c r="AE1367" s="128"/>
      <c r="AF1367" s="129"/>
      <c r="AG1367" s="129"/>
      <c r="AH1367" s="129"/>
      <c r="AI1367" s="129"/>
      <c r="AJ1367" s="343"/>
      <c r="AK1367" s="223"/>
      <c r="AL1367" s="322"/>
      <c r="AM1367" s="651"/>
      <c r="AN1367" s="322"/>
      <c r="AO1367" s="322"/>
      <c r="AP1367" s="322"/>
      <c r="AQ1367" s="322"/>
      <c r="AR1367" s="322"/>
      <c r="AS1367" s="322"/>
      <c r="AT1367" s="322"/>
      <c r="AU1367" s="322"/>
      <c r="AV1367" s="322"/>
      <c r="AW1367" s="322"/>
      <c r="AX1367" s="322"/>
      <c r="AY1367" s="322"/>
      <c r="AZ1367" s="322"/>
      <c r="BA1367" s="322"/>
      <c r="BB1367" s="322"/>
    </row>
    <row r="1368" spans="1:54" s="83" customFormat="1">
      <c r="A1368" s="341"/>
      <c r="B1368" s="341"/>
      <c r="C1368" s="341"/>
      <c r="D1368" s="129" t="s">
        <v>369</v>
      </c>
      <c r="E1368" s="129"/>
      <c r="F1368" s="360"/>
      <c r="G1368" s="128"/>
      <c r="H1368" s="352">
        <f>H1302</f>
        <v>-8.3457684928586628E-2</v>
      </c>
      <c r="I1368" s="352">
        <f>I1302</f>
        <v>-3.9539481335038928E-2</v>
      </c>
      <c r="J1368" s="352">
        <f>J1302</f>
        <v>0.12604431529240823</v>
      </c>
      <c r="K1368" s="352">
        <f>K1302</f>
        <v>0.28064516129032269</v>
      </c>
      <c r="L1368" s="345"/>
      <c r="M1368" s="345"/>
      <c r="N1368" s="345"/>
      <c r="O1368" s="345"/>
      <c r="P1368" s="352">
        <f>P1302</f>
        <v>5.4911838790931977E-2</v>
      </c>
      <c r="Q1368" s="345"/>
      <c r="R1368" s="345"/>
      <c r="S1368" s="345"/>
      <c r="T1368" s="345"/>
      <c r="U1368" s="352">
        <f>U1302</f>
        <v>-5.014326647564471E-2</v>
      </c>
      <c r="V1368" s="345"/>
      <c r="W1368" s="345"/>
      <c r="X1368" s="345"/>
      <c r="Y1368" s="345"/>
      <c r="Z1368" s="352">
        <f>Z1302</f>
        <v>-0.25020948550360311</v>
      </c>
      <c r="AA1368" s="345"/>
      <c r="AB1368" s="345"/>
      <c r="AC1368" s="345"/>
      <c r="AD1368" s="345"/>
      <c r="AE1368" s="352">
        <f t="shared" ref="AE1368:AL1368" si="1124">AE1302</f>
        <v>0.26645030163231898</v>
      </c>
      <c r="AF1368" s="352">
        <f t="shared" si="1124"/>
        <v>5.4015462798540081E-2</v>
      </c>
      <c r="AG1368" s="352">
        <f t="shared" si="1124"/>
        <v>0</v>
      </c>
      <c r="AH1368" s="352">
        <f t="shared" si="1124"/>
        <v>0</v>
      </c>
      <c r="AI1368" s="352">
        <f t="shared" si="1124"/>
        <v>0</v>
      </c>
      <c r="AJ1368" s="352">
        <f t="shared" si="1124"/>
        <v>0</v>
      </c>
      <c r="AK1368" s="352">
        <f t="shared" si="1124"/>
        <v>0</v>
      </c>
      <c r="AL1368" s="352">
        <f t="shared" si="1124"/>
        <v>0</v>
      </c>
      <c r="AM1368" s="651"/>
      <c r="AN1368" s="322"/>
      <c r="AO1368" s="322"/>
      <c r="AP1368" s="322"/>
      <c r="AQ1368" s="322"/>
      <c r="AR1368" s="322"/>
      <c r="AS1368" s="322"/>
      <c r="AT1368" s="322"/>
      <c r="AU1368" s="322"/>
      <c r="AV1368" s="322"/>
      <c r="AW1368" s="322"/>
      <c r="AX1368" s="322"/>
      <c r="AY1368" s="322"/>
      <c r="AZ1368" s="322"/>
      <c r="BA1368" s="322"/>
      <c r="BB1368" s="322"/>
    </row>
    <row r="1369" spans="1:54" s="83" customFormat="1">
      <c r="A1369" s="341"/>
      <c r="B1369" s="341"/>
      <c r="C1369" s="341"/>
      <c r="D1369" s="342"/>
      <c r="E1369" s="342"/>
      <c r="F1369" s="360"/>
      <c r="G1369" s="128"/>
      <c r="H1369" s="128"/>
      <c r="I1369" s="128"/>
      <c r="J1369" s="128"/>
      <c r="K1369" s="128"/>
      <c r="L1369" s="345"/>
      <c r="M1369" s="345"/>
      <c r="N1369" s="345"/>
      <c r="O1369" s="345"/>
      <c r="P1369" s="128"/>
      <c r="Q1369" s="345"/>
      <c r="R1369" s="345"/>
      <c r="S1369" s="345"/>
      <c r="T1369" s="345"/>
      <c r="U1369" s="128"/>
      <c r="V1369" s="345"/>
      <c r="W1369" s="345"/>
      <c r="X1369" s="345"/>
      <c r="Y1369" s="345"/>
      <c r="Z1369" s="128"/>
      <c r="AA1369" s="345"/>
      <c r="AB1369" s="345"/>
      <c r="AC1369" s="345"/>
      <c r="AD1369" s="345"/>
      <c r="AE1369" s="128"/>
      <c r="AF1369" s="129"/>
      <c r="AG1369" s="129"/>
      <c r="AH1369" s="129"/>
      <c r="AI1369" s="129"/>
      <c r="AJ1369" s="343"/>
      <c r="AK1369" s="223"/>
      <c r="AL1369" s="322"/>
      <c r="AM1369" s="651"/>
      <c r="AN1369" s="322"/>
      <c r="AO1369" s="322"/>
      <c r="AP1369" s="322"/>
      <c r="AQ1369" s="322"/>
      <c r="AR1369" s="322"/>
      <c r="AS1369" s="322"/>
      <c r="AT1369" s="322"/>
      <c r="AU1369" s="322"/>
      <c r="AV1369" s="322"/>
      <c r="AW1369" s="322"/>
      <c r="AX1369" s="322"/>
      <c r="AY1369" s="322"/>
      <c r="AZ1369" s="322"/>
      <c r="BA1369" s="322"/>
      <c r="BB1369" s="322"/>
    </row>
    <row r="1370" spans="1:54" s="83" customFormat="1">
      <c r="A1370" s="341"/>
      <c r="B1370" s="341"/>
      <c r="C1370" s="341"/>
      <c r="D1370" s="342"/>
      <c r="E1370" s="342"/>
      <c r="F1370" s="360"/>
      <c r="G1370" s="128"/>
      <c r="H1370" s="128"/>
      <c r="I1370" s="128"/>
      <c r="J1370" s="128"/>
      <c r="K1370" s="128"/>
      <c r="L1370" s="345"/>
      <c r="M1370" s="345"/>
      <c r="N1370" s="345"/>
      <c r="O1370" s="345"/>
      <c r="P1370" s="128"/>
      <c r="Q1370" s="345"/>
      <c r="R1370" s="345"/>
      <c r="S1370" s="345"/>
      <c r="T1370" s="345"/>
      <c r="U1370" s="128"/>
      <c r="V1370" s="345"/>
      <c r="W1370" s="345"/>
      <c r="X1370" s="345"/>
      <c r="Y1370" s="345"/>
      <c r="Z1370" s="128"/>
      <c r="AA1370" s="345"/>
      <c r="AB1370" s="345"/>
      <c r="AC1370" s="345"/>
      <c r="AD1370" s="345"/>
      <c r="AE1370" s="128"/>
      <c r="AF1370" s="129"/>
      <c r="AG1370" s="129"/>
      <c r="AH1370" s="129"/>
      <c r="AI1370" s="129"/>
      <c r="AJ1370" s="343"/>
      <c r="AK1370" s="223"/>
      <c r="AL1370" s="322"/>
      <c r="AM1370" s="651"/>
      <c r="AN1370" s="322"/>
      <c r="AO1370" s="322"/>
      <c r="AP1370" s="322"/>
      <c r="AQ1370" s="322"/>
      <c r="AR1370" s="322"/>
      <c r="AS1370" s="322"/>
      <c r="AT1370" s="322"/>
      <c r="AU1370" s="322"/>
      <c r="AV1370" s="322"/>
      <c r="AW1370" s="322"/>
      <c r="AX1370" s="322"/>
      <c r="AY1370" s="322"/>
      <c r="AZ1370" s="322"/>
      <c r="BA1370" s="322"/>
      <c r="BB1370" s="322"/>
    </row>
    <row r="1371" spans="1:54" s="83" customFormat="1">
      <c r="A1371" s="341"/>
      <c r="B1371" s="341"/>
      <c r="C1371" s="341"/>
      <c r="D1371" s="342"/>
      <c r="E1371" s="342"/>
      <c r="F1371" s="360"/>
      <c r="G1371" s="128"/>
      <c r="H1371" s="128"/>
      <c r="I1371" s="128"/>
      <c r="J1371" s="128"/>
      <c r="K1371" s="128"/>
      <c r="L1371" s="345"/>
      <c r="M1371" s="345"/>
      <c r="N1371" s="345"/>
      <c r="O1371" s="345"/>
      <c r="P1371" s="128"/>
      <c r="Q1371" s="345"/>
      <c r="R1371" s="345"/>
      <c r="S1371" s="345"/>
      <c r="T1371" s="345"/>
      <c r="U1371" s="128"/>
      <c r="V1371" s="345"/>
      <c r="W1371" s="345"/>
      <c r="X1371" s="345"/>
      <c r="Y1371" s="345"/>
      <c r="Z1371" s="128"/>
      <c r="AA1371" s="345"/>
      <c r="AB1371" s="345"/>
      <c r="AC1371" s="345"/>
      <c r="AD1371" s="345"/>
      <c r="AE1371" s="128"/>
      <c r="AF1371" s="129"/>
      <c r="AG1371" s="129"/>
      <c r="AH1371" s="129"/>
      <c r="AI1371" s="129"/>
      <c r="AJ1371" s="343"/>
      <c r="AK1371" s="223"/>
      <c r="AL1371" s="322"/>
      <c r="AM1371" s="651"/>
      <c r="AN1371" s="322"/>
      <c r="AO1371" s="322"/>
      <c r="AP1371" s="322"/>
      <c r="AQ1371" s="322"/>
      <c r="AR1371" s="322"/>
      <c r="AS1371" s="322"/>
      <c r="AT1371" s="322"/>
      <c r="AU1371" s="322"/>
      <c r="AV1371" s="322"/>
      <c r="AW1371" s="322"/>
      <c r="AX1371" s="322"/>
      <c r="AY1371" s="322"/>
      <c r="AZ1371" s="322"/>
      <c r="BA1371" s="322"/>
      <c r="BB1371" s="322"/>
    </row>
    <row r="1372" spans="1:54" s="83" customFormat="1">
      <c r="A1372" s="341"/>
      <c r="B1372" s="341"/>
      <c r="C1372" s="341"/>
      <c r="D1372" s="1082" t="s">
        <v>882</v>
      </c>
      <c r="E1372" s="342"/>
      <c r="F1372" s="360"/>
      <c r="G1372" s="128"/>
      <c r="H1372" s="128"/>
      <c r="I1372" s="128"/>
      <c r="J1372" s="128"/>
      <c r="K1372" s="128"/>
      <c r="L1372" s="345"/>
      <c r="M1372" s="345"/>
      <c r="N1372" s="345"/>
      <c r="O1372" s="345"/>
      <c r="P1372" s="128"/>
      <c r="Q1372" s="345"/>
      <c r="R1372" s="345"/>
      <c r="S1372" s="345"/>
      <c r="T1372" s="345"/>
      <c r="U1372" s="128"/>
      <c r="V1372" s="345"/>
      <c r="W1372" s="345"/>
      <c r="X1372" s="345"/>
      <c r="Y1372" s="345"/>
      <c r="Z1372" s="128"/>
      <c r="AA1372" s="345"/>
      <c r="AB1372" s="345"/>
      <c r="AC1372" s="345"/>
      <c r="AD1372" s="345"/>
      <c r="AE1372" s="128"/>
      <c r="AF1372" s="129"/>
      <c r="AG1372" s="129"/>
      <c r="AH1372" s="129"/>
      <c r="AI1372" s="129"/>
      <c r="AJ1372" s="343"/>
      <c r="AK1372" s="223"/>
      <c r="AL1372" s="322"/>
      <c r="AM1372" s="651"/>
      <c r="AN1372" s="322"/>
      <c r="AO1372" s="322"/>
      <c r="AP1372" s="322"/>
      <c r="AQ1372" s="322"/>
      <c r="AR1372" s="322"/>
      <c r="AS1372" s="322"/>
      <c r="AT1372" s="322"/>
      <c r="AU1372" s="322"/>
      <c r="AV1372" s="322"/>
      <c r="AW1372" s="322"/>
      <c r="AX1372" s="322"/>
      <c r="AY1372" s="322"/>
      <c r="AZ1372" s="322"/>
      <c r="BA1372" s="322"/>
      <c r="BB1372" s="322"/>
    </row>
    <row r="1373" spans="1:54" s="83" customFormat="1">
      <c r="A1373" s="341"/>
      <c r="B1373" s="341"/>
      <c r="C1373" s="341"/>
      <c r="D1373" s="361"/>
      <c r="E1373" s="342"/>
      <c r="F1373" s="360"/>
      <c r="G1373" s="128"/>
      <c r="H1373" s="128"/>
      <c r="I1373" s="128"/>
      <c r="J1373" s="128"/>
      <c r="K1373" s="128"/>
      <c r="L1373" s="345"/>
      <c r="M1373" s="345"/>
      <c r="N1373" s="345"/>
      <c r="O1373" s="345"/>
      <c r="P1373" s="128"/>
      <c r="Q1373" s="345"/>
      <c r="R1373" s="345"/>
      <c r="S1373" s="345"/>
      <c r="T1373" s="345"/>
      <c r="U1373" s="128"/>
      <c r="V1373" s="345"/>
      <c r="W1373" s="345"/>
      <c r="X1373" s="345"/>
      <c r="Y1373" s="345"/>
      <c r="Z1373" s="128"/>
      <c r="AA1373" s="345"/>
      <c r="AB1373" s="345"/>
      <c r="AC1373" s="345"/>
      <c r="AD1373" s="345"/>
      <c r="AE1373" s="128"/>
      <c r="AF1373" s="129"/>
      <c r="AG1373" s="129"/>
      <c r="AH1373" s="129"/>
      <c r="AI1373" s="129"/>
      <c r="AJ1373" s="343"/>
      <c r="AK1373" s="223"/>
      <c r="AL1373" s="322"/>
      <c r="AM1373" s="651"/>
      <c r="AN1373" s="322"/>
      <c r="AO1373" s="322"/>
      <c r="AP1373" s="322"/>
      <c r="AQ1373" s="322"/>
      <c r="AR1373" s="322"/>
      <c r="AS1373" s="322"/>
      <c r="AT1373" s="322"/>
      <c r="AU1373" s="322"/>
      <c r="AV1373" s="322"/>
      <c r="AW1373" s="322"/>
      <c r="AX1373" s="322"/>
      <c r="AY1373" s="322"/>
      <c r="AZ1373" s="322"/>
      <c r="BA1373" s="322"/>
      <c r="BB1373" s="322"/>
    </row>
    <row r="1374" spans="1:54" s="83" customFormat="1">
      <c r="A1374" s="341"/>
      <c r="B1374" s="341"/>
      <c r="C1374" s="341"/>
      <c r="D1374" s="361" t="s">
        <v>405</v>
      </c>
      <c r="E1374" s="342"/>
      <c r="F1374" s="360"/>
      <c r="G1374" s="128"/>
      <c r="H1374" s="128"/>
      <c r="I1374" s="128"/>
      <c r="J1374" s="128"/>
      <c r="K1374" s="128"/>
      <c r="L1374" s="345"/>
      <c r="M1374" s="345"/>
      <c r="N1374" s="345"/>
      <c r="O1374" s="345"/>
      <c r="P1374" s="128"/>
      <c r="Q1374" s="345"/>
      <c r="R1374" s="345"/>
      <c r="S1374" s="345"/>
      <c r="T1374" s="345"/>
      <c r="U1374" s="128"/>
      <c r="V1374" s="345"/>
      <c r="W1374" s="345"/>
      <c r="X1374" s="345"/>
      <c r="Y1374" s="345"/>
      <c r="Z1374" s="128"/>
      <c r="AA1374" s="345"/>
      <c r="AB1374" s="345"/>
      <c r="AC1374" s="345"/>
      <c r="AD1374" s="345"/>
      <c r="AE1374" s="128"/>
      <c r="AF1374" s="129"/>
      <c r="AG1374" s="129"/>
      <c r="AH1374" s="129"/>
      <c r="AI1374" s="129"/>
      <c r="AJ1374" s="343"/>
      <c r="AK1374" s="223"/>
      <c r="AL1374" s="322"/>
      <c r="AM1374" s="651"/>
      <c r="AN1374" s="322"/>
      <c r="AO1374" s="322"/>
      <c r="AP1374" s="322"/>
      <c r="AQ1374" s="322"/>
      <c r="AR1374" s="322"/>
      <c r="AS1374" s="322"/>
      <c r="AT1374" s="322"/>
      <c r="AU1374" s="322"/>
      <c r="AV1374" s="322"/>
      <c r="AW1374" s="322"/>
      <c r="AX1374" s="322"/>
      <c r="AY1374" s="322"/>
      <c r="AZ1374" s="322"/>
      <c r="BA1374" s="322"/>
      <c r="BB1374" s="322"/>
    </row>
    <row r="1375" spans="1:54" s="83" customFormat="1">
      <c r="A1375" s="356"/>
      <c r="B1375" s="356"/>
      <c r="C1375" s="356"/>
      <c r="D1375" s="1084" t="s">
        <v>299</v>
      </c>
      <c r="E1375" s="357"/>
      <c r="F1375" s="358"/>
      <c r="G1375" s="128"/>
      <c r="H1375" s="128"/>
      <c r="I1375" s="128"/>
      <c r="J1375" s="128"/>
      <c r="K1375" s="128"/>
      <c r="L1375" s="345"/>
      <c r="M1375" s="345"/>
      <c r="N1375" s="345"/>
      <c r="O1375" s="345"/>
      <c r="P1375" s="128"/>
      <c r="Q1375" s="345"/>
      <c r="R1375" s="345"/>
      <c r="S1375" s="345"/>
      <c r="T1375" s="345"/>
      <c r="U1375" s="128"/>
      <c r="V1375" s="345"/>
      <c r="W1375" s="345"/>
      <c r="X1375" s="345"/>
      <c r="Y1375" s="345"/>
      <c r="Z1375" s="347">
        <f>U1377</f>
        <v>0</v>
      </c>
      <c r="AA1375" s="345"/>
      <c r="AB1375" s="345"/>
      <c r="AC1375" s="345"/>
      <c r="AD1375" s="345"/>
      <c r="AE1375" s="347" t="e">
        <f ca="1">Z1377</f>
        <v>#VALUE!</v>
      </c>
      <c r="AF1375" s="347" t="e">
        <f ca="1">AE1377</f>
        <v>#VALUE!</v>
      </c>
      <c r="AG1375" s="347" t="e">
        <f t="shared" ref="AG1375:AL1375" ca="1" si="1125">AF1377</f>
        <v>#VALUE!</v>
      </c>
      <c r="AH1375" s="347" t="e">
        <f t="shared" ca="1" si="1125"/>
        <v>#VALUE!</v>
      </c>
      <c r="AI1375" s="347" t="e">
        <f t="shared" ca="1" si="1125"/>
        <v>#VALUE!</v>
      </c>
      <c r="AJ1375" s="347" t="e">
        <f t="shared" ca="1" si="1125"/>
        <v>#VALUE!</v>
      </c>
      <c r="AK1375" s="347" t="e">
        <f t="shared" ca="1" si="1125"/>
        <v>#VALUE!</v>
      </c>
      <c r="AL1375" s="347" t="e">
        <f t="shared" ca="1" si="1125"/>
        <v>#VALUE!</v>
      </c>
      <c r="AM1375" s="651"/>
      <c r="AN1375" s="322"/>
      <c r="AO1375" s="322"/>
      <c r="AP1375" s="322"/>
      <c r="AQ1375" s="322"/>
      <c r="AR1375" s="322"/>
      <c r="AS1375" s="322"/>
      <c r="AT1375" s="322"/>
      <c r="AU1375" s="322"/>
      <c r="AV1375" s="322"/>
      <c r="AW1375" s="322"/>
      <c r="AX1375" s="322"/>
      <c r="AY1375" s="322"/>
      <c r="AZ1375" s="322"/>
      <c r="BA1375" s="322"/>
      <c r="BB1375" s="322"/>
    </row>
    <row r="1376" spans="1:54" s="83" customFormat="1">
      <c r="A1376" s="356"/>
      <c r="B1376" s="356"/>
      <c r="C1376" s="356"/>
      <c r="D1376" s="1084" t="s">
        <v>245</v>
      </c>
      <c r="E1376" s="357"/>
      <c r="F1376" s="358"/>
      <c r="G1376" s="128"/>
      <c r="H1376" s="128"/>
      <c r="I1376" s="128"/>
      <c r="J1376" s="128"/>
      <c r="K1376" s="128"/>
      <c r="L1376" s="345"/>
      <c r="M1376" s="345"/>
      <c r="N1376" s="345"/>
      <c r="O1376" s="345"/>
      <c r="P1376" s="128"/>
      <c r="Q1376" s="345"/>
      <c r="R1376" s="345"/>
      <c r="S1376" s="345"/>
      <c r="T1376" s="345"/>
      <c r="U1376" s="128"/>
      <c r="V1376" s="345"/>
      <c r="W1376" s="345"/>
      <c r="X1376" s="345"/>
      <c r="Y1376" s="345"/>
      <c r="Z1376" s="347" t="e">
        <f ca="1">-MIN(Z1375,Z1387)</f>
        <v>#VALUE!</v>
      </c>
      <c r="AA1376" s="345"/>
      <c r="AB1376" s="345"/>
      <c r="AC1376" s="345"/>
      <c r="AD1376" s="345"/>
      <c r="AE1376" s="347" t="e">
        <f ca="1">-MIN(AE1375,AE1387)</f>
        <v>#VALUE!</v>
      </c>
      <c r="AF1376" s="128"/>
      <c r="AG1376" s="128"/>
      <c r="AH1376" s="128"/>
      <c r="AI1376" s="128"/>
      <c r="AJ1376" s="128"/>
      <c r="AK1376" s="128"/>
      <c r="AL1376" s="128"/>
      <c r="AM1376" s="651"/>
      <c r="AN1376" s="322"/>
      <c r="AO1376" s="322"/>
      <c r="AP1376" s="322"/>
      <c r="AQ1376" s="322"/>
      <c r="AR1376" s="322"/>
      <c r="AS1376" s="322"/>
      <c r="AT1376" s="322"/>
      <c r="AU1376" s="322"/>
      <c r="AV1376" s="322"/>
      <c r="AW1376" s="322"/>
      <c r="AX1376" s="322"/>
      <c r="AY1376" s="322"/>
      <c r="AZ1376" s="322"/>
      <c r="BA1376" s="322"/>
      <c r="BB1376" s="322"/>
    </row>
    <row r="1377" spans="1:54" s="83" customFormat="1">
      <c r="A1377" s="356"/>
      <c r="B1377" s="356"/>
      <c r="C1377" s="356"/>
      <c r="D1377" s="1084" t="s">
        <v>246</v>
      </c>
      <c r="E1377" s="357"/>
      <c r="F1377" s="358"/>
      <c r="G1377" s="128"/>
      <c r="H1377" s="347">
        <f>G1510</f>
        <v>0</v>
      </c>
      <c r="I1377" s="347">
        <f>H1510</f>
        <v>0</v>
      </c>
      <c r="J1377" s="347">
        <f>I1510</f>
        <v>0</v>
      </c>
      <c r="K1377" s="347">
        <f>J1510</f>
        <v>0</v>
      </c>
      <c r="L1377" s="345"/>
      <c r="M1377" s="345"/>
      <c r="N1377" s="345"/>
      <c r="O1377" s="345"/>
      <c r="P1377" s="347">
        <f>O1510</f>
        <v>0</v>
      </c>
      <c r="Q1377" s="345"/>
      <c r="R1377" s="345"/>
      <c r="S1377" s="345"/>
      <c r="T1377" s="345"/>
      <c r="U1377" s="347">
        <f>T1510</f>
        <v>0</v>
      </c>
      <c r="V1377" s="345"/>
      <c r="W1377" s="345"/>
      <c r="X1377" s="345"/>
      <c r="Y1377" s="345"/>
      <c r="Z1377" s="347" t="e">
        <f ca="1">SUM(Z1375:Z1376)</f>
        <v>#VALUE!</v>
      </c>
      <c r="AA1377" s="345"/>
      <c r="AB1377" s="345"/>
      <c r="AC1377" s="345"/>
      <c r="AD1377" s="345"/>
      <c r="AE1377" s="347" t="e">
        <f ca="1">SUM(AE1375:AE1376)</f>
        <v>#VALUE!</v>
      </c>
      <c r="AF1377" s="347" t="e">
        <f ca="1">SUM(AF1375:AF1376)</f>
        <v>#VALUE!</v>
      </c>
      <c r="AG1377" s="347" t="e">
        <f t="shared" ref="AG1377:AL1377" ca="1" si="1126">SUM(AG1375:AG1376)</f>
        <v>#VALUE!</v>
      </c>
      <c r="AH1377" s="347" t="e">
        <f t="shared" ca="1" si="1126"/>
        <v>#VALUE!</v>
      </c>
      <c r="AI1377" s="347" t="e">
        <f t="shared" ca="1" si="1126"/>
        <v>#VALUE!</v>
      </c>
      <c r="AJ1377" s="347" t="e">
        <f t="shared" ca="1" si="1126"/>
        <v>#VALUE!</v>
      </c>
      <c r="AK1377" s="347" t="e">
        <f t="shared" ca="1" si="1126"/>
        <v>#VALUE!</v>
      </c>
      <c r="AL1377" s="347" t="e">
        <f t="shared" ca="1" si="1126"/>
        <v>#VALUE!</v>
      </c>
      <c r="AM1377" s="651"/>
      <c r="AN1377" s="322"/>
      <c r="AO1377" s="322"/>
      <c r="AP1377" s="322"/>
      <c r="AQ1377" s="322"/>
      <c r="AR1377" s="322"/>
      <c r="AS1377" s="322"/>
      <c r="AT1377" s="322"/>
      <c r="AU1377" s="322"/>
      <c r="AV1377" s="322"/>
      <c r="AW1377" s="322"/>
      <c r="AX1377" s="322"/>
      <c r="AY1377" s="322"/>
      <c r="AZ1377" s="322"/>
      <c r="BA1377" s="322"/>
      <c r="BB1377" s="322"/>
    </row>
    <row r="1378" spans="1:54" s="83" customFormat="1">
      <c r="A1378" s="356"/>
      <c r="B1378" s="356"/>
      <c r="C1378" s="356"/>
      <c r="D1378" s="1084"/>
      <c r="E1378" s="357"/>
      <c r="F1378" s="358"/>
      <c r="G1378" s="128"/>
      <c r="H1378" s="347"/>
      <c r="I1378" s="347"/>
      <c r="J1378" s="347"/>
      <c r="K1378" s="347"/>
      <c r="L1378" s="345"/>
      <c r="M1378" s="345"/>
      <c r="N1378" s="345"/>
      <c r="O1378" s="345"/>
      <c r="P1378" s="347"/>
      <c r="Q1378" s="345"/>
      <c r="R1378" s="345"/>
      <c r="S1378" s="345"/>
      <c r="T1378" s="345"/>
      <c r="U1378" s="347"/>
      <c r="V1378" s="345"/>
      <c r="W1378" s="345"/>
      <c r="X1378" s="345"/>
      <c r="Y1378" s="345"/>
      <c r="Z1378" s="347"/>
      <c r="AA1378" s="345"/>
      <c r="AB1378" s="345"/>
      <c r="AC1378" s="345"/>
      <c r="AD1378" s="345"/>
      <c r="AE1378" s="347"/>
      <c r="AF1378" s="347"/>
      <c r="AG1378" s="347"/>
      <c r="AH1378" s="347"/>
      <c r="AI1378" s="347"/>
      <c r="AJ1378" s="347"/>
      <c r="AK1378" s="347"/>
      <c r="AL1378" s="347"/>
      <c r="AM1378" s="651"/>
      <c r="AN1378" s="322"/>
      <c r="AO1378" s="322"/>
      <c r="AP1378" s="322"/>
      <c r="AQ1378" s="322"/>
      <c r="AR1378" s="322"/>
      <c r="AS1378" s="322"/>
      <c r="AT1378" s="322"/>
      <c r="AU1378" s="322"/>
      <c r="AV1378" s="322"/>
      <c r="AW1378" s="322"/>
      <c r="AX1378" s="322"/>
      <c r="AY1378" s="322"/>
      <c r="AZ1378" s="322"/>
      <c r="BA1378" s="322"/>
      <c r="BB1378" s="322"/>
    </row>
    <row r="1379" spans="1:54" s="83" customFormat="1">
      <c r="A1379" s="356"/>
      <c r="B1379" s="356"/>
      <c r="C1379" s="356"/>
      <c r="D1379" s="1084" t="s">
        <v>888</v>
      </c>
      <c r="E1379" s="357"/>
      <c r="F1379" s="358"/>
      <c r="G1379" s="128"/>
      <c r="H1379" s="347"/>
      <c r="I1379" s="347"/>
      <c r="J1379" s="347"/>
      <c r="K1379" s="347"/>
      <c r="L1379" s="345"/>
      <c r="M1379" s="345"/>
      <c r="N1379" s="345"/>
      <c r="O1379" s="345"/>
      <c r="P1379" s="347"/>
      <c r="Q1379" s="345"/>
      <c r="R1379" s="345"/>
      <c r="S1379" s="345"/>
      <c r="T1379" s="345"/>
      <c r="U1379" s="347"/>
      <c r="V1379" s="345"/>
      <c r="W1379" s="345"/>
      <c r="X1379" s="345"/>
      <c r="Y1379" s="345"/>
      <c r="Z1379" s="347">
        <v>6500</v>
      </c>
      <c r="AA1379" s="345"/>
      <c r="AB1379" s="345"/>
      <c r="AC1379" s="345"/>
      <c r="AD1379" s="345"/>
      <c r="AE1379" s="347">
        <v>6500</v>
      </c>
      <c r="AF1379" s="347">
        <v>6500</v>
      </c>
      <c r="AG1379" s="347">
        <v>6500</v>
      </c>
      <c r="AH1379" s="347">
        <v>6500</v>
      </c>
      <c r="AI1379" s="347">
        <v>6500</v>
      </c>
      <c r="AJ1379" s="347">
        <v>6500</v>
      </c>
      <c r="AK1379" s="347">
        <v>6500</v>
      </c>
      <c r="AL1379" s="347">
        <v>6500</v>
      </c>
      <c r="AM1379" s="651"/>
      <c r="AN1379" s="322"/>
      <c r="AO1379" s="322"/>
      <c r="AP1379" s="322"/>
      <c r="AQ1379" s="322"/>
      <c r="AR1379" s="322"/>
      <c r="AS1379" s="322"/>
      <c r="AT1379" s="322"/>
      <c r="AU1379" s="322"/>
      <c r="AV1379" s="322"/>
      <c r="AW1379" s="322"/>
      <c r="AX1379" s="322"/>
      <c r="AY1379" s="322"/>
      <c r="AZ1379" s="322"/>
      <c r="BA1379" s="322"/>
      <c r="BB1379" s="322"/>
    </row>
    <row r="1380" spans="1:54" s="83" customFormat="1">
      <c r="A1380" s="356"/>
      <c r="B1380" s="356"/>
      <c r="C1380" s="356"/>
      <c r="D1380" s="1084" t="s">
        <v>889</v>
      </c>
      <c r="E1380" s="357"/>
      <c r="F1380" s="358"/>
      <c r="G1380" s="128"/>
      <c r="H1380" s="347"/>
      <c r="I1380" s="347"/>
      <c r="J1380" s="347"/>
      <c r="K1380" s="347"/>
      <c r="L1380" s="345"/>
      <c r="M1380" s="345"/>
      <c r="N1380" s="345"/>
      <c r="O1380" s="345"/>
      <c r="P1380" s="347"/>
      <c r="Q1380" s="345"/>
      <c r="R1380" s="345"/>
      <c r="S1380" s="345"/>
      <c r="T1380" s="345"/>
      <c r="U1380" s="347"/>
      <c r="V1380" s="345"/>
      <c r="W1380" s="345"/>
      <c r="X1380" s="345"/>
      <c r="Y1380" s="345"/>
      <c r="Z1380" s="347" t="e">
        <f ca="1">IF(Z1377&gt;Z1379,"OVERDRAWN","OK")</f>
        <v>#VALUE!</v>
      </c>
      <c r="AA1380" s="345"/>
      <c r="AB1380" s="345"/>
      <c r="AC1380" s="345"/>
      <c r="AD1380" s="345"/>
      <c r="AE1380" s="347" t="e">
        <f ca="1">IF(AE1377&gt;AE1379,"OVERDRAWN","OK")</f>
        <v>#VALUE!</v>
      </c>
      <c r="AF1380" s="347" t="e">
        <f t="shared" ref="AF1380:AL1380" ca="1" si="1127">IF(AF1377&gt;AF1379,"OVERDRAWN","OK")</f>
        <v>#VALUE!</v>
      </c>
      <c r="AG1380" s="347" t="e">
        <f t="shared" ca="1" si="1127"/>
        <v>#VALUE!</v>
      </c>
      <c r="AH1380" s="347" t="e">
        <f t="shared" ca="1" si="1127"/>
        <v>#VALUE!</v>
      </c>
      <c r="AI1380" s="347" t="e">
        <f t="shared" ca="1" si="1127"/>
        <v>#VALUE!</v>
      </c>
      <c r="AJ1380" s="347" t="e">
        <f t="shared" ca="1" si="1127"/>
        <v>#VALUE!</v>
      </c>
      <c r="AK1380" s="347" t="e">
        <f t="shared" ca="1" si="1127"/>
        <v>#VALUE!</v>
      </c>
      <c r="AL1380" s="347" t="e">
        <f t="shared" ca="1" si="1127"/>
        <v>#VALUE!</v>
      </c>
      <c r="AM1380" s="651"/>
      <c r="AN1380" s="322"/>
      <c r="AO1380" s="322"/>
      <c r="AP1380" s="322"/>
      <c r="AQ1380" s="322"/>
      <c r="AR1380" s="322"/>
      <c r="AS1380" s="322"/>
      <c r="AT1380" s="322"/>
      <c r="AU1380" s="322"/>
      <c r="AV1380" s="322"/>
      <c r="AW1380" s="322"/>
      <c r="AX1380" s="322"/>
      <c r="AY1380" s="322"/>
      <c r="AZ1380" s="322"/>
      <c r="BA1380" s="322"/>
      <c r="BB1380" s="322"/>
    </row>
    <row r="1381" spans="1:54" s="83" customFormat="1">
      <c r="A1381" s="341"/>
      <c r="B1381" s="341"/>
      <c r="C1381" s="341"/>
      <c r="D1381" s="361"/>
      <c r="E1381" s="342"/>
      <c r="F1381" s="360"/>
      <c r="G1381" s="128"/>
      <c r="H1381" s="128"/>
      <c r="I1381" s="128"/>
      <c r="J1381" s="128"/>
      <c r="K1381" s="128"/>
      <c r="L1381" s="345"/>
      <c r="M1381" s="345"/>
      <c r="N1381" s="345"/>
      <c r="O1381" s="345"/>
      <c r="P1381" s="128"/>
      <c r="Q1381" s="345"/>
      <c r="R1381" s="345"/>
      <c r="S1381" s="345"/>
      <c r="T1381" s="345"/>
      <c r="U1381" s="128"/>
      <c r="V1381" s="345"/>
      <c r="W1381" s="345"/>
      <c r="X1381" s="345"/>
      <c r="Y1381" s="345"/>
      <c r="Z1381" s="128"/>
      <c r="AA1381" s="345"/>
      <c r="AB1381" s="345"/>
      <c r="AC1381" s="345"/>
      <c r="AD1381" s="345"/>
      <c r="AE1381" s="128"/>
      <c r="AF1381" s="129"/>
      <c r="AG1381" s="129"/>
      <c r="AH1381" s="129"/>
      <c r="AI1381" s="129"/>
      <c r="AJ1381" s="343"/>
      <c r="AK1381" s="223"/>
      <c r="AL1381" s="322"/>
      <c r="AM1381" s="651"/>
      <c r="AN1381" s="322"/>
      <c r="AO1381" s="322"/>
      <c r="AP1381" s="322"/>
      <c r="AQ1381" s="322"/>
      <c r="AR1381" s="322"/>
      <c r="AS1381" s="322"/>
      <c r="AT1381" s="322"/>
      <c r="AU1381" s="322"/>
      <c r="AV1381" s="322"/>
      <c r="AW1381" s="322"/>
      <c r="AX1381" s="322"/>
      <c r="AY1381" s="322"/>
      <c r="AZ1381" s="322"/>
      <c r="BA1381" s="322"/>
      <c r="BB1381" s="322"/>
    </row>
    <row r="1382" spans="1:54" s="83" customFormat="1">
      <c r="A1382" s="341"/>
      <c r="B1382" s="341"/>
      <c r="C1382" s="341"/>
      <c r="D1382" s="361" t="s">
        <v>887</v>
      </c>
      <c r="E1382" s="342"/>
      <c r="F1382" s="360"/>
      <c r="G1382" s="128"/>
      <c r="H1382" s="128"/>
      <c r="I1382" s="128"/>
      <c r="J1382" s="128"/>
      <c r="K1382" s="128"/>
      <c r="L1382" s="345"/>
      <c r="M1382" s="345"/>
      <c r="N1382" s="345"/>
      <c r="O1382" s="345"/>
      <c r="P1382" s="128"/>
      <c r="Q1382" s="345"/>
      <c r="R1382" s="345"/>
      <c r="S1382" s="345"/>
      <c r="T1382" s="345"/>
      <c r="U1382" s="128"/>
      <c r="V1382" s="345"/>
      <c r="W1382" s="345"/>
      <c r="X1382" s="345"/>
      <c r="Y1382" s="345"/>
      <c r="Z1382" s="128"/>
      <c r="AA1382" s="345"/>
      <c r="AB1382" s="345"/>
      <c r="AC1382" s="345"/>
      <c r="AD1382" s="345"/>
      <c r="AE1382" s="128"/>
      <c r="AF1382" s="129"/>
      <c r="AG1382" s="129"/>
      <c r="AH1382" s="129"/>
      <c r="AI1382" s="129"/>
      <c r="AJ1382" s="343"/>
      <c r="AK1382" s="223"/>
      <c r="AL1382" s="322"/>
      <c r="AM1382" s="651"/>
      <c r="AN1382" s="322"/>
      <c r="AO1382" s="322"/>
      <c r="AP1382" s="322"/>
      <c r="AQ1382" s="322"/>
      <c r="AR1382" s="322"/>
      <c r="AS1382" s="322"/>
      <c r="AT1382" s="322"/>
      <c r="AU1382" s="322"/>
      <c r="AV1382" s="322"/>
      <c r="AW1382" s="322"/>
      <c r="AX1382" s="322"/>
      <c r="AY1382" s="322"/>
      <c r="AZ1382" s="322"/>
      <c r="BA1382" s="322"/>
      <c r="BB1382" s="322"/>
    </row>
    <row r="1383" spans="1:54" s="83" customFormat="1">
      <c r="A1383" s="341"/>
      <c r="B1383" s="341"/>
      <c r="C1383" s="341"/>
      <c r="D1383" s="129" t="s">
        <v>883</v>
      </c>
      <c r="E1383" s="342"/>
      <c r="F1383" s="360"/>
      <c r="G1383" s="128"/>
      <c r="H1383" s="128"/>
      <c r="I1383" s="128"/>
      <c r="J1383" s="128"/>
      <c r="K1383" s="128"/>
      <c r="L1383" s="345"/>
      <c r="M1383" s="345"/>
      <c r="N1383" s="345"/>
      <c r="O1383" s="345"/>
      <c r="P1383" s="128"/>
      <c r="Q1383" s="345"/>
      <c r="R1383" s="345"/>
      <c r="S1383" s="345"/>
      <c r="T1383" s="345"/>
      <c r="U1383" s="347">
        <f>U1478</f>
        <v>1026</v>
      </c>
      <c r="V1383" s="345"/>
      <c r="W1383" s="345"/>
      <c r="X1383" s="345"/>
      <c r="Y1383" s="345"/>
      <c r="Z1383" s="347" t="e">
        <f ca="1">Z1478</f>
        <v>#VALUE!</v>
      </c>
      <c r="AA1383" s="345"/>
      <c r="AB1383" s="345"/>
      <c r="AC1383" s="345"/>
      <c r="AD1383" s="345"/>
      <c r="AE1383" s="347">
        <f ca="1">AE1478</f>
        <v>2273.1244879813403</v>
      </c>
      <c r="AF1383" s="347">
        <f t="shared" ref="AF1383:AL1383" ca="1" si="1128">AF1478</f>
        <v>5929.7487016353571</v>
      </c>
      <c r="AG1383" s="347">
        <f ca="1">AG1478</f>
        <v>10295.656030325033</v>
      </c>
      <c r="AH1383" s="347">
        <f t="shared" ca="1" si="1128"/>
        <v>6855.0992874727417</v>
      </c>
      <c r="AI1383" s="347">
        <f t="shared" ca="1" si="1128"/>
        <v>7083.3599294780088</v>
      </c>
      <c r="AJ1383" s="347">
        <f t="shared" ca="1" si="1128"/>
        <v>7189.7477979959649</v>
      </c>
      <c r="AK1383" s="347">
        <f t="shared" ca="1" si="1128"/>
        <v>10425.326166846067</v>
      </c>
      <c r="AL1383" s="347">
        <f t="shared" ca="1" si="1128"/>
        <v>14792.891495535745</v>
      </c>
      <c r="AM1383" s="651"/>
      <c r="AN1383" s="322"/>
      <c r="AO1383" s="322"/>
      <c r="AP1383" s="322"/>
      <c r="AQ1383" s="322"/>
      <c r="AR1383" s="322"/>
      <c r="AS1383" s="322"/>
      <c r="AT1383" s="322"/>
      <c r="AU1383" s="322"/>
      <c r="AV1383" s="322"/>
      <c r="AW1383" s="322"/>
      <c r="AX1383" s="322"/>
      <c r="AY1383" s="322"/>
      <c r="AZ1383" s="322"/>
      <c r="BA1383" s="322"/>
      <c r="BB1383" s="322"/>
    </row>
    <row r="1384" spans="1:54" s="83" customFormat="1">
      <c r="A1384" s="341"/>
      <c r="B1384" s="341"/>
      <c r="C1384" s="341"/>
      <c r="D1384" s="129" t="s">
        <v>886</v>
      </c>
      <c r="E1384" s="129"/>
      <c r="F1384" s="128"/>
      <c r="G1384" s="128"/>
      <c r="H1384" s="128"/>
      <c r="I1384" s="128"/>
      <c r="J1384" s="128"/>
      <c r="K1384" s="128"/>
      <c r="L1384" s="345"/>
      <c r="M1384" s="345"/>
      <c r="N1384" s="345"/>
      <c r="O1384" s="345"/>
      <c r="P1384" s="128"/>
      <c r="Q1384" s="345"/>
      <c r="R1384" s="345"/>
      <c r="S1384" s="345"/>
      <c r="T1384" s="345"/>
      <c r="U1384" s="1083">
        <v>500</v>
      </c>
      <c r="V1384" s="345"/>
      <c r="W1384" s="345"/>
      <c r="X1384" s="345"/>
      <c r="Y1384" s="345"/>
      <c r="Z1384" s="1083">
        <v>0</v>
      </c>
      <c r="AA1384" s="345"/>
      <c r="AB1384" s="345"/>
      <c r="AC1384" s="345"/>
      <c r="AD1384" s="345"/>
      <c r="AE1384" s="1083">
        <v>0</v>
      </c>
      <c r="AF1384" s="1083">
        <v>0</v>
      </c>
      <c r="AG1384" s="1083">
        <v>0</v>
      </c>
      <c r="AH1384" s="1083">
        <v>0</v>
      </c>
      <c r="AI1384" s="1083">
        <v>0</v>
      </c>
      <c r="AJ1384" s="1083">
        <v>0</v>
      </c>
      <c r="AK1384" s="1083">
        <v>0</v>
      </c>
      <c r="AL1384" s="1083">
        <v>0</v>
      </c>
      <c r="AM1384" s="651"/>
      <c r="AN1384" s="322"/>
      <c r="AO1384" s="322"/>
      <c r="AP1384" s="322"/>
      <c r="AQ1384" s="322"/>
      <c r="AR1384" s="322"/>
      <c r="AS1384" s="322"/>
      <c r="AT1384" s="322"/>
      <c r="AU1384" s="322"/>
      <c r="AV1384" s="322"/>
      <c r="AW1384" s="322"/>
      <c r="AX1384" s="322"/>
      <c r="AY1384" s="322"/>
      <c r="AZ1384" s="322"/>
      <c r="BA1384" s="322"/>
      <c r="BB1384" s="322"/>
    </row>
    <row r="1385" spans="1:54" s="83" customFormat="1">
      <c r="A1385" s="341"/>
      <c r="B1385" s="341"/>
      <c r="C1385" s="341"/>
      <c r="D1385" s="129" t="s">
        <v>884</v>
      </c>
      <c r="E1385" s="129"/>
      <c r="F1385" s="128"/>
      <c r="G1385" s="128"/>
      <c r="H1385" s="128"/>
      <c r="I1385" s="128"/>
      <c r="J1385" s="128"/>
      <c r="K1385" s="128"/>
      <c r="L1385" s="345"/>
      <c r="M1385" s="345"/>
      <c r="N1385" s="345"/>
      <c r="O1385" s="345"/>
      <c r="P1385" s="128"/>
      <c r="Q1385" s="345"/>
      <c r="R1385" s="345"/>
      <c r="S1385" s="345"/>
      <c r="T1385" s="345"/>
      <c r="U1385" s="347">
        <f>U1383-U1384</f>
        <v>526</v>
      </c>
      <c r="V1385" s="345"/>
      <c r="W1385" s="345"/>
      <c r="X1385" s="345"/>
      <c r="Y1385" s="345"/>
      <c r="Z1385" s="347" t="e">
        <f ca="1">Z1383-Z1384</f>
        <v>#VALUE!</v>
      </c>
      <c r="AA1385" s="345"/>
      <c r="AB1385" s="345"/>
      <c r="AC1385" s="345"/>
      <c r="AD1385" s="345"/>
      <c r="AE1385" s="347">
        <f ca="1">AE1383-AE1384</f>
        <v>2273.1244879813403</v>
      </c>
      <c r="AF1385" s="347">
        <f t="shared" ref="AF1385:AL1385" ca="1" si="1129">AF1383-AF1384</f>
        <v>5929.7487016353571</v>
      </c>
      <c r="AG1385" s="347">
        <f t="shared" ca="1" si="1129"/>
        <v>10295.656030325033</v>
      </c>
      <c r="AH1385" s="347">
        <f t="shared" ca="1" si="1129"/>
        <v>6855.0992874727417</v>
      </c>
      <c r="AI1385" s="347">
        <f t="shared" ca="1" si="1129"/>
        <v>7083.3599294780088</v>
      </c>
      <c r="AJ1385" s="347">
        <f t="shared" ca="1" si="1129"/>
        <v>7189.7477979959649</v>
      </c>
      <c r="AK1385" s="347">
        <f t="shared" ca="1" si="1129"/>
        <v>10425.326166846067</v>
      </c>
      <c r="AL1385" s="347">
        <f t="shared" ca="1" si="1129"/>
        <v>14792.891495535745</v>
      </c>
      <c r="AM1385" s="651"/>
      <c r="AN1385" s="322"/>
      <c r="AO1385" s="322"/>
      <c r="AP1385" s="322"/>
      <c r="AQ1385" s="322"/>
      <c r="AR1385" s="322"/>
      <c r="AS1385" s="322"/>
      <c r="AT1385" s="322"/>
      <c r="AU1385" s="322"/>
      <c r="AV1385" s="322"/>
      <c r="AW1385" s="322"/>
      <c r="AX1385" s="322"/>
      <c r="AY1385" s="322"/>
      <c r="AZ1385" s="322"/>
      <c r="BA1385" s="322"/>
      <c r="BB1385" s="322"/>
    </row>
    <row r="1386" spans="1:54" s="83" customFormat="1">
      <c r="A1386" s="341"/>
      <c r="B1386" s="341"/>
      <c r="C1386" s="341"/>
      <c r="D1386" s="129" t="s">
        <v>890</v>
      </c>
      <c r="E1386" s="129"/>
      <c r="F1386" s="128"/>
      <c r="G1386" s="128"/>
      <c r="H1386" s="128"/>
      <c r="I1386" s="128"/>
      <c r="J1386" s="128"/>
      <c r="K1386" s="128"/>
      <c r="L1386" s="345"/>
      <c r="M1386" s="345"/>
      <c r="N1386" s="345"/>
      <c r="O1386" s="345"/>
      <c r="P1386" s="128"/>
      <c r="Q1386" s="345"/>
      <c r="R1386" s="345"/>
      <c r="S1386" s="345"/>
      <c r="T1386" s="345"/>
      <c r="U1386" s="130">
        <f>U1570</f>
        <v>233.31105624486611</v>
      </c>
      <c r="V1386" s="345"/>
      <c r="W1386" s="345"/>
      <c r="X1386" s="345"/>
      <c r="Y1386" s="345"/>
      <c r="Z1386" s="130" t="e">
        <f ca="1">SUM(Z1594,Z1601,Z1604:Z1607)</f>
        <v>#VALUE!</v>
      </c>
      <c r="AA1386" s="345"/>
      <c r="AB1386" s="345"/>
      <c r="AC1386" s="345"/>
      <c r="AD1386" s="345"/>
      <c r="AE1386" s="130">
        <f ca="1">AE1570</f>
        <v>-534.14733317781065</v>
      </c>
      <c r="AF1386" s="130">
        <f t="shared" ref="AF1386:AL1386" ca="1" si="1130">AF1570</f>
        <v>1233.5094235333972</v>
      </c>
      <c r="AG1386" s="130">
        <f ca="1">AG1570</f>
        <v>2132.1547264900064</v>
      </c>
      <c r="AH1386" s="130">
        <f t="shared" ca="1" si="1130"/>
        <v>2358.1769688359109</v>
      </c>
      <c r="AI1386" s="130">
        <f t="shared" ca="1" si="1130"/>
        <v>2597.2978157496436</v>
      </c>
      <c r="AJ1386" s="130">
        <f t="shared" ca="1" si="1130"/>
        <v>2706.8029273394859</v>
      </c>
      <c r="AK1386" s="130">
        <f t="shared" ca="1" si="1130"/>
        <v>2329.8965825355717</v>
      </c>
      <c r="AL1386" s="130">
        <f t="shared" ca="1" si="1130"/>
        <v>2330.5965825355725</v>
      </c>
      <c r="AM1386" s="651"/>
      <c r="AN1386" s="322"/>
      <c r="AO1386" s="322"/>
      <c r="AP1386" s="322"/>
      <c r="AQ1386" s="322"/>
      <c r="AR1386" s="322"/>
      <c r="AS1386" s="322"/>
      <c r="AT1386" s="322"/>
      <c r="AU1386" s="322"/>
      <c r="AV1386" s="322"/>
      <c r="AW1386" s="322"/>
      <c r="AX1386" s="322"/>
      <c r="AY1386" s="322"/>
      <c r="AZ1386" s="322"/>
      <c r="BA1386" s="322"/>
      <c r="BB1386" s="322"/>
    </row>
    <row r="1387" spans="1:54" s="83" customFormat="1">
      <c r="A1387" s="341"/>
      <c r="B1387" s="341"/>
      <c r="C1387" s="341"/>
      <c r="D1387" s="129" t="s">
        <v>885</v>
      </c>
      <c r="E1387" s="129"/>
      <c r="F1387" s="128"/>
      <c r="G1387" s="128"/>
      <c r="H1387" s="128"/>
      <c r="I1387" s="128"/>
      <c r="J1387" s="128"/>
      <c r="K1387" s="128"/>
      <c r="L1387" s="345"/>
      <c r="M1387" s="345"/>
      <c r="N1387" s="345"/>
      <c r="O1387" s="345"/>
      <c r="P1387" s="128"/>
      <c r="Q1387" s="345"/>
      <c r="R1387" s="345"/>
      <c r="S1387" s="345"/>
      <c r="T1387" s="345"/>
      <c r="U1387" s="347">
        <f>U1385+U1386</f>
        <v>759.31105624486611</v>
      </c>
      <c r="V1387" s="345"/>
      <c r="W1387" s="345"/>
      <c r="X1387" s="345"/>
      <c r="Y1387" s="345"/>
      <c r="Z1387" s="130" t="e">
        <f ca="1">Z1385+Z1386</f>
        <v>#VALUE!</v>
      </c>
      <c r="AA1387" s="345"/>
      <c r="AB1387" s="345"/>
      <c r="AC1387" s="345"/>
      <c r="AD1387" s="345"/>
      <c r="AE1387" s="347">
        <f ca="1">AE1385+AE1386</f>
        <v>1738.9771548035296</v>
      </c>
      <c r="AF1387" s="347">
        <f t="shared" ref="AF1387:AL1387" ca="1" si="1131">AF1385+AF1386</f>
        <v>7163.2581251687543</v>
      </c>
      <c r="AG1387" s="347">
        <f t="shared" ca="1" si="1131"/>
        <v>12427.810756815041</v>
      </c>
      <c r="AH1387" s="347">
        <f t="shared" ca="1" si="1131"/>
        <v>9213.2762563086526</v>
      </c>
      <c r="AI1387" s="347">
        <f t="shared" ca="1" si="1131"/>
        <v>9680.6577452276524</v>
      </c>
      <c r="AJ1387" s="347">
        <f t="shared" ca="1" si="1131"/>
        <v>9896.5507253354517</v>
      </c>
      <c r="AK1387" s="347">
        <f t="shared" ca="1" si="1131"/>
        <v>12755.222749381639</v>
      </c>
      <c r="AL1387" s="347">
        <f t="shared" ca="1" si="1131"/>
        <v>17123.488078071317</v>
      </c>
      <c r="AM1387" s="651"/>
      <c r="AN1387" s="322"/>
      <c r="AO1387" s="322"/>
      <c r="AP1387" s="322"/>
      <c r="AQ1387" s="322"/>
      <c r="AR1387" s="322"/>
      <c r="AS1387" s="322"/>
      <c r="AT1387" s="322"/>
      <c r="AU1387" s="322"/>
      <c r="AV1387" s="322"/>
      <c r="AW1387" s="322"/>
      <c r="AX1387" s="322"/>
      <c r="AY1387" s="322"/>
      <c r="AZ1387" s="322"/>
      <c r="BA1387" s="322"/>
      <c r="BB1387" s="322"/>
    </row>
    <row r="1388" spans="1:54" s="83" customFormat="1">
      <c r="A1388" s="341"/>
      <c r="B1388" s="341"/>
      <c r="C1388" s="341"/>
      <c r="D1388" s="129"/>
      <c r="E1388" s="129"/>
      <c r="F1388" s="128"/>
      <c r="G1388" s="128"/>
      <c r="H1388" s="128"/>
      <c r="I1388" s="128"/>
      <c r="J1388" s="128"/>
      <c r="K1388" s="128"/>
      <c r="L1388" s="345"/>
      <c r="M1388" s="345"/>
      <c r="N1388" s="345"/>
      <c r="O1388" s="345"/>
      <c r="P1388" s="128"/>
      <c r="Q1388" s="345"/>
      <c r="R1388" s="345"/>
      <c r="S1388" s="345"/>
      <c r="T1388" s="345"/>
      <c r="U1388" s="128"/>
      <c r="V1388" s="345"/>
      <c r="W1388" s="345"/>
      <c r="X1388" s="345"/>
      <c r="Y1388" s="345"/>
      <c r="Z1388" s="128"/>
      <c r="AA1388" s="345"/>
      <c r="AB1388" s="345"/>
      <c r="AC1388" s="345"/>
      <c r="AD1388" s="345"/>
      <c r="AE1388" s="128"/>
      <c r="AF1388" s="129"/>
      <c r="AG1388" s="129"/>
      <c r="AH1388" s="129"/>
      <c r="AI1388" s="129"/>
      <c r="AJ1388" s="343"/>
      <c r="AK1388" s="223"/>
      <c r="AL1388" s="322"/>
      <c r="AM1388" s="651"/>
      <c r="AN1388" s="322"/>
      <c r="AO1388" s="322"/>
      <c r="AP1388" s="322"/>
      <c r="AQ1388" s="322"/>
      <c r="AR1388" s="322"/>
      <c r="AS1388" s="322"/>
      <c r="AT1388" s="322"/>
      <c r="AU1388" s="322"/>
      <c r="AV1388" s="322"/>
      <c r="AW1388" s="322"/>
      <c r="AX1388" s="322"/>
      <c r="AY1388" s="322"/>
      <c r="AZ1388" s="322"/>
      <c r="BA1388" s="322"/>
      <c r="BB1388" s="322"/>
    </row>
    <row r="1389" spans="1:54" s="83" customFormat="1">
      <c r="A1389" s="341"/>
      <c r="B1389" s="341"/>
      <c r="C1389" s="341"/>
      <c r="D1389" s="129" t="s">
        <v>891</v>
      </c>
      <c r="E1389" s="129"/>
      <c r="F1389" s="128"/>
      <c r="G1389" s="128"/>
      <c r="H1389" s="128"/>
      <c r="I1389" s="128"/>
      <c r="J1389" s="128"/>
      <c r="K1389" s="128"/>
      <c r="L1389" s="345"/>
      <c r="M1389" s="345"/>
      <c r="N1389" s="345"/>
      <c r="O1389" s="345"/>
      <c r="P1389" s="128"/>
      <c r="Q1389" s="345"/>
      <c r="R1389" s="345"/>
      <c r="S1389" s="345"/>
      <c r="T1389" s="345"/>
      <c r="U1389" s="128"/>
      <c r="V1389" s="345"/>
      <c r="W1389" s="345"/>
      <c r="X1389" s="345"/>
      <c r="Y1389" s="345"/>
      <c r="Z1389" s="742">
        <v>0.02</v>
      </c>
      <c r="AA1389" s="345"/>
      <c r="AB1389" s="345"/>
      <c r="AC1389" s="345"/>
      <c r="AD1389" s="345"/>
      <c r="AE1389" s="742">
        <v>0.02</v>
      </c>
      <c r="AF1389" s="742">
        <v>0.02</v>
      </c>
      <c r="AG1389" s="742">
        <v>0.02</v>
      </c>
      <c r="AH1389" s="742">
        <v>0.02</v>
      </c>
      <c r="AI1389" s="742">
        <v>0.02</v>
      </c>
      <c r="AJ1389" s="742">
        <v>0.02</v>
      </c>
      <c r="AK1389" s="742">
        <v>0.02</v>
      </c>
      <c r="AL1389" s="742">
        <v>0.02</v>
      </c>
      <c r="AM1389" s="651"/>
      <c r="AN1389" s="322"/>
      <c r="AO1389" s="322"/>
      <c r="AP1389" s="322"/>
      <c r="AQ1389" s="322"/>
      <c r="AR1389" s="322"/>
      <c r="AS1389" s="322"/>
      <c r="AT1389" s="322"/>
      <c r="AU1389" s="322"/>
      <c r="AV1389" s="322"/>
      <c r="AW1389" s="322"/>
      <c r="AX1389" s="322"/>
      <c r="AY1389" s="322"/>
      <c r="AZ1389" s="322"/>
      <c r="BA1389" s="322"/>
      <c r="BB1389" s="322"/>
    </row>
    <row r="1390" spans="1:54" s="83" customFormat="1">
      <c r="A1390" s="341"/>
      <c r="B1390" s="341"/>
      <c r="C1390" s="341"/>
      <c r="D1390" s="129" t="s">
        <v>892</v>
      </c>
      <c r="E1390" s="129"/>
      <c r="F1390" s="128"/>
      <c r="G1390" s="128"/>
      <c r="H1390" s="128"/>
      <c r="I1390" s="128"/>
      <c r="J1390" s="128"/>
      <c r="K1390" s="128"/>
      <c r="L1390" s="345"/>
      <c r="M1390" s="345"/>
      <c r="N1390" s="345"/>
      <c r="O1390" s="345"/>
      <c r="P1390" s="128"/>
      <c r="Q1390" s="345"/>
      <c r="R1390" s="345"/>
      <c r="S1390" s="345"/>
      <c r="T1390" s="345"/>
      <c r="U1390" s="128"/>
      <c r="V1390" s="345"/>
      <c r="W1390" s="345"/>
      <c r="X1390" s="345"/>
      <c r="Y1390" s="345"/>
      <c r="Z1390" s="351" t="e">
        <f ca="1">Z1389*AVERAGE(Z1375,Z1377)</f>
        <v>#VALUE!</v>
      </c>
      <c r="AA1390" s="345"/>
      <c r="AB1390" s="345"/>
      <c r="AC1390" s="345"/>
      <c r="AD1390" s="345"/>
      <c r="AE1390" s="351" t="e">
        <f t="shared" ref="AE1390:AL1390" ca="1" si="1132">AE1389*AVERAGE(AE1375,AE1377)</f>
        <v>#VALUE!</v>
      </c>
      <c r="AF1390" s="351" t="e">
        <f t="shared" ca="1" si="1132"/>
        <v>#VALUE!</v>
      </c>
      <c r="AG1390" s="351" t="e">
        <f t="shared" ca="1" si="1132"/>
        <v>#VALUE!</v>
      </c>
      <c r="AH1390" s="351" t="e">
        <f t="shared" ca="1" si="1132"/>
        <v>#VALUE!</v>
      </c>
      <c r="AI1390" s="351" t="e">
        <f t="shared" ca="1" si="1132"/>
        <v>#VALUE!</v>
      </c>
      <c r="AJ1390" s="351" t="e">
        <f t="shared" ca="1" si="1132"/>
        <v>#VALUE!</v>
      </c>
      <c r="AK1390" s="351" t="e">
        <f t="shared" ca="1" si="1132"/>
        <v>#VALUE!</v>
      </c>
      <c r="AL1390" s="351" t="e">
        <f t="shared" ca="1" si="1132"/>
        <v>#VALUE!</v>
      </c>
      <c r="AM1390" s="651"/>
      <c r="AN1390" s="322"/>
      <c r="AO1390" s="322"/>
      <c r="AP1390" s="322"/>
      <c r="AQ1390" s="322"/>
      <c r="AR1390" s="322"/>
      <c r="AS1390" s="322"/>
      <c r="AT1390" s="322"/>
      <c r="AU1390" s="322"/>
      <c r="AV1390" s="322"/>
      <c r="AW1390" s="322"/>
      <c r="AX1390" s="322"/>
      <c r="AY1390" s="322"/>
      <c r="AZ1390" s="322"/>
      <c r="BA1390" s="322"/>
      <c r="BB1390" s="322"/>
    </row>
    <row r="1391" spans="1:54" s="83" customFormat="1">
      <c r="A1391" s="341"/>
      <c r="B1391" s="341"/>
      <c r="C1391" s="341"/>
      <c r="D1391" s="129"/>
      <c r="E1391" s="129"/>
      <c r="F1391" s="128"/>
      <c r="G1391" s="128"/>
      <c r="H1391" s="128"/>
      <c r="I1391" s="128"/>
      <c r="J1391" s="128"/>
      <c r="K1391" s="128"/>
      <c r="L1391" s="345"/>
      <c r="M1391" s="345"/>
      <c r="N1391" s="345"/>
      <c r="O1391" s="345"/>
      <c r="P1391" s="128"/>
      <c r="Q1391" s="345"/>
      <c r="R1391" s="345"/>
      <c r="S1391" s="345"/>
      <c r="T1391" s="345"/>
      <c r="U1391" s="128"/>
      <c r="V1391" s="345"/>
      <c r="W1391" s="345"/>
      <c r="X1391" s="345"/>
      <c r="Y1391" s="345"/>
      <c r="Z1391" s="128"/>
      <c r="AA1391" s="345"/>
      <c r="AB1391" s="345"/>
      <c r="AC1391" s="345"/>
      <c r="AD1391" s="345"/>
      <c r="AE1391" s="128"/>
      <c r="AF1391" s="129"/>
      <c r="AG1391" s="129"/>
      <c r="AH1391" s="129"/>
      <c r="AI1391" s="129"/>
      <c r="AJ1391" s="343"/>
      <c r="AK1391" s="223"/>
      <c r="AL1391" s="322"/>
      <c r="AM1391" s="651"/>
      <c r="AN1391" s="322"/>
      <c r="AO1391" s="322"/>
      <c r="AP1391" s="322"/>
      <c r="AQ1391" s="322"/>
      <c r="AR1391" s="322"/>
      <c r="AS1391" s="322"/>
      <c r="AT1391" s="322"/>
      <c r="AU1391" s="322"/>
      <c r="AV1391" s="322"/>
      <c r="AW1391" s="322"/>
      <c r="AX1391" s="322"/>
      <c r="AY1391" s="322"/>
      <c r="AZ1391" s="322"/>
      <c r="BA1391" s="322"/>
      <c r="BB1391" s="322"/>
    </row>
    <row r="1392" spans="1:54" s="83" customFormat="1">
      <c r="A1392" s="341"/>
      <c r="B1392" s="341"/>
      <c r="C1392" s="341"/>
      <c r="D1392" s="129"/>
      <c r="E1392" s="129"/>
      <c r="F1392" s="128"/>
      <c r="G1392" s="128"/>
      <c r="H1392" s="128"/>
      <c r="I1392" s="128"/>
      <c r="J1392" s="128"/>
      <c r="K1392" s="128"/>
      <c r="L1392" s="345"/>
      <c r="M1392" s="345"/>
      <c r="N1392" s="345"/>
      <c r="O1392" s="345"/>
      <c r="P1392" s="128"/>
      <c r="Q1392" s="345"/>
      <c r="R1392" s="345"/>
      <c r="S1392" s="345"/>
      <c r="T1392" s="345"/>
      <c r="U1392" s="128"/>
      <c r="V1392" s="345"/>
      <c r="W1392" s="345"/>
      <c r="X1392" s="345"/>
      <c r="Y1392" s="345"/>
      <c r="Z1392" s="128"/>
      <c r="AA1392" s="345"/>
      <c r="AB1392" s="345"/>
      <c r="AC1392" s="345"/>
      <c r="AD1392" s="345"/>
      <c r="AE1392" s="128"/>
      <c r="AF1392" s="129"/>
      <c r="AG1392" s="129"/>
      <c r="AH1392" s="129"/>
      <c r="AI1392" s="129"/>
      <c r="AJ1392" s="343"/>
      <c r="AK1392" s="223"/>
      <c r="AL1392" s="322"/>
      <c r="AM1392" s="651"/>
      <c r="AN1392" s="322"/>
      <c r="AO1392" s="322"/>
      <c r="AP1392" s="322"/>
      <c r="AQ1392" s="322"/>
      <c r="AR1392" s="322"/>
      <c r="AS1392" s="322"/>
      <c r="AT1392" s="322"/>
      <c r="AU1392" s="322"/>
      <c r="AV1392" s="322"/>
      <c r="AW1392" s="322"/>
      <c r="AX1392" s="322"/>
      <c r="AY1392" s="322"/>
      <c r="AZ1392" s="322"/>
      <c r="BA1392" s="322"/>
      <c r="BB1392" s="322"/>
    </row>
    <row r="1393" spans="1:54" s="83" customFormat="1">
      <c r="A1393" s="341"/>
      <c r="B1393" s="341"/>
      <c r="C1393" s="341"/>
      <c r="D1393" s="129"/>
      <c r="E1393" s="129"/>
      <c r="F1393" s="128"/>
      <c r="G1393" s="128"/>
      <c r="H1393" s="128"/>
      <c r="I1393" s="128"/>
      <c r="J1393" s="128"/>
      <c r="K1393" s="128"/>
      <c r="L1393" s="345"/>
      <c r="M1393" s="345"/>
      <c r="N1393" s="345"/>
      <c r="O1393" s="345"/>
      <c r="P1393" s="128"/>
      <c r="Q1393" s="345"/>
      <c r="R1393" s="345"/>
      <c r="S1393" s="345"/>
      <c r="T1393" s="345"/>
      <c r="U1393" s="128"/>
      <c r="V1393" s="345"/>
      <c r="W1393" s="345"/>
      <c r="X1393" s="345"/>
      <c r="Y1393" s="345"/>
      <c r="Z1393" s="128"/>
      <c r="AA1393" s="345"/>
      <c r="AB1393" s="345"/>
      <c r="AC1393" s="345"/>
      <c r="AD1393" s="345"/>
      <c r="AE1393" s="128"/>
      <c r="AF1393" s="129"/>
      <c r="AG1393" s="129"/>
      <c r="AH1393" s="129"/>
      <c r="AI1393" s="129"/>
      <c r="AJ1393" s="343"/>
      <c r="AK1393" s="223"/>
      <c r="AL1393" s="322"/>
      <c r="AM1393" s="651"/>
      <c r="AN1393" s="322"/>
      <c r="AO1393" s="322"/>
      <c r="AP1393" s="322"/>
      <c r="AQ1393" s="322"/>
      <c r="AR1393" s="322"/>
      <c r="AS1393" s="322"/>
      <c r="AT1393" s="322"/>
      <c r="AU1393" s="322"/>
      <c r="AV1393" s="322"/>
      <c r="AW1393" s="322"/>
      <c r="AX1393" s="322"/>
      <c r="AY1393" s="322"/>
      <c r="AZ1393" s="322"/>
      <c r="BA1393" s="322"/>
      <c r="BB1393" s="322"/>
    </row>
    <row r="1394" spans="1:54" s="83" customFormat="1">
      <c r="A1394" s="341"/>
      <c r="B1394" s="341"/>
      <c r="C1394" s="341"/>
      <c r="D1394" s="129"/>
      <c r="E1394" s="129"/>
      <c r="F1394" s="128"/>
      <c r="G1394" s="128"/>
      <c r="H1394" s="128"/>
      <c r="I1394" s="128"/>
      <c r="J1394" s="128"/>
      <c r="K1394" s="128"/>
      <c r="L1394" s="345"/>
      <c r="M1394" s="345"/>
      <c r="N1394" s="345"/>
      <c r="O1394" s="345"/>
      <c r="P1394" s="128"/>
      <c r="Q1394" s="345"/>
      <c r="R1394" s="345"/>
      <c r="S1394" s="345"/>
      <c r="T1394" s="345"/>
      <c r="U1394" s="128"/>
      <c r="V1394" s="345"/>
      <c r="W1394" s="345"/>
      <c r="X1394" s="345"/>
      <c r="Y1394" s="345"/>
      <c r="Z1394" s="362"/>
      <c r="AA1394" s="345"/>
      <c r="AB1394" s="345"/>
      <c r="AC1394" s="345"/>
      <c r="AD1394" s="345"/>
      <c r="AE1394" s="362"/>
      <c r="AF1394" s="343"/>
      <c r="AG1394" s="343"/>
      <c r="AH1394" s="343"/>
      <c r="AI1394" s="343"/>
      <c r="AJ1394" s="343"/>
      <c r="AK1394" s="223"/>
      <c r="AL1394" s="322"/>
      <c r="AM1394" s="651"/>
      <c r="AN1394" s="322"/>
      <c r="AO1394" s="322"/>
      <c r="AP1394" s="322"/>
      <c r="AQ1394" s="322"/>
      <c r="AR1394" s="322"/>
      <c r="AS1394" s="322"/>
      <c r="AT1394" s="322"/>
      <c r="AU1394" s="322"/>
      <c r="AV1394" s="322"/>
      <c r="AW1394" s="322"/>
      <c r="AX1394" s="322"/>
      <c r="AY1394" s="322"/>
      <c r="AZ1394" s="322"/>
      <c r="BA1394" s="322"/>
      <c r="BB1394" s="322"/>
    </row>
    <row r="1395" spans="1:54" s="83" customFormat="1">
      <c r="A1395" s="341"/>
      <c r="B1395" s="341"/>
      <c r="C1395" s="341"/>
      <c r="D1395" s="342"/>
      <c r="E1395" s="342"/>
      <c r="F1395" s="360"/>
      <c r="G1395" s="362"/>
      <c r="H1395" s="362"/>
      <c r="I1395" s="362"/>
      <c r="J1395" s="362"/>
      <c r="K1395" s="362"/>
      <c r="L1395" s="365"/>
      <c r="M1395" s="365"/>
      <c r="N1395" s="365"/>
      <c r="O1395" s="365"/>
      <c r="P1395" s="362"/>
      <c r="Q1395" s="365"/>
      <c r="R1395" s="365"/>
      <c r="S1395" s="365"/>
      <c r="T1395" s="365"/>
      <c r="U1395" s="362"/>
      <c r="V1395" s="365"/>
      <c r="W1395" s="365"/>
      <c r="X1395" s="365"/>
      <c r="Y1395" s="365"/>
      <c r="Z1395" s="362"/>
      <c r="AA1395" s="365"/>
      <c r="AB1395" s="365"/>
      <c r="AC1395" s="365"/>
      <c r="AD1395" s="365"/>
      <c r="AE1395" s="362"/>
      <c r="AF1395" s="343"/>
      <c r="AG1395" s="343"/>
      <c r="AH1395" s="343"/>
      <c r="AI1395" s="343"/>
      <c r="AJ1395" s="343"/>
      <c r="AK1395" s="223"/>
      <c r="AL1395" s="322"/>
      <c r="AM1395" s="651"/>
      <c r="AN1395" s="322"/>
      <c r="AO1395" s="322"/>
      <c r="AP1395" s="322"/>
      <c r="AQ1395" s="322"/>
      <c r="AR1395" s="322"/>
      <c r="AS1395" s="322"/>
      <c r="AT1395" s="322"/>
      <c r="AU1395" s="322"/>
      <c r="AV1395" s="322"/>
      <c r="AW1395" s="322"/>
      <c r="AX1395" s="322"/>
      <c r="AY1395" s="322"/>
      <c r="AZ1395" s="322"/>
      <c r="BA1395" s="322"/>
      <c r="BB1395" s="322"/>
    </row>
    <row r="1396" spans="1:54" s="83" customFormat="1">
      <c r="A1396" s="341"/>
      <c r="B1396" s="341"/>
      <c r="C1396" s="341"/>
      <c r="D1396" s="342"/>
      <c r="E1396" s="342"/>
      <c r="F1396" s="360"/>
      <c r="G1396" s="362"/>
      <c r="H1396" s="362"/>
      <c r="I1396" s="362"/>
      <c r="J1396" s="362"/>
      <c r="K1396" s="362"/>
      <c r="L1396" s="365"/>
      <c r="M1396" s="365"/>
      <c r="N1396" s="365"/>
      <c r="O1396" s="365"/>
      <c r="P1396" s="362"/>
      <c r="Q1396" s="365"/>
      <c r="R1396" s="365"/>
      <c r="S1396" s="365"/>
      <c r="T1396" s="365"/>
      <c r="U1396" s="362"/>
      <c r="V1396" s="365"/>
      <c r="W1396" s="365"/>
      <c r="X1396" s="365"/>
      <c r="Y1396" s="365"/>
      <c r="Z1396" s="362"/>
      <c r="AA1396" s="365"/>
      <c r="AB1396" s="365"/>
      <c r="AC1396" s="365"/>
      <c r="AD1396" s="365"/>
      <c r="AE1396" s="362"/>
      <c r="AF1396" s="343"/>
      <c r="AG1396" s="343"/>
      <c r="AH1396" s="343"/>
      <c r="AI1396" s="343"/>
      <c r="AJ1396" s="343"/>
      <c r="AK1396" s="223"/>
      <c r="AL1396" s="322"/>
      <c r="AM1396" s="651"/>
      <c r="AN1396" s="322"/>
      <c r="AO1396" s="322"/>
      <c r="AP1396" s="322"/>
      <c r="AQ1396" s="322"/>
      <c r="AR1396" s="322"/>
      <c r="AS1396" s="322"/>
      <c r="AT1396" s="322"/>
      <c r="AU1396" s="322"/>
      <c r="AV1396" s="322"/>
      <c r="AW1396" s="322"/>
      <c r="AX1396" s="322"/>
      <c r="AY1396" s="322"/>
      <c r="AZ1396" s="322"/>
      <c r="BA1396" s="322"/>
      <c r="BB1396" s="322"/>
    </row>
    <row r="1397" spans="1:54" s="83" customFormat="1">
      <c r="A1397" s="341"/>
      <c r="B1397" s="341"/>
      <c r="C1397" s="341"/>
      <c r="D1397" s="344" t="s">
        <v>309</v>
      </c>
      <c r="E1397" s="376"/>
      <c r="F1397" s="358"/>
      <c r="G1397" s="128"/>
      <c r="H1397" s="128"/>
      <c r="I1397" s="128"/>
      <c r="J1397" s="128"/>
      <c r="K1397" s="128"/>
      <c r="L1397" s="345"/>
      <c r="M1397" s="345"/>
      <c r="N1397" s="345"/>
      <c r="O1397" s="345"/>
      <c r="P1397" s="128"/>
      <c r="Q1397" s="345"/>
      <c r="R1397" s="345"/>
      <c r="S1397" s="345"/>
      <c r="T1397" s="345"/>
      <c r="U1397" s="128"/>
      <c r="V1397" s="345"/>
      <c r="W1397" s="345"/>
      <c r="X1397" s="345"/>
      <c r="Y1397" s="345"/>
      <c r="Z1397" s="128"/>
      <c r="AA1397" s="345"/>
      <c r="AB1397" s="345"/>
      <c r="AC1397" s="345"/>
      <c r="AD1397" s="345"/>
      <c r="AE1397" s="128"/>
      <c r="AF1397" s="129"/>
      <c r="AG1397" s="129"/>
      <c r="AH1397" s="129"/>
      <c r="AI1397" s="129"/>
      <c r="AJ1397" s="129"/>
      <c r="AK1397" s="223"/>
      <c r="AL1397" s="322"/>
      <c r="AM1397" s="651"/>
      <c r="AN1397" s="322"/>
      <c r="AO1397" s="322"/>
      <c r="AP1397" s="322"/>
      <c r="AQ1397" s="322"/>
      <c r="AR1397" s="322"/>
      <c r="AS1397" s="322"/>
      <c r="AT1397" s="322"/>
      <c r="AU1397" s="322"/>
      <c r="AV1397" s="322"/>
      <c r="AW1397" s="322"/>
      <c r="AX1397" s="322"/>
      <c r="AY1397" s="322"/>
      <c r="AZ1397" s="322"/>
      <c r="BA1397" s="322"/>
      <c r="BB1397" s="322"/>
    </row>
    <row r="1398" spans="1:54" s="83" customFormat="1">
      <c r="A1398" s="341"/>
      <c r="B1398" s="341"/>
      <c r="C1398" s="341"/>
      <c r="D1398" s="367" t="s">
        <v>0</v>
      </c>
      <c r="E1398" s="367"/>
      <c r="F1398" s="358"/>
      <c r="G1398" s="128"/>
      <c r="H1398" s="128"/>
      <c r="I1398" s="128"/>
      <c r="J1398" s="128"/>
      <c r="K1398" s="128"/>
      <c r="L1398" s="345"/>
      <c r="M1398" s="345"/>
      <c r="N1398" s="345"/>
      <c r="O1398" s="345"/>
      <c r="P1398" s="128"/>
      <c r="Q1398" s="345"/>
      <c r="R1398" s="345"/>
      <c r="S1398" s="345"/>
      <c r="T1398" s="345"/>
      <c r="U1398" s="128"/>
      <c r="V1398" s="345"/>
      <c r="W1398" s="345"/>
      <c r="X1398" s="345"/>
      <c r="Y1398" s="345"/>
      <c r="Z1398" s="128"/>
      <c r="AA1398" s="345"/>
      <c r="AB1398" s="345"/>
      <c r="AC1398" s="345"/>
      <c r="AD1398" s="345"/>
      <c r="AE1398" s="128"/>
      <c r="AF1398" s="129"/>
      <c r="AG1398" s="129"/>
      <c r="AH1398" s="129"/>
      <c r="AI1398" s="129"/>
      <c r="AJ1398" s="129"/>
      <c r="AK1398" s="223"/>
      <c r="AL1398" s="322"/>
      <c r="AM1398" s="651"/>
      <c r="AN1398" s="322"/>
      <c r="AO1398" s="322"/>
      <c r="AP1398" s="322"/>
      <c r="AQ1398" s="322"/>
      <c r="AR1398" s="322"/>
      <c r="AS1398" s="322"/>
      <c r="AT1398" s="322"/>
      <c r="AU1398" s="322"/>
      <c r="AV1398" s="322"/>
      <c r="AW1398" s="322"/>
      <c r="AX1398" s="322"/>
      <c r="AY1398" s="322"/>
      <c r="AZ1398" s="322"/>
      <c r="BA1398" s="322"/>
      <c r="BB1398" s="322"/>
    </row>
    <row r="1399" spans="1:54" s="83" customFormat="1">
      <c r="A1399" s="341"/>
      <c r="B1399" s="341"/>
      <c r="C1399" s="341"/>
      <c r="D1399" s="366" t="s">
        <v>306</v>
      </c>
      <c r="E1399" s="366"/>
      <c r="F1399" s="358"/>
      <c r="G1399" s="128"/>
      <c r="H1399" s="128"/>
      <c r="I1399" s="128"/>
      <c r="J1399" s="128"/>
      <c r="K1399" s="128"/>
      <c r="L1399" s="345"/>
      <c r="M1399" s="345"/>
      <c r="N1399" s="345"/>
      <c r="O1399" s="345"/>
      <c r="P1399" s="128"/>
      <c r="Q1399" s="345"/>
      <c r="R1399" s="345"/>
      <c r="S1399" s="345"/>
      <c r="T1399" s="345"/>
      <c r="U1399" s="128"/>
      <c r="V1399" s="345"/>
      <c r="W1399" s="345"/>
      <c r="X1399" s="345"/>
      <c r="Y1399" s="345"/>
      <c r="Z1399" s="128"/>
      <c r="AA1399" s="345"/>
      <c r="AB1399" s="345"/>
      <c r="AC1399" s="345"/>
      <c r="AD1399" s="345"/>
      <c r="AE1399" s="128"/>
      <c r="AF1399" s="129"/>
      <c r="AG1399" s="129"/>
      <c r="AH1399" s="129"/>
      <c r="AI1399" s="129"/>
      <c r="AJ1399" s="129"/>
      <c r="AK1399" s="223"/>
      <c r="AL1399" s="322"/>
      <c r="AM1399" s="651"/>
      <c r="AN1399" s="322"/>
      <c r="AO1399" s="322"/>
      <c r="AP1399" s="322"/>
      <c r="AQ1399" s="322"/>
      <c r="AR1399" s="322"/>
      <c r="AS1399" s="322"/>
      <c r="AT1399" s="322"/>
      <c r="AU1399" s="322"/>
      <c r="AV1399" s="322"/>
      <c r="AW1399" s="322"/>
      <c r="AX1399" s="322"/>
      <c r="AY1399" s="322"/>
      <c r="AZ1399" s="322"/>
      <c r="BA1399" s="322"/>
      <c r="BB1399" s="322"/>
    </row>
    <row r="1400" spans="1:54" s="83" customFormat="1">
      <c r="A1400" s="341"/>
      <c r="B1400" s="341"/>
      <c r="C1400" s="341"/>
      <c r="D1400" s="367" t="s">
        <v>299</v>
      </c>
      <c r="E1400" s="367"/>
      <c r="F1400" s="358"/>
      <c r="G1400" s="128"/>
      <c r="H1400" s="347">
        <f>G1403</f>
        <v>24</v>
      </c>
      <c r="I1400" s="347">
        <f>H1403</f>
        <v>32</v>
      </c>
      <c r="J1400" s="347">
        <f>I1403</f>
        <v>1017</v>
      </c>
      <c r="K1400" s="347">
        <f>J1403</f>
        <v>1012</v>
      </c>
      <c r="L1400" s="348"/>
      <c r="M1400" s="348"/>
      <c r="N1400" s="348"/>
      <c r="O1400" s="348"/>
      <c r="P1400" s="347">
        <f>K1403</f>
        <v>943</v>
      </c>
      <c r="Q1400" s="348"/>
      <c r="R1400" s="348"/>
      <c r="S1400" s="348"/>
      <c r="T1400" s="348"/>
      <c r="U1400" s="347">
        <f>P1403</f>
        <v>1071</v>
      </c>
      <c r="V1400" s="348"/>
      <c r="W1400" s="348"/>
      <c r="X1400" s="348"/>
      <c r="Y1400" s="348"/>
      <c r="Z1400" s="347">
        <f>U1403</f>
        <v>1079</v>
      </c>
      <c r="AA1400" s="348"/>
      <c r="AB1400" s="348"/>
      <c r="AC1400" s="348"/>
      <c r="AD1400" s="348"/>
      <c r="AE1400" s="347">
        <f ca="1">Z1403</f>
        <v>1080</v>
      </c>
      <c r="AF1400" s="347">
        <f ca="1">AE1403</f>
        <v>1082</v>
      </c>
      <c r="AG1400" s="347">
        <f t="shared" ref="AG1400:AL1400" ca="1" si="1133">AF1403</f>
        <v>1084</v>
      </c>
      <c r="AH1400" s="347">
        <f t="shared" ca="1" si="1133"/>
        <v>1085.25</v>
      </c>
      <c r="AI1400" s="347">
        <f t="shared" ca="1" si="1133"/>
        <v>1086.5</v>
      </c>
      <c r="AJ1400" s="347">
        <f t="shared" ca="1" si="1133"/>
        <v>1087.75</v>
      </c>
      <c r="AK1400" s="347">
        <f t="shared" ca="1" si="1133"/>
        <v>1089</v>
      </c>
      <c r="AL1400" s="347">
        <f t="shared" ca="1" si="1133"/>
        <v>1091</v>
      </c>
      <c r="AM1400" s="651"/>
      <c r="AN1400" s="322"/>
      <c r="AO1400" s="322"/>
      <c r="AP1400" s="322"/>
      <c r="AQ1400" s="322"/>
      <c r="AR1400" s="322"/>
      <c r="AS1400" s="322"/>
      <c r="AT1400" s="322"/>
      <c r="AU1400" s="322"/>
      <c r="AV1400" s="322"/>
      <c r="AW1400" s="322"/>
      <c r="AX1400" s="322"/>
      <c r="AY1400" s="322"/>
      <c r="AZ1400" s="322"/>
      <c r="BA1400" s="322"/>
      <c r="BB1400" s="322"/>
    </row>
    <row r="1401" spans="1:54" s="83" customFormat="1">
      <c r="A1401" s="341"/>
      <c r="B1401" s="341"/>
      <c r="C1401" s="341"/>
      <c r="D1401" s="367" t="s">
        <v>877</v>
      </c>
      <c r="E1401" s="367"/>
      <c r="F1401" s="358"/>
      <c r="G1401" s="128"/>
      <c r="H1401" s="128"/>
      <c r="I1401" s="128"/>
      <c r="J1401" s="128"/>
      <c r="K1401" s="128"/>
      <c r="L1401" s="345"/>
      <c r="M1401" s="345"/>
      <c r="N1401" s="345"/>
      <c r="O1401" s="345"/>
      <c r="P1401" s="128"/>
      <c r="Q1401" s="345"/>
      <c r="R1401" s="345"/>
      <c r="S1401" s="345"/>
      <c r="T1401" s="345"/>
      <c r="U1401" s="259"/>
      <c r="V1401" s="345"/>
      <c r="W1401" s="345"/>
      <c r="X1401" s="345"/>
      <c r="Y1401" s="345"/>
      <c r="Z1401" s="1050">
        <f ca="1">Z1277</f>
        <v>-1</v>
      </c>
      <c r="AA1401" s="345"/>
      <c r="AB1401" s="345"/>
      <c r="AC1401" s="345"/>
      <c r="AD1401" s="345"/>
      <c r="AE1401" s="208">
        <f ca="1">AE1277</f>
        <v>0</v>
      </c>
      <c r="AF1401" s="208">
        <f ca="1">AF1277</f>
        <v>0</v>
      </c>
      <c r="AG1401" s="208">
        <f t="shared" ref="AG1401:AL1401" ca="1" si="1134">AG1277</f>
        <v>-0.75</v>
      </c>
      <c r="AH1401" s="208">
        <f t="shared" ca="1" si="1134"/>
        <v>-0.75</v>
      </c>
      <c r="AI1401" s="208">
        <f t="shared" ca="1" si="1134"/>
        <v>-0.75</v>
      </c>
      <c r="AJ1401" s="208">
        <f t="shared" ca="1" si="1134"/>
        <v>-0.75</v>
      </c>
      <c r="AK1401" s="208">
        <f t="shared" ca="1" si="1134"/>
        <v>0</v>
      </c>
      <c r="AL1401" s="208">
        <f t="shared" ca="1" si="1134"/>
        <v>0</v>
      </c>
      <c r="AM1401" s="651"/>
      <c r="AN1401" s="322"/>
      <c r="AO1401" s="322"/>
      <c r="AP1401" s="322"/>
      <c r="AQ1401" s="322"/>
      <c r="AR1401" s="322"/>
      <c r="AS1401" s="322"/>
      <c r="AT1401" s="322"/>
      <c r="AU1401" s="322"/>
      <c r="AV1401" s="322"/>
      <c r="AW1401" s="322"/>
      <c r="AX1401" s="322"/>
      <c r="AY1401" s="322"/>
      <c r="AZ1401" s="322"/>
      <c r="BA1401" s="322"/>
      <c r="BB1401" s="322"/>
    </row>
    <row r="1402" spans="1:54" s="83" customFormat="1">
      <c r="A1402" s="341"/>
      <c r="B1402" s="341"/>
      <c r="C1402" s="341"/>
      <c r="D1402" s="367" t="s">
        <v>308</v>
      </c>
      <c r="E1402" s="367"/>
      <c r="F1402" s="358"/>
      <c r="G1402" s="128"/>
      <c r="H1402" s="128"/>
      <c r="I1402" s="128"/>
      <c r="J1402" s="128"/>
      <c r="K1402" s="128"/>
      <c r="L1402" s="345"/>
      <c r="M1402" s="345"/>
      <c r="N1402" s="345"/>
      <c r="O1402" s="345"/>
      <c r="P1402" s="128"/>
      <c r="Q1402" s="345"/>
      <c r="R1402" s="345"/>
      <c r="S1402" s="345"/>
      <c r="T1402" s="345"/>
      <c r="U1402" s="259"/>
      <c r="V1402" s="345"/>
      <c r="W1402" s="345"/>
      <c r="X1402" s="345"/>
      <c r="Y1402" s="345"/>
      <c r="Z1402" s="1052">
        <v>2</v>
      </c>
      <c r="AA1402" s="345"/>
      <c r="AB1402" s="345"/>
      <c r="AC1402" s="345"/>
      <c r="AD1402" s="345"/>
      <c r="AE1402" s="208">
        <f>Z1402</f>
        <v>2</v>
      </c>
      <c r="AF1402" s="208">
        <f>AE1402</f>
        <v>2</v>
      </c>
      <c r="AG1402" s="208">
        <f t="shared" ref="AG1402:AL1402" si="1135">AF1402</f>
        <v>2</v>
      </c>
      <c r="AH1402" s="208">
        <f t="shared" si="1135"/>
        <v>2</v>
      </c>
      <c r="AI1402" s="208">
        <f t="shared" si="1135"/>
        <v>2</v>
      </c>
      <c r="AJ1402" s="208">
        <f t="shared" si="1135"/>
        <v>2</v>
      </c>
      <c r="AK1402" s="208">
        <f t="shared" si="1135"/>
        <v>2</v>
      </c>
      <c r="AL1402" s="208">
        <f t="shared" si="1135"/>
        <v>2</v>
      </c>
      <c r="AM1402" s="651"/>
      <c r="AN1402" s="322"/>
      <c r="AO1402" s="322"/>
      <c r="AP1402" s="322"/>
      <c r="AQ1402" s="322"/>
      <c r="AR1402" s="322"/>
      <c r="AS1402" s="322"/>
      <c r="AT1402" s="322"/>
      <c r="AU1402" s="322"/>
      <c r="AV1402" s="322"/>
      <c r="AW1402" s="322"/>
      <c r="AX1402" s="322"/>
      <c r="AY1402" s="322"/>
      <c r="AZ1402" s="322"/>
      <c r="BA1402" s="322"/>
      <c r="BB1402" s="322"/>
    </row>
    <row r="1403" spans="1:54" s="83" customFormat="1">
      <c r="A1403" s="341"/>
      <c r="B1403" s="341"/>
      <c r="C1403" s="341"/>
      <c r="D1403" s="367" t="s">
        <v>246</v>
      </c>
      <c r="E1403" s="367"/>
      <c r="F1403" s="358"/>
      <c r="G1403" s="347">
        <f t="shared" ref="G1403:P1403" si="1136">G1487</f>
        <v>24</v>
      </c>
      <c r="H1403" s="347">
        <f t="shared" si="1136"/>
        <v>32</v>
      </c>
      <c r="I1403" s="347">
        <f t="shared" si="1136"/>
        <v>1017</v>
      </c>
      <c r="J1403" s="347">
        <f t="shared" si="1136"/>
        <v>1012</v>
      </c>
      <c r="K1403" s="347">
        <f t="shared" si="1136"/>
        <v>943</v>
      </c>
      <c r="L1403" s="348"/>
      <c r="M1403" s="348"/>
      <c r="N1403" s="348"/>
      <c r="O1403" s="348"/>
      <c r="P1403" s="347">
        <f t="shared" si="1136"/>
        <v>1071</v>
      </c>
      <c r="Q1403" s="348"/>
      <c r="R1403" s="348"/>
      <c r="S1403" s="348"/>
      <c r="T1403" s="348"/>
      <c r="U1403" s="347">
        <f>U1487</f>
        <v>1079</v>
      </c>
      <c r="V1403" s="348"/>
      <c r="W1403" s="348"/>
      <c r="X1403" s="348"/>
      <c r="Y1403" s="348"/>
      <c r="Z1403" s="347">
        <f ca="1">Z1400+Z1401+Z1402</f>
        <v>1080</v>
      </c>
      <c r="AA1403" s="348"/>
      <c r="AB1403" s="348"/>
      <c r="AC1403" s="348"/>
      <c r="AD1403" s="348"/>
      <c r="AE1403" s="347">
        <f ca="1">AE1400+AE1401+AE1402</f>
        <v>1082</v>
      </c>
      <c r="AF1403" s="347">
        <f ca="1">AF1400+AF1401+AF1402</f>
        <v>1084</v>
      </c>
      <c r="AG1403" s="347">
        <f t="shared" ref="AG1403:AL1403" ca="1" si="1137">AG1400+AG1401+AG1402</f>
        <v>1085.25</v>
      </c>
      <c r="AH1403" s="347">
        <f t="shared" ca="1" si="1137"/>
        <v>1086.5</v>
      </c>
      <c r="AI1403" s="347">
        <f t="shared" ca="1" si="1137"/>
        <v>1087.75</v>
      </c>
      <c r="AJ1403" s="347">
        <f t="shared" ca="1" si="1137"/>
        <v>1089</v>
      </c>
      <c r="AK1403" s="347">
        <f t="shared" ca="1" si="1137"/>
        <v>1091</v>
      </c>
      <c r="AL1403" s="347">
        <f t="shared" ca="1" si="1137"/>
        <v>1093</v>
      </c>
      <c r="AM1403" s="651"/>
      <c r="AN1403" s="322"/>
      <c r="AO1403" s="322"/>
      <c r="AP1403" s="322"/>
      <c r="AQ1403" s="322"/>
      <c r="AR1403" s="322"/>
      <c r="AS1403" s="322"/>
      <c r="AT1403" s="322"/>
      <c r="AU1403" s="322"/>
      <c r="AV1403" s="322"/>
      <c r="AW1403" s="322"/>
      <c r="AX1403" s="322"/>
      <c r="AY1403" s="322"/>
      <c r="AZ1403" s="322"/>
      <c r="BA1403" s="322"/>
      <c r="BB1403" s="322"/>
    </row>
    <row r="1404" spans="1:54" s="83" customFormat="1">
      <c r="A1404" s="341"/>
      <c r="B1404" s="341"/>
      <c r="C1404" s="341"/>
      <c r="D1404" s="367"/>
      <c r="E1404" s="367"/>
      <c r="F1404" s="358"/>
      <c r="G1404" s="128"/>
      <c r="H1404" s="128"/>
      <c r="I1404" s="128"/>
      <c r="J1404" s="128"/>
      <c r="K1404" s="128"/>
      <c r="L1404" s="345"/>
      <c r="M1404" s="345"/>
      <c r="N1404" s="345"/>
      <c r="O1404" s="345"/>
      <c r="P1404" s="128"/>
      <c r="Q1404" s="345"/>
      <c r="R1404" s="345"/>
      <c r="S1404" s="345"/>
      <c r="T1404" s="345"/>
      <c r="U1404" s="128"/>
      <c r="V1404" s="345"/>
      <c r="W1404" s="345"/>
      <c r="X1404" s="345"/>
      <c r="Y1404" s="345"/>
      <c r="Z1404" s="128"/>
      <c r="AA1404" s="345"/>
      <c r="AB1404" s="345"/>
      <c r="AC1404" s="345"/>
      <c r="AD1404" s="345"/>
      <c r="AE1404" s="128"/>
      <c r="AF1404" s="129"/>
      <c r="AG1404" s="129"/>
      <c r="AH1404" s="129"/>
      <c r="AI1404" s="129"/>
      <c r="AJ1404" s="129"/>
      <c r="AK1404" s="223"/>
      <c r="AL1404" s="322"/>
      <c r="AM1404" s="651"/>
      <c r="AN1404" s="322"/>
      <c r="AO1404" s="322"/>
      <c r="AP1404" s="322"/>
      <c r="AQ1404" s="322"/>
      <c r="AR1404" s="322"/>
      <c r="AS1404" s="322"/>
      <c r="AT1404" s="322"/>
      <c r="AU1404" s="322"/>
      <c r="AV1404" s="322"/>
      <c r="AW1404" s="322"/>
      <c r="AX1404" s="322"/>
      <c r="AY1404" s="322"/>
      <c r="AZ1404" s="322"/>
      <c r="BA1404" s="322"/>
      <c r="BB1404" s="322"/>
    </row>
    <row r="1405" spans="1:54" s="83" customFormat="1">
      <c r="A1405" s="341"/>
      <c r="B1405" s="341"/>
      <c r="C1405" s="341"/>
      <c r="D1405" s="367"/>
      <c r="E1405" s="367"/>
      <c r="F1405" s="358"/>
      <c r="G1405" s="128"/>
      <c r="H1405" s="128"/>
      <c r="I1405" s="128"/>
      <c r="J1405" s="128"/>
      <c r="K1405" s="128"/>
      <c r="L1405" s="345"/>
      <c r="M1405" s="345"/>
      <c r="N1405" s="345"/>
      <c r="O1405" s="345"/>
      <c r="P1405" s="128"/>
      <c r="Q1405" s="345"/>
      <c r="R1405" s="345"/>
      <c r="S1405" s="345"/>
      <c r="T1405" s="345"/>
      <c r="U1405" s="128"/>
      <c r="V1405" s="345"/>
      <c r="W1405" s="345"/>
      <c r="X1405" s="345"/>
      <c r="Y1405" s="345"/>
      <c r="Z1405" s="128"/>
      <c r="AA1405" s="345"/>
      <c r="AB1405" s="345"/>
      <c r="AC1405" s="345"/>
      <c r="AD1405" s="345"/>
      <c r="AE1405" s="128"/>
      <c r="AF1405" s="129"/>
      <c r="AG1405" s="129"/>
      <c r="AH1405" s="129"/>
      <c r="AI1405" s="129"/>
      <c r="AJ1405" s="129"/>
      <c r="AK1405" s="223"/>
      <c r="AL1405" s="322"/>
      <c r="AM1405" s="651"/>
      <c r="AN1405" s="322"/>
      <c r="AO1405" s="322"/>
      <c r="AP1405" s="322"/>
      <c r="AQ1405" s="322"/>
      <c r="AR1405" s="322"/>
      <c r="AS1405" s="322"/>
      <c r="AT1405" s="322"/>
      <c r="AU1405" s="322"/>
      <c r="AV1405" s="322"/>
      <c r="AW1405" s="322"/>
      <c r="AX1405" s="322"/>
      <c r="AY1405" s="322"/>
      <c r="AZ1405" s="322"/>
      <c r="BA1405" s="322"/>
      <c r="BB1405" s="322"/>
    </row>
    <row r="1406" spans="1:54" s="83" customFormat="1">
      <c r="A1406" s="341"/>
      <c r="B1406" s="341"/>
      <c r="C1406" s="341"/>
      <c r="D1406" s="367"/>
      <c r="E1406" s="367"/>
      <c r="F1406" s="358"/>
      <c r="G1406" s="128"/>
      <c r="H1406" s="128"/>
      <c r="I1406" s="128"/>
      <c r="J1406" s="128"/>
      <c r="K1406" s="128"/>
      <c r="L1406" s="345"/>
      <c r="M1406" s="345"/>
      <c r="N1406" s="345"/>
      <c r="O1406" s="345"/>
      <c r="P1406" s="128"/>
      <c r="Q1406" s="345"/>
      <c r="R1406" s="345"/>
      <c r="S1406" s="345"/>
      <c r="T1406" s="345"/>
      <c r="U1406" s="128"/>
      <c r="V1406" s="345"/>
      <c r="W1406" s="345"/>
      <c r="X1406" s="345"/>
      <c r="Y1406" s="345"/>
      <c r="Z1406" s="128"/>
      <c r="AA1406" s="345"/>
      <c r="AB1406" s="345"/>
      <c r="AC1406" s="345"/>
      <c r="AD1406" s="345"/>
      <c r="AE1406" s="128"/>
      <c r="AF1406" s="129"/>
      <c r="AG1406" s="129"/>
      <c r="AH1406" s="129"/>
      <c r="AI1406" s="129"/>
      <c r="AJ1406" s="129"/>
      <c r="AK1406" s="223"/>
      <c r="AL1406" s="322"/>
      <c r="AM1406" s="651"/>
      <c r="AN1406" s="322"/>
      <c r="AO1406" s="322"/>
      <c r="AP1406" s="322"/>
      <c r="AQ1406" s="322"/>
      <c r="AR1406" s="322"/>
      <c r="AS1406" s="322"/>
      <c r="AT1406" s="322"/>
      <c r="AU1406" s="322"/>
      <c r="AV1406" s="322"/>
      <c r="AW1406" s="322"/>
      <c r="AX1406" s="322"/>
      <c r="AY1406" s="322"/>
      <c r="AZ1406" s="322"/>
      <c r="BA1406" s="322"/>
      <c r="BB1406" s="322"/>
    </row>
    <row r="1407" spans="1:54" s="83" customFormat="1">
      <c r="A1407" s="341"/>
      <c r="B1407" s="341"/>
      <c r="C1407" s="341"/>
      <c r="F1407" s="358"/>
      <c r="G1407" s="128"/>
      <c r="H1407" s="128"/>
      <c r="I1407" s="128"/>
      <c r="J1407" s="128"/>
      <c r="K1407" s="128"/>
      <c r="L1407" s="345"/>
      <c r="M1407" s="345"/>
      <c r="N1407" s="345"/>
      <c r="O1407" s="345"/>
      <c r="P1407" s="128"/>
      <c r="Q1407" s="345"/>
      <c r="R1407" s="345"/>
      <c r="S1407" s="345"/>
      <c r="T1407" s="345"/>
      <c r="U1407" s="128"/>
      <c r="V1407" s="345"/>
      <c r="W1407" s="345"/>
      <c r="X1407" s="345"/>
      <c r="Y1407" s="345"/>
      <c r="Z1407" s="128"/>
      <c r="AA1407" s="345"/>
      <c r="AB1407" s="345"/>
      <c r="AC1407" s="345"/>
      <c r="AD1407" s="345"/>
      <c r="AE1407" s="128"/>
      <c r="AF1407" s="129"/>
      <c r="AG1407" s="129"/>
      <c r="AH1407" s="129"/>
      <c r="AI1407" s="129"/>
      <c r="AJ1407" s="129"/>
      <c r="AK1407" s="223"/>
      <c r="AL1407" s="322"/>
      <c r="AM1407" s="651"/>
      <c r="AN1407" s="322"/>
      <c r="AO1407" s="322"/>
      <c r="AP1407" s="322"/>
      <c r="AQ1407" s="322"/>
      <c r="AR1407" s="322"/>
      <c r="AS1407" s="322"/>
      <c r="AT1407" s="322"/>
      <c r="AU1407" s="322"/>
      <c r="AV1407" s="322"/>
      <c r="AW1407" s="322"/>
      <c r="AX1407" s="322"/>
      <c r="AY1407" s="322"/>
      <c r="AZ1407" s="322"/>
      <c r="BA1407" s="322"/>
      <c r="BB1407" s="322"/>
    </row>
    <row r="1408" spans="1:54" s="83" customFormat="1">
      <c r="A1408" s="341"/>
      <c r="B1408" s="341"/>
      <c r="C1408" s="341"/>
      <c r="D1408" s="366" t="s">
        <v>298</v>
      </c>
      <c r="E1408" s="366"/>
      <c r="F1408" s="358"/>
      <c r="G1408" s="128"/>
      <c r="H1408" s="128"/>
      <c r="I1408" s="128"/>
      <c r="J1408" s="128"/>
      <c r="K1408" s="128"/>
      <c r="L1408" s="345"/>
      <c r="M1408" s="345"/>
      <c r="N1408" s="345"/>
      <c r="O1408" s="345"/>
      <c r="P1408" s="128"/>
      <c r="Q1408" s="345"/>
      <c r="R1408" s="345"/>
      <c r="S1408" s="345"/>
      <c r="T1408" s="345"/>
      <c r="U1408" s="128"/>
      <c r="V1408" s="345"/>
      <c r="W1408" s="345"/>
      <c r="X1408" s="345"/>
      <c r="Y1408" s="345"/>
      <c r="Z1408" s="128"/>
      <c r="AA1408" s="345"/>
      <c r="AB1408" s="345"/>
      <c r="AC1408" s="345"/>
      <c r="AD1408" s="345"/>
      <c r="AE1408" s="128"/>
      <c r="AF1408" s="129"/>
      <c r="AG1408" s="129"/>
      <c r="AH1408" s="129"/>
      <c r="AI1408" s="129"/>
      <c r="AJ1408" s="129"/>
      <c r="AK1408" s="223"/>
      <c r="AL1408" s="322"/>
      <c r="AM1408" s="651"/>
      <c r="AN1408" s="322"/>
      <c r="AO1408" s="322"/>
      <c r="AP1408" s="322"/>
      <c r="AQ1408" s="322"/>
      <c r="AR1408" s="322"/>
      <c r="AS1408" s="322"/>
      <c r="AT1408" s="322"/>
      <c r="AU1408" s="322"/>
      <c r="AV1408" s="322"/>
      <c r="AW1408" s="322"/>
      <c r="AX1408" s="322"/>
      <c r="AY1408" s="322"/>
      <c r="AZ1408" s="322"/>
      <c r="BA1408" s="322"/>
      <c r="BB1408" s="322"/>
    </row>
    <row r="1409" spans="1:54" s="83" customFormat="1">
      <c r="A1409" s="341"/>
      <c r="B1409" s="341"/>
      <c r="C1409" s="341"/>
      <c r="D1409" s="367" t="s">
        <v>299</v>
      </c>
      <c r="E1409" s="367"/>
      <c r="F1409" s="358"/>
      <c r="G1409" s="128"/>
      <c r="H1409" s="347">
        <f>G1412</f>
        <v>27811</v>
      </c>
      <c r="I1409" s="347">
        <f>H1412</f>
        <v>28925</v>
      </c>
      <c r="J1409" s="347">
        <f>I1412</f>
        <v>26791</v>
      </c>
      <c r="K1409" s="347">
        <f>J1412</f>
        <v>27595</v>
      </c>
      <c r="L1409" s="348"/>
      <c r="M1409" s="348"/>
      <c r="N1409" s="348"/>
      <c r="O1409" s="348"/>
      <c r="P1409" s="347">
        <f>K1412</f>
        <v>29045</v>
      </c>
      <c r="Q1409" s="348"/>
      <c r="R1409" s="348"/>
      <c r="S1409" s="348"/>
      <c r="T1409" s="348"/>
      <c r="U1409" s="347">
        <f>P1412</f>
        <v>31050</v>
      </c>
      <c r="V1409" s="348"/>
      <c r="W1409" s="348"/>
      <c r="X1409" s="348"/>
      <c r="Y1409" s="348"/>
      <c r="Z1409" s="347">
        <f>U1412</f>
        <v>31355</v>
      </c>
      <c r="AA1409" s="348"/>
      <c r="AB1409" s="348"/>
      <c r="AC1409" s="348"/>
      <c r="AD1409" s="348"/>
      <c r="AE1409" s="347">
        <f ca="1">Z1412</f>
        <v>33487</v>
      </c>
      <c r="AF1409" s="347">
        <f ca="1">AE1412</f>
        <v>35884.453101975072</v>
      </c>
      <c r="AG1409" s="347">
        <f t="shared" ref="AG1409:AL1409" ca="1" si="1138">AF1412</f>
        <v>36623.790814344036</v>
      </c>
      <c r="AH1409" s="347">
        <f t="shared" ca="1" si="1138"/>
        <v>36801.560181389264</v>
      </c>
      <c r="AI1409" s="347">
        <f t="shared" ca="1" si="1138"/>
        <v>36945.656237504816</v>
      </c>
      <c r="AJ1409" s="347">
        <f t="shared" ca="1" si="1138"/>
        <v>37043.853013044834</v>
      </c>
      <c r="AK1409" s="347">
        <f t="shared" ca="1" si="1138"/>
        <v>37126.222450455352</v>
      </c>
      <c r="AL1409" s="347">
        <f t="shared" ca="1" si="1138"/>
        <v>37429.811156667471</v>
      </c>
      <c r="AM1409" s="651"/>
      <c r="AN1409" s="322"/>
      <c r="AO1409" s="322"/>
      <c r="AP1409" s="322"/>
      <c r="AQ1409" s="322"/>
      <c r="AR1409" s="322"/>
      <c r="AS1409" s="322"/>
      <c r="AT1409" s="322"/>
      <c r="AU1409" s="322"/>
      <c r="AV1409" s="322"/>
      <c r="AW1409" s="322"/>
      <c r="AX1409" s="322"/>
      <c r="AY1409" s="322"/>
      <c r="AZ1409" s="322"/>
      <c r="BA1409" s="322"/>
      <c r="BB1409" s="322"/>
    </row>
    <row r="1410" spans="1:54" s="83" customFormat="1">
      <c r="A1410" s="341"/>
      <c r="B1410" s="341"/>
      <c r="C1410" s="341"/>
      <c r="D1410" s="367" t="s">
        <v>300</v>
      </c>
      <c r="E1410" s="367"/>
      <c r="F1410" s="358"/>
      <c r="G1410" s="128"/>
      <c r="H1410" s="347"/>
      <c r="I1410" s="128"/>
      <c r="J1410" s="128"/>
      <c r="K1410" s="347"/>
      <c r="L1410" s="345"/>
      <c r="M1410" s="345"/>
      <c r="N1410" s="345"/>
      <c r="O1410" s="345"/>
      <c r="P1410" s="347"/>
      <c r="Q1410" s="345"/>
      <c r="R1410" s="345"/>
      <c r="S1410" s="345"/>
      <c r="T1410" s="345"/>
      <c r="U1410" s="347"/>
      <c r="V1410" s="345"/>
      <c r="W1410" s="345"/>
      <c r="X1410" s="345"/>
      <c r="Y1410" s="345"/>
      <c r="Z1410" s="347">
        <f>Z1546</f>
        <v>3622</v>
      </c>
      <c r="AA1410" s="345"/>
      <c r="AB1410" s="345"/>
      <c r="AC1410" s="345"/>
      <c r="AD1410" s="345"/>
      <c r="AE1410" s="347">
        <f t="shared" ref="AE1410:AL1410" si="1139">AE1546</f>
        <v>3904</v>
      </c>
      <c r="AF1410" s="347">
        <f t="shared" si="1139"/>
        <v>2381</v>
      </c>
      <c r="AG1410" s="347">
        <f t="shared" si="1139"/>
        <v>1881</v>
      </c>
      <c r="AH1410" s="347">
        <f t="shared" si="1139"/>
        <v>1881</v>
      </c>
      <c r="AI1410" s="347">
        <f t="shared" si="1139"/>
        <v>1881</v>
      </c>
      <c r="AJ1410" s="347">
        <f t="shared" si="1139"/>
        <v>1881</v>
      </c>
      <c r="AK1410" s="347">
        <f t="shared" si="1139"/>
        <v>2102.2192688015966</v>
      </c>
      <c r="AL1410" s="347">
        <f t="shared" si="1139"/>
        <v>2102.2192688015966</v>
      </c>
      <c r="AM1410" s="651"/>
      <c r="AN1410" s="322"/>
      <c r="AO1410" s="322"/>
      <c r="AP1410" s="322"/>
      <c r="AQ1410" s="322"/>
      <c r="AR1410" s="322"/>
      <c r="AS1410" s="322"/>
      <c r="AT1410" s="322"/>
      <c r="AU1410" s="322"/>
      <c r="AV1410" s="322"/>
      <c r="AW1410" s="322"/>
      <c r="AX1410" s="322"/>
      <c r="AY1410" s="322"/>
      <c r="AZ1410" s="322"/>
      <c r="BA1410" s="322"/>
      <c r="BB1410" s="322"/>
    </row>
    <row r="1411" spans="1:54" s="83" customFormat="1">
      <c r="A1411" s="341"/>
      <c r="B1411" s="341"/>
      <c r="C1411" s="341"/>
      <c r="D1411" s="367" t="s">
        <v>301</v>
      </c>
      <c r="E1411" s="367"/>
      <c r="F1411" s="358"/>
      <c r="G1411" s="128"/>
      <c r="H1411" s="130"/>
      <c r="I1411" s="128"/>
      <c r="J1411" s="128"/>
      <c r="K1411" s="130"/>
      <c r="L1411" s="345"/>
      <c r="M1411" s="345"/>
      <c r="N1411" s="345"/>
      <c r="O1411" s="345"/>
      <c r="P1411" s="130"/>
      <c r="Q1411" s="345"/>
      <c r="R1411" s="345"/>
      <c r="S1411" s="345"/>
      <c r="T1411" s="345"/>
      <c r="U1411" s="130"/>
      <c r="V1411" s="345"/>
      <c r="W1411" s="345"/>
      <c r="X1411" s="345"/>
      <c r="Y1411" s="345"/>
      <c r="Z1411" s="130">
        <f ca="1">Z1416</f>
        <v>-1497</v>
      </c>
      <c r="AA1411" s="345"/>
      <c r="AB1411" s="345"/>
      <c r="AC1411" s="345"/>
      <c r="AD1411" s="345"/>
      <c r="AE1411" s="130">
        <f ca="1">AE1416</f>
        <v>-1580.5468980249252</v>
      </c>
      <c r="AF1411" s="130">
        <f ca="1">AF1416</f>
        <v>-1638.6622876310332</v>
      </c>
      <c r="AG1411" s="130">
        <f t="shared" ref="AG1411:AL1411" ca="1" si="1140">AG1416</f>
        <v>-1700.2306329547741</v>
      </c>
      <c r="AH1411" s="130">
        <f t="shared" ca="1" si="1140"/>
        <v>-1733.9039438844452</v>
      </c>
      <c r="AI1411" s="130">
        <f t="shared" ca="1" si="1140"/>
        <v>-1779.8032244599847</v>
      </c>
      <c r="AJ1411" s="130">
        <f t="shared" ca="1" si="1140"/>
        <v>-1795.6305625894813</v>
      </c>
      <c r="AK1411" s="130">
        <f t="shared" ca="1" si="1140"/>
        <v>-1795.6305625894813</v>
      </c>
      <c r="AL1411" s="130">
        <f t="shared" ca="1" si="1140"/>
        <v>-1795.6305625894813</v>
      </c>
      <c r="AM1411" s="651"/>
      <c r="AN1411" s="322"/>
      <c r="AO1411" s="322"/>
      <c r="AP1411" s="322"/>
      <c r="AQ1411" s="322"/>
      <c r="AR1411" s="322"/>
      <c r="AS1411" s="322"/>
      <c r="AT1411" s="322"/>
      <c r="AU1411" s="322"/>
      <c r="AV1411" s="322"/>
      <c r="AW1411" s="322"/>
      <c r="AX1411" s="322"/>
      <c r="AY1411" s="322"/>
      <c r="AZ1411" s="322"/>
      <c r="BA1411" s="322"/>
      <c r="BB1411" s="322"/>
    </row>
    <row r="1412" spans="1:54" s="83" customFormat="1">
      <c r="A1412" s="341"/>
      <c r="B1412" s="341"/>
      <c r="C1412" s="341"/>
      <c r="D1412" s="367" t="s">
        <v>246</v>
      </c>
      <c r="E1412" s="367"/>
      <c r="F1412" s="358"/>
      <c r="G1412" s="347">
        <f t="shared" ref="G1412:P1412" si="1141">G1488</f>
        <v>27811</v>
      </c>
      <c r="H1412" s="347">
        <f t="shared" si="1141"/>
        <v>28925</v>
      </c>
      <c r="I1412" s="347">
        <f t="shared" si="1141"/>
        <v>26791</v>
      </c>
      <c r="J1412" s="347">
        <f t="shared" si="1141"/>
        <v>27595</v>
      </c>
      <c r="K1412" s="347">
        <f t="shared" si="1141"/>
        <v>29045</v>
      </c>
      <c r="L1412" s="348"/>
      <c r="M1412" s="348"/>
      <c r="N1412" s="348"/>
      <c r="O1412" s="348"/>
      <c r="P1412" s="347">
        <f t="shared" si="1141"/>
        <v>31050</v>
      </c>
      <c r="Q1412" s="348"/>
      <c r="R1412" s="348"/>
      <c r="S1412" s="348"/>
      <c r="T1412" s="348"/>
      <c r="U1412" s="347">
        <f>U1488</f>
        <v>31355</v>
      </c>
      <c r="V1412" s="348"/>
      <c r="W1412" s="348"/>
      <c r="X1412" s="348"/>
      <c r="Y1412" s="348"/>
      <c r="Z1412" s="347">
        <f ca="1">Z1409+Z1410+Z1411</f>
        <v>33487</v>
      </c>
      <c r="AA1412" s="348"/>
      <c r="AB1412" s="348"/>
      <c r="AC1412" s="348"/>
      <c r="AD1412" s="348"/>
      <c r="AE1412" s="347">
        <f ca="1">AE1409+AE1410+AE1411</f>
        <v>35884.453101975072</v>
      </c>
      <c r="AF1412" s="347">
        <f ca="1">AF1409+AF1410+AF1411</f>
        <v>36623.790814344036</v>
      </c>
      <c r="AG1412" s="347">
        <f t="shared" ref="AG1412:AL1412" ca="1" si="1142">AG1409+AG1410+AG1411</f>
        <v>36801.560181389264</v>
      </c>
      <c r="AH1412" s="347">
        <f t="shared" ca="1" si="1142"/>
        <v>36945.656237504816</v>
      </c>
      <c r="AI1412" s="347">
        <f t="shared" ca="1" si="1142"/>
        <v>37043.853013044834</v>
      </c>
      <c r="AJ1412" s="347">
        <f t="shared" ca="1" si="1142"/>
        <v>37126.222450455352</v>
      </c>
      <c r="AK1412" s="347">
        <f t="shared" ca="1" si="1142"/>
        <v>37429.811156667471</v>
      </c>
      <c r="AL1412" s="347">
        <f t="shared" ca="1" si="1142"/>
        <v>37733.399862879589</v>
      </c>
      <c r="AM1412" s="651"/>
      <c r="AN1412" s="322"/>
      <c r="AO1412" s="322"/>
      <c r="AP1412" s="322"/>
      <c r="AQ1412" s="322"/>
      <c r="AR1412" s="322"/>
      <c r="AS1412" s="322"/>
      <c r="AT1412" s="322"/>
      <c r="AU1412" s="322"/>
      <c r="AV1412" s="322"/>
      <c r="AW1412" s="322"/>
      <c r="AX1412" s="322"/>
      <c r="AY1412" s="322"/>
      <c r="AZ1412" s="322"/>
      <c r="BA1412" s="322"/>
      <c r="BB1412" s="322"/>
    </row>
    <row r="1413" spans="1:54" s="83" customFormat="1">
      <c r="A1413" s="341"/>
      <c r="B1413" s="341"/>
      <c r="C1413" s="341"/>
      <c r="D1413" s="367"/>
      <c r="E1413" s="367"/>
      <c r="F1413" s="358"/>
      <c r="G1413" s="128"/>
      <c r="H1413" s="128"/>
      <c r="I1413" s="128"/>
      <c r="J1413" s="128"/>
      <c r="K1413" s="128"/>
      <c r="L1413" s="345"/>
      <c r="M1413" s="345"/>
      <c r="N1413" s="345"/>
      <c r="O1413" s="345"/>
      <c r="P1413" s="128"/>
      <c r="Q1413" s="345"/>
      <c r="R1413" s="345"/>
      <c r="S1413" s="345"/>
      <c r="T1413" s="345"/>
      <c r="U1413" s="128"/>
      <c r="V1413" s="345"/>
      <c r="W1413" s="345"/>
      <c r="X1413" s="345"/>
      <c r="Y1413" s="345"/>
      <c r="Z1413" s="128"/>
      <c r="AA1413" s="345"/>
      <c r="AB1413" s="345"/>
      <c r="AC1413" s="345"/>
      <c r="AD1413" s="345"/>
      <c r="AE1413" s="128"/>
      <c r="AF1413" s="129"/>
      <c r="AG1413" s="129"/>
      <c r="AH1413" s="129"/>
      <c r="AI1413" s="129"/>
      <c r="AJ1413" s="129"/>
      <c r="AK1413" s="129"/>
      <c r="AL1413" s="129"/>
      <c r="AM1413" s="651"/>
      <c r="AN1413" s="322"/>
      <c r="AO1413" s="322"/>
      <c r="AP1413" s="322"/>
      <c r="AQ1413" s="322"/>
      <c r="AR1413" s="322"/>
      <c r="AS1413" s="322"/>
      <c r="AT1413" s="322"/>
      <c r="AU1413" s="322"/>
      <c r="AV1413" s="322"/>
      <c r="AW1413" s="322"/>
      <c r="AX1413" s="322"/>
      <c r="AY1413" s="322"/>
      <c r="AZ1413" s="322"/>
      <c r="BA1413" s="322"/>
      <c r="BB1413" s="322"/>
    </row>
    <row r="1414" spans="1:54" s="83" customFormat="1">
      <c r="A1414" s="341"/>
      <c r="B1414" s="341"/>
      <c r="C1414" s="341"/>
      <c r="D1414" s="367" t="s">
        <v>302</v>
      </c>
      <c r="E1414" s="367"/>
      <c r="F1414" s="358"/>
      <c r="G1414" s="347">
        <f>G1546</f>
        <v>2602</v>
      </c>
      <c r="H1414" s="347">
        <f>H1546</f>
        <v>2213</v>
      </c>
      <c r="I1414" s="347">
        <f>I1546</f>
        <v>2244</v>
      </c>
      <c r="J1414" s="347">
        <f>J1546</f>
        <v>1893</v>
      </c>
      <c r="K1414" s="347">
        <f>K1546</f>
        <v>2299</v>
      </c>
      <c r="L1414" s="348"/>
      <c r="M1414" s="348"/>
      <c r="N1414" s="348"/>
      <c r="O1414" s="348"/>
      <c r="P1414" s="347">
        <f>P1546</f>
        <v>2613</v>
      </c>
      <c r="Q1414" s="348"/>
      <c r="R1414" s="348"/>
      <c r="S1414" s="348"/>
      <c r="T1414" s="348"/>
      <c r="U1414" s="347">
        <f>U1546</f>
        <v>3462</v>
      </c>
      <c r="V1414" s="348"/>
      <c r="W1414" s="348"/>
      <c r="X1414" s="348"/>
      <c r="Y1414" s="348"/>
      <c r="Z1414" s="347">
        <f>Z1546</f>
        <v>3622</v>
      </c>
      <c r="AA1414" s="348"/>
      <c r="AB1414" s="348"/>
      <c r="AC1414" s="348"/>
      <c r="AD1414" s="348"/>
      <c r="AE1414" s="347">
        <f>AE1546</f>
        <v>3904</v>
      </c>
      <c r="AF1414" s="347">
        <f>AF1546</f>
        <v>2381</v>
      </c>
      <c r="AG1414" s="347">
        <f t="shared" ref="AG1414:AL1414" si="1143">AG1546</f>
        <v>1881</v>
      </c>
      <c r="AH1414" s="347">
        <f t="shared" si="1143"/>
        <v>1881</v>
      </c>
      <c r="AI1414" s="347">
        <f t="shared" si="1143"/>
        <v>1881</v>
      </c>
      <c r="AJ1414" s="347">
        <f t="shared" si="1143"/>
        <v>1881</v>
      </c>
      <c r="AK1414" s="347">
        <f t="shared" si="1143"/>
        <v>2102.2192688015966</v>
      </c>
      <c r="AL1414" s="347">
        <f t="shared" si="1143"/>
        <v>2102.2192688015966</v>
      </c>
      <c r="AM1414" s="651"/>
      <c r="AN1414" s="322"/>
      <c r="AO1414" s="322"/>
      <c r="AP1414" s="322"/>
      <c r="AQ1414" s="322"/>
      <c r="AR1414" s="322"/>
      <c r="AS1414" s="322"/>
      <c r="AT1414" s="322"/>
      <c r="AU1414" s="322"/>
      <c r="AV1414" s="322"/>
      <c r="AW1414" s="322"/>
      <c r="AX1414" s="322"/>
      <c r="AY1414" s="322"/>
      <c r="AZ1414" s="322"/>
      <c r="BA1414" s="322"/>
      <c r="BB1414" s="322"/>
    </row>
    <row r="1415" spans="1:54" s="83" customFormat="1">
      <c r="A1415" s="341"/>
      <c r="B1415" s="341"/>
      <c r="C1415" s="341"/>
      <c r="D1415" s="367" t="s">
        <v>303</v>
      </c>
      <c r="E1415" s="367"/>
      <c r="F1415" s="358"/>
      <c r="G1415" s="352">
        <f>G1414/G1253</f>
        <v>0.2773395864421232</v>
      </c>
      <c r="H1415" s="352">
        <f>H1414/H1253</f>
        <v>0.25735550645423888</v>
      </c>
      <c r="I1415" s="352">
        <f>I1414/I1253</f>
        <v>0.27170359607700689</v>
      </c>
      <c r="J1415" s="352">
        <f>J1414/J1253</f>
        <v>0.2035483870967742</v>
      </c>
      <c r="K1415" s="352">
        <f>K1414/K1253</f>
        <v>0.19303106633081443</v>
      </c>
      <c r="L1415" s="353"/>
      <c r="M1415" s="353"/>
      <c r="N1415" s="353"/>
      <c r="O1415" s="353"/>
      <c r="P1415" s="352">
        <f>P1414/P1253</f>
        <v>0.2079751671442216</v>
      </c>
      <c r="Q1415" s="353"/>
      <c r="R1415" s="353"/>
      <c r="S1415" s="353"/>
      <c r="T1415" s="353"/>
      <c r="U1415" s="352">
        <f>U1414/U1253</f>
        <v>0.29009552538964306</v>
      </c>
      <c r="V1415" s="353"/>
      <c r="W1415" s="353"/>
      <c r="X1415" s="353"/>
      <c r="Y1415" s="353"/>
      <c r="Z1415" s="352">
        <f>Z1414/Z1253</f>
        <v>0.40478319177469824</v>
      </c>
      <c r="AA1415" s="353"/>
      <c r="AB1415" s="353"/>
      <c r="AC1415" s="353"/>
      <c r="AD1415" s="353"/>
      <c r="AE1415" s="352">
        <f>AE1414/AE1253</f>
        <v>0.34450512085087343</v>
      </c>
      <c r="AF1415" s="352">
        <f>AF1414/AF1253</f>
        <v>0.19934175893374423</v>
      </c>
      <c r="AG1415" s="352">
        <f t="shared" ref="AG1415:AL1415" si="1144">AG1414/AG1253</f>
        <v>0.1476976416576522</v>
      </c>
      <c r="AH1415" s="352">
        <f t="shared" si="1144"/>
        <v>0.13689966035725118</v>
      </c>
      <c r="AI1415" s="352">
        <f t="shared" si="1144"/>
        <v>0.13750541500485305</v>
      </c>
      <c r="AJ1415" s="352">
        <f t="shared" si="1144"/>
        <v>0.13893151454001354</v>
      </c>
      <c r="AK1415" s="352">
        <f t="shared" si="1144"/>
        <v>0.15527087023381481</v>
      </c>
      <c r="AL1415" s="352">
        <f t="shared" si="1144"/>
        <v>0.15527087023381481</v>
      </c>
      <c r="AM1415" s="651"/>
      <c r="AN1415" s="322"/>
      <c r="AO1415" s="322"/>
      <c r="AP1415" s="322"/>
      <c r="AQ1415" s="322"/>
      <c r="AR1415" s="322"/>
      <c r="AS1415" s="322"/>
      <c r="AT1415" s="322"/>
      <c r="AU1415" s="322"/>
      <c r="AV1415" s="322"/>
      <c r="AW1415" s="322"/>
      <c r="AX1415" s="322"/>
      <c r="AY1415" s="322"/>
      <c r="AZ1415" s="322"/>
      <c r="BA1415" s="322"/>
      <c r="BB1415" s="322"/>
    </row>
    <row r="1416" spans="1:54" s="83" customFormat="1">
      <c r="A1416" s="341"/>
      <c r="B1416" s="341"/>
      <c r="C1416" s="341"/>
      <c r="D1416" s="367" t="s">
        <v>177</v>
      </c>
      <c r="E1416" s="367"/>
      <c r="F1416" s="358"/>
      <c r="G1416" s="130">
        <f>G1259</f>
        <v>-1233</v>
      </c>
      <c r="H1416" s="130">
        <f>H1259</f>
        <v>-1344</v>
      </c>
      <c r="I1416" s="130">
        <f>I1259</f>
        <v>-1366</v>
      </c>
      <c r="J1416" s="130">
        <f>J1259</f>
        <v>-1385</v>
      </c>
      <c r="K1416" s="130">
        <f>K1259</f>
        <v>-1492</v>
      </c>
      <c r="L1416" s="368"/>
      <c r="M1416" s="368"/>
      <c r="N1416" s="368"/>
      <c r="O1416" s="368"/>
      <c r="P1416" s="130">
        <f>P1259</f>
        <v>-1483</v>
      </c>
      <c r="Q1416" s="368"/>
      <c r="R1416" s="368"/>
      <c r="S1416" s="368"/>
      <c r="T1416" s="368"/>
      <c r="U1416" s="130">
        <f>U1259</f>
        <v>-1619</v>
      </c>
      <c r="V1416" s="368"/>
      <c r="W1416" s="368"/>
      <c r="X1416" s="368"/>
      <c r="Y1416" s="368"/>
      <c r="Z1416" s="130">
        <f ca="1">Z1259</f>
        <v>-1497</v>
      </c>
      <c r="AA1416" s="368"/>
      <c r="AB1416" s="368"/>
      <c r="AC1416" s="368"/>
      <c r="AD1416" s="368"/>
      <c r="AE1416" s="130">
        <f ca="1">AE1259</f>
        <v>-1580.5468980249252</v>
      </c>
      <c r="AF1416" s="130">
        <f ca="1">AF1259</f>
        <v>-1638.6622876310332</v>
      </c>
      <c r="AG1416" s="130">
        <f t="shared" ref="AG1416:AL1416" ca="1" si="1145">AG1259</f>
        <v>-1700.2306329547741</v>
      </c>
      <c r="AH1416" s="130">
        <f t="shared" ca="1" si="1145"/>
        <v>-1733.9039438844452</v>
      </c>
      <c r="AI1416" s="130">
        <f t="shared" ca="1" si="1145"/>
        <v>-1779.8032244599847</v>
      </c>
      <c r="AJ1416" s="130">
        <f t="shared" ca="1" si="1145"/>
        <v>-1795.6305625894813</v>
      </c>
      <c r="AK1416" s="130">
        <f t="shared" ca="1" si="1145"/>
        <v>-1795.6305625894813</v>
      </c>
      <c r="AL1416" s="130">
        <f t="shared" ca="1" si="1145"/>
        <v>-1795.6305625894813</v>
      </c>
      <c r="AM1416" s="651"/>
      <c r="AN1416" s="322"/>
      <c r="AO1416" s="322"/>
      <c r="AP1416" s="322"/>
      <c r="AQ1416" s="322"/>
      <c r="AR1416" s="322"/>
      <c r="AS1416" s="322"/>
      <c r="AT1416" s="322"/>
      <c r="AU1416" s="322"/>
      <c r="AV1416" s="322"/>
      <c r="AW1416" s="322"/>
      <c r="AX1416" s="322"/>
      <c r="AY1416" s="322"/>
      <c r="AZ1416" s="322"/>
      <c r="BA1416" s="322"/>
      <c r="BB1416" s="322"/>
    </row>
    <row r="1417" spans="1:54" s="83" customFormat="1">
      <c r="A1417" s="341"/>
      <c r="B1417" s="341"/>
      <c r="C1417" s="341"/>
      <c r="D1417" s="367" t="s">
        <v>304</v>
      </c>
      <c r="E1417" s="367"/>
      <c r="F1417" s="358"/>
      <c r="G1417" s="352">
        <f>-G1416/G1414</f>
        <v>0.47386625672559568</v>
      </c>
      <c r="H1417" s="352">
        <f>-H1416/H1414</f>
        <v>0.60732037957523721</v>
      </c>
      <c r="I1417" s="352">
        <f>-I1416/I1414</f>
        <v>0.60873440285204994</v>
      </c>
      <c r="J1417" s="352">
        <f>-J1416/J1414</f>
        <v>0.73164289487585843</v>
      </c>
      <c r="K1417" s="352">
        <f>-K1416/K1414</f>
        <v>0.64897781644193131</v>
      </c>
      <c r="L1417" s="353"/>
      <c r="M1417" s="353"/>
      <c r="N1417" s="353"/>
      <c r="O1417" s="353"/>
      <c r="P1417" s="352">
        <f>-P1416/P1414</f>
        <v>0.56754688097971684</v>
      </c>
      <c r="Q1417" s="353"/>
      <c r="R1417" s="353"/>
      <c r="S1417" s="353"/>
      <c r="T1417" s="353"/>
      <c r="U1417" s="352">
        <f>-U1416/U1414</f>
        <v>0.46764875794338534</v>
      </c>
      <c r="V1417" s="353"/>
      <c r="W1417" s="353"/>
      <c r="X1417" s="353"/>
      <c r="Y1417" s="353"/>
      <c r="Z1417" s="352">
        <f ca="1">-Z1416/Z1414</f>
        <v>0.412510333425186</v>
      </c>
      <c r="AA1417" s="353"/>
      <c r="AB1417" s="353"/>
      <c r="AC1417" s="353"/>
      <c r="AD1417" s="353"/>
      <c r="AE1417" s="352">
        <f t="shared" ref="AE1417:AL1417" ca="1" si="1146">-AE1416/AE1414</f>
        <v>0.39732199548137886</v>
      </c>
      <c r="AF1417" s="352">
        <f t="shared" ca="1" si="1146"/>
        <v>0.68909263567326884</v>
      </c>
      <c r="AG1417" s="352">
        <f t="shared" ca="1" si="1146"/>
        <v>0.90534112510903841</v>
      </c>
      <c r="AH1417" s="352">
        <f t="shared" ca="1" si="1146"/>
        <v>0.92327153561472053</v>
      </c>
      <c r="AI1417" s="352">
        <f t="shared" ca="1" si="1146"/>
        <v>0.94771204710329326</v>
      </c>
      <c r="AJ1417" s="352">
        <f t="shared" ca="1" si="1146"/>
        <v>0.95613980968555978</v>
      </c>
      <c r="AK1417" s="352">
        <f t="shared" ca="1" si="1146"/>
        <v>0.85538018313569109</v>
      </c>
      <c r="AL1417" s="352">
        <f t="shared" ca="1" si="1146"/>
        <v>0.85538018313569109</v>
      </c>
      <c r="AM1417" s="651"/>
      <c r="AN1417" s="322"/>
      <c r="AO1417" s="322"/>
      <c r="AP1417" s="322"/>
      <c r="AQ1417" s="322"/>
      <c r="AR1417" s="322"/>
      <c r="AS1417" s="322"/>
      <c r="AT1417" s="322"/>
      <c r="AU1417" s="322"/>
      <c r="AV1417" s="322"/>
      <c r="AW1417" s="322"/>
      <c r="AX1417" s="322"/>
      <c r="AY1417" s="322"/>
      <c r="AZ1417" s="322"/>
      <c r="BA1417" s="322"/>
      <c r="BB1417" s="322"/>
    </row>
    <row r="1418" spans="1:54" s="83" customFormat="1">
      <c r="A1418" s="341"/>
      <c r="B1418" s="341"/>
      <c r="C1418" s="341"/>
      <c r="D1418" s="367"/>
      <c r="E1418" s="367"/>
      <c r="F1418" s="358"/>
      <c r="G1418" s="128"/>
      <c r="H1418" s="128"/>
      <c r="I1418" s="128"/>
      <c r="J1418" s="128"/>
      <c r="K1418" s="128"/>
      <c r="L1418" s="345"/>
      <c r="M1418" s="345"/>
      <c r="N1418" s="345"/>
      <c r="O1418" s="345"/>
      <c r="P1418" s="128"/>
      <c r="Q1418" s="345"/>
      <c r="R1418" s="345"/>
      <c r="S1418" s="345"/>
      <c r="T1418" s="345"/>
      <c r="U1418" s="128"/>
      <c r="V1418" s="345"/>
      <c r="W1418" s="345"/>
      <c r="X1418" s="345"/>
      <c r="Y1418" s="345"/>
      <c r="Z1418" s="128"/>
      <c r="AA1418" s="345"/>
      <c r="AB1418" s="345"/>
      <c r="AC1418" s="345"/>
      <c r="AD1418" s="345"/>
      <c r="AE1418" s="128"/>
      <c r="AF1418" s="129"/>
      <c r="AG1418" s="129"/>
      <c r="AH1418" s="129"/>
      <c r="AI1418" s="129"/>
      <c r="AJ1418" s="129"/>
      <c r="AK1418" s="223"/>
      <c r="AL1418" s="322"/>
      <c r="AM1418" s="651"/>
      <c r="AN1418" s="322"/>
      <c r="AO1418" s="322"/>
      <c r="AP1418" s="322"/>
      <c r="AQ1418" s="322"/>
      <c r="AR1418" s="322"/>
      <c r="AS1418" s="322"/>
      <c r="AT1418" s="322"/>
      <c r="AU1418" s="322"/>
      <c r="AV1418" s="322"/>
      <c r="AW1418" s="322"/>
      <c r="AX1418" s="322"/>
      <c r="AY1418" s="322"/>
      <c r="AZ1418" s="322"/>
      <c r="BA1418" s="322"/>
      <c r="BB1418" s="322"/>
    </row>
    <row r="1419" spans="1:54" s="83" customFormat="1">
      <c r="A1419" s="341"/>
      <c r="B1419" s="341"/>
      <c r="C1419" s="341"/>
      <c r="D1419" s="367"/>
      <c r="E1419" s="367"/>
      <c r="F1419" s="358"/>
      <c r="G1419" s="128"/>
      <c r="H1419" s="128"/>
      <c r="I1419" s="128"/>
      <c r="J1419" s="128"/>
      <c r="K1419" s="128"/>
      <c r="L1419" s="345"/>
      <c r="M1419" s="345"/>
      <c r="N1419" s="345"/>
      <c r="O1419" s="345"/>
      <c r="P1419" s="128"/>
      <c r="Q1419" s="345"/>
      <c r="R1419" s="345"/>
      <c r="S1419" s="345"/>
      <c r="T1419" s="345"/>
      <c r="U1419" s="128"/>
      <c r="V1419" s="345"/>
      <c r="W1419" s="345"/>
      <c r="X1419" s="345"/>
      <c r="Y1419" s="345"/>
      <c r="Z1419" s="128"/>
      <c r="AA1419" s="345"/>
      <c r="AB1419" s="345"/>
      <c r="AC1419" s="345"/>
      <c r="AD1419" s="345"/>
      <c r="AE1419" s="128"/>
      <c r="AF1419" s="129"/>
      <c r="AG1419" s="129"/>
      <c r="AH1419" s="129"/>
      <c r="AI1419" s="129"/>
      <c r="AJ1419" s="129"/>
      <c r="AK1419" s="223"/>
      <c r="AL1419" s="322"/>
      <c r="AM1419" s="651"/>
      <c r="AN1419" s="322"/>
      <c r="AO1419" s="322"/>
      <c r="AP1419" s="322"/>
      <c r="AQ1419" s="322"/>
      <c r="AR1419" s="322"/>
      <c r="AS1419" s="322"/>
      <c r="AT1419" s="322"/>
      <c r="AU1419" s="322"/>
      <c r="AV1419" s="322"/>
      <c r="AW1419" s="322"/>
      <c r="AX1419" s="322"/>
      <c r="AY1419" s="322"/>
      <c r="AZ1419" s="322"/>
      <c r="BA1419" s="322"/>
      <c r="BB1419" s="322"/>
    </row>
    <row r="1420" spans="1:54" s="83" customFormat="1">
      <c r="A1420" s="341"/>
      <c r="B1420" s="341"/>
      <c r="C1420" s="341"/>
      <c r="D1420" s="366" t="s">
        <v>311</v>
      </c>
      <c r="E1420" s="366"/>
      <c r="F1420" s="360"/>
      <c r="G1420" s="362"/>
      <c r="H1420" s="362"/>
      <c r="I1420" s="362"/>
      <c r="J1420" s="362"/>
      <c r="K1420" s="362"/>
      <c r="L1420" s="365"/>
      <c r="M1420" s="365"/>
      <c r="N1420" s="365"/>
      <c r="O1420" s="365"/>
      <c r="P1420" s="362"/>
      <c r="Q1420" s="365"/>
      <c r="R1420" s="365"/>
      <c r="S1420" s="365"/>
      <c r="T1420" s="365"/>
      <c r="U1420" s="362"/>
      <c r="V1420" s="365"/>
      <c r="W1420" s="365"/>
      <c r="X1420" s="365"/>
      <c r="Y1420" s="365"/>
      <c r="Z1420" s="362"/>
      <c r="AA1420" s="365"/>
      <c r="AB1420" s="365"/>
      <c r="AC1420" s="365"/>
      <c r="AD1420" s="365"/>
      <c r="AE1420" s="362"/>
      <c r="AF1420" s="343"/>
      <c r="AG1420" s="343"/>
      <c r="AH1420" s="343"/>
      <c r="AI1420" s="343"/>
      <c r="AJ1420" s="343"/>
      <c r="AK1420" s="223"/>
      <c r="AL1420" s="322"/>
      <c r="AM1420" s="651"/>
      <c r="AN1420" s="322"/>
      <c r="AO1420" s="322"/>
      <c r="AP1420" s="322"/>
      <c r="AQ1420" s="322"/>
      <c r="AR1420" s="322"/>
      <c r="AS1420" s="322"/>
      <c r="AT1420" s="322"/>
      <c r="AU1420" s="322"/>
      <c r="AV1420" s="322"/>
      <c r="AW1420" s="322"/>
      <c r="AX1420" s="322"/>
      <c r="AY1420" s="322"/>
      <c r="AZ1420" s="322"/>
      <c r="BA1420" s="322"/>
      <c r="BB1420" s="322"/>
    </row>
    <row r="1421" spans="1:54" s="83" customFormat="1">
      <c r="A1421" s="356"/>
      <c r="B1421" s="356"/>
      <c r="C1421" s="356"/>
      <c r="D1421" s="367" t="s">
        <v>299</v>
      </c>
      <c r="E1421" s="367"/>
      <c r="F1421" s="358"/>
      <c r="G1421" s="128"/>
      <c r="H1421" s="347">
        <f>G1423</f>
        <v>164</v>
      </c>
      <c r="I1421" s="347">
        <f>H1423</f>
        <v>361</v>
      </c>
      <c r="J1421" s="347">
        <f>I1423</f>
        <v>90</v>
      </c>
      <c r="K1421" s="347">
        <f>J1423</f>
        <v>112</v>
      </c>
      <c r="L1421" s="348"/>
      <c r="M1421" s="348"/>
      <c r="N1421" s="348"/>
      <c r="O1421" s="348"/>
      <c r="P1421" s="347">
        <f>K1423</f>
        <v>154</v>
      </c>
      <c r="Q1421" s="348"/>
      <c r="R1421" s="348"/>
      <c r="S1421" s="348"/>
      <c r="T1421" s="348"/>
      <c r="U1421" s="347">
        <f>P1423</f>
        <v>160</v>
      </c>
      <c r="V1421" s="348"/>
      <c r="W1421" s="348"/>
      <c r="X1421" s="348"/>
      <c r="Y1421" s="348"/>
      <c r="Z1421" s="347">
        <f>U1423</f>
        <v>211</v>
      </c>
      <c r="AA1421" s="348"/>
      <c r="AB1421" s="348"/>
      <c r="AC1421" s="348"/>
      <c r="AD1421" s="348"/>
      <c r="AE1421" s="347">
        <f>Z1423</f>
        <v>211</v>
      </c>
      <c r="AF1421" s="347">
        <f>AE1423</f>
        <v>211</v>
      </c>
      <c r="AG1421" s="347">
        <f t="shared" ref="AG1421:AL1421" si="1147">AF1423</f>
        <v>211</v>
      </c>
      <c r="AH1421" s="347">
        <f t="shared" si="1147"/>
        <v>211</v>
      </c>
      <c r="AI1421" s="347">
        <f t="shared" si="1147"/>
        <v>211</v>
      </c>
      <c r="AJ1421" s="347">
        <f t="shared" si="1147"/>
        <v>211</v>
      </c>
      <c r="AK1421" s="347">
        <f t="shared" si="1147"/>
        <v>211</v>
      </c>
      <c r="AL1421" s="347">
        <f t="shared" si="1147"/>
        <v>211</v>
      </c>
      <c r="AM1421" s="651"/>
      <c r="AN1421" s="322"/>
      <c r="AO1421" s="322"/>
      <c r="AP1421" s="322"/>
      <c r="AQ1421" s="322"/>
      <c r="AR1421" s="322"/>
      <c r="AS1421" s="322"/>
      <c r="AT1421" s="322"/>
      <c r="AU1421" s="322"/>
      <c r="AV1421" s="322"/>
      <c r="AW1421" s="322"/>
      <c r="AX1421" s="322"/>
      <c r="AY1421" s="322"/>
      <c r="AZ1421" s="322"/>
      <c r="BA1421" s="322"/>
      <c r="BB1421" s="322"/>
    </row>
    <row r="1422" spans="1:54" s="83" customFormat="1">
      <c r="A1422" s="356"/>
      <c r="B1422" s="356"/>
      <c r="C1422" s="356"/>
      <c r="D1422" s="367" t="s">
        <v>245</v>
      </c>
      <c r="E1422" s="367"/>
      <c r="F1422" s="358"/>
      <c r="G1422" s="128"/>
      <c r="H1422" s="128"/>
      <c r="I1422" s="128"/>
      <c r="J1422" s="128"/>
      <c r="K1422" s="128"/>
      <c r="L1422" s="345"/>
      <c r="M1422" s="345"/>
      <c r="N1422" s="345"/>
      <c r="O1422" s="345"/>
      <c r="P1422" s="128"/>
      <c r="Q1422" s="345"/>
      <c r="R1422" s="345"/>
      <c r="S1422" s="345"/>
      <c r="T1422" s="345"/>
      <c r="U1422" s="128"/>
      <c r="V1422" s="345"/>
      <c r="W1422" s="345"/>
      <c r="X1422" s="345"/>
      <c r="Y1422" s="345"/>
      <c r="Z1422" s="1052">
        <v>0</v>
      </c>
      <c r="AA1422" s="345"/>
      <c r="AB1422" s="345"/>
      <c r="AC1422" s="345"/>
      <c r="AD1422" s="345"/>
      <c r="AE1422" s="208">
        <f>Z1422</f>
        <v>0</v>
      </c>
      <c r="AF1422" s="208">
        <f>AE1422</f>
        <v>0</v>
      </c>
      <c r="AG1422" s="208">
        <f t="shared" ref="AG1422:AL1422" si="1148">AF1422</f>
        <v>0</v>
      </c>
      <c r="AH1422" s="208">
        <f t="shared" si="1148"/>
        <v>0</v>
      </c>
      <c r="AI1422" s="208">
        <f t="shared" si="1148"/>
        <v>0</v>
      </c>
      <c r="AJ1422" s="208">
        <f t="shared" si="1148"/>
        <v>0</v>
      </c>
      <c r="AK1422" s="208">
        <f t="shared" si="1148"/>
        <v>0</v>
      </c>
      <c r="AL1422" s="208">
        <f t="shared" si="1148"/>
        <v>0</v>
      </c>
      <c r="AM1422" s="651"/>
      <c r="AN1422" s="322"/>
      <c r="AO1422" s="322"/>
      <c r="AP1422" s="322"/>
      <c r="AQ1422" s="322"/>
      <c r="AR1422" s="322"/>
      <c r="AS1422" s="322"/>
      <c r="AT1422" s="322"/>
      <c r="AU1422" s="322"/>
      <c r="AV1422" s="322"/>
      <c r="AW1422" s="322"/>
      <c r="AX1422" s="322"/>
      <c r="AY1422" s="322"/>
      <c r="AZ1422" s="322"/>
      <c r="BA1422" s="322"/>
      <c r="BB1422" s="322"/>
    </row>
    <row r="1423" spans="1:54" s="83" customFormat="1">
      <c r="A1423" s="356"/>
      <c r="B1423" s="356"/>
      <c r="C1423" s="356"/>
      <c r="D1423" s="367" t="s">
        <v>246</v>
      </c>
      <c r="E1423" s="367"/>
      <c r="F1423" s="358"/>
      <c r="G1423" s="347">
        <f t="shared" ref="G1423:P1423" si="1149">G1489</f>
        <v>164</v>
      </c>
      <c r="H1423" s="347">
        <f t="shared" si="1149"/>
        <v>361</v>
      </c>
      <c r="I1423" s="347">
        <f t="shared" si="1149"/>
        <v>90</v>
      </c>
      <c r="J1423" s="347">
        <f t="shared" si="1149"/>
        <v>112</v>
      </c>
      <c r="K1423" s="347">
        <f t="shared" si="1149"/>
        <v>154</v>
      </c>
      <c r="L1423" s="348"/>
      <c r="M1423" s="348"/>
      <c r="N1423" s="348"/>
      <c r="O1423" s="348"/>
      <c r="P1423" s="347">
        <f t="shared" si="1149"/>
        <v>160</v>
      </c>
      <c r="Q1423" s="348"/>
      <c r="R1423" s="348"/>
      <c r="S1423" s="348"/>
      <c r="T1423" s="348"/>
      <c r="U1423" s="347">
        <f>U1489</f>
        <v>211</v>
      </c>
      <c r="V1423" s="348"/>
      <c r="W1423" s="348"/>
      <c r="X1423" s="348"/>
      <c r="Y1423" s="348"/>
      <c r="Z1423" s="347">
        <f>Z1421+Z1422</f>
        <v>211</v>
      </c>
      <c r="AA1423" s="348"/>
      <c r="AB1423" s="348"/>
      <c r="AC1423" s="348"/>
      <c r="AD1423" s="348"/>
      <c r="AE1423" s="347">
        <f>AE1421+AE1422</f>
        <v>211</v>
      </c>
      <c r="AF1423" s="347">
        <f>AF1421+AF1422</f>
        <v>211</v>
      </c>
      <c r="AG1423" s="347">
        <f t="shared" ref="AG1423:AL1423" si="1150">AG1421+AG1422</f>
        <v>211</v>
      </c>
      <c r="AH1423" s="347">
        <f t="shared" si="1150"/>
        <v>211</v>
      </c>
      <c r="AI1423" s="347">
        <f t="shared" si="1150"/>
        <v>211</v>
      </c>
      <c r="AJ1423" s="347">
        <f t="shared" si="1150"/>
        <v>211</v>
      </c>
      <c r="AK1423" s="347">
        <f t="shared" si="1150"/>
        <v>211</v>
      </c>
      <c r="AL1423" s="347">
        <f t="shared" si="1150"/>
        <v>211</v>
      </c>
      <c r="AM1423" s="651"/>
      <c r="AN1423" s="322"/>
      <c r="AO1423" s="322"/>
      <c r="AP1423" s="322"/>
      <c r="AQ1423" s="322"/>
      <c r="AR1423" s="322"/>
      <c r="AS1423" s="322"/>
      <c r="AT1423" s="322"/>
      <c r="AU1423" s="322"/>
      <c r="AV1423" s="322"/>
      <c r="AW1423" s="322"/>
      <c r="AX1423" s="322"/>
      <c r="AY1423" s="322"/>
      <c r="AZ1423" s="322"/>
      <c r="BA1423" s="322"/>
      <c r="BB1423" s="322"/>
    </row>
    <row r="1424" spans="1:54" s="83" customFormat="1">
      <c r="A1424" s="341"/>
      <c r="B1424" s="341"/>
      <c r="C1424" s="341"/>
      <c r="D1424" s="367"/>
      <c r="E1424" s="367"/>
      <c r="F1424" s="360"/>
      <c r="G1424" s="362"/>
      <c r="H1424" s="362"/>
      <c r="I1424" s="362"/>
      <c r="J1424" s="362"/>
      <c r="K1424" s="362"/>
      <c r="L1424" s="365"/>
      <c r="M1424" s="365"/>
      <c r="N1424" s="365"/>
      <c r="O1424" s="365"/>
      <c r="P1424" s="362"/>
      <c r="Q1424" s="365"/>
      <c r="R1424" s="365"/>
      <c r="S1424" s="365"/>
      <c r="T1424" s="365"/>
      <c r="U1424" s="362"/>
      <c r="V1424" s="365"/>
      <c r="W1424" s="365"/>
      <c r="X1424" s="365"/>
      <c r="Y1424" s="365"/>
      <c r="Z1424" s="362"/>
      <c r="AA1424" s="365"/>
      <c r="AB1424" s="365"/>
      <c r="AC1424" s="365"/>
      <c r="AD1424" s="365"/>
      <c r="AE1424" s="362"/>
      <c r="AF1424" s="343"/>
      <c r="AG1424" s="343"/>
      <c r="AH1424" s="343"/>
      <c r="AI1424" s="343"/>
      <c r="AJ1424" s="343"/>
      <c r="AK1424" s="223"/>
      <c r="AL1424" s="322"/>
      <c r="AM1424" s="651"/>
      <c r="AN1424" s="322"/>
      <c r="AO1424" s="322"/>
      <c r="AP1424" s="322"/>
      <c r="AQ1424" s="322"/>
      <c r="AR1424" s="322"/>
      <c r="AS1424" s="322"/>
      <c r="AT1424" s="322"/>
      <c r="AU1424" s="322"/>
      <c r="AV1424" s="322"/>
      <c r="AW1424" s="322"/>
      <c r="AX1424" s="322"/>
      <c r="AY1424" s="322"/>
      <c r="AZ1424" s="322"/>
      <c r="BA1424" s="322"/>
      <c r="BB1424" s="322"/>
    </row>
    <row r="1425" spans="1:54" s="83" customFormat="1">
      <c r="A1425" s="341"/>
      <c r="B1425" s="341"/>
      <c r="C1425" s="341"/>
      <c r="L1425" s="369"/>
      <c r="M1425" s="369"/>
      <c r="N1425" s="369"/>
      <c r="O1425" s="369"/>
      <c r="Q1425" s="369"/>
      <c r="R1425" s="369"/>
      <c r="S1425" s="369"/>
      <c r="T1425" s="369"/>
      <c r="V1425" s="369"/>
      <c r="W1425" s="369"/>
      <c r="X1425" s="369"/>
      <c r="Y1425" s="369"/>
      <c r="AA1425" s="369"/>
      <c r="AB1425" s="369"/>
      <c r="AC1425" s="369"/>
      <c r="AD1425" s="369"/>
      <c r="AG1425" s="343"/>
      <c r="AH1425" s="343"/>
      <c r="AI1425" s="343"/>
      <c r="AJ1425" s="343"/>
      <c r="AK1425" s="223"/>
      <c r="AL1425" s="322"/>
      <c r="AM1425" s="651"/>
      <c r="AN1425" s="322"/>
      <c r="AO1425" s="322"/>
      <c r="AP1425" s="322"/>
      <c r="AQ1425" s="322"/>
      <c r="AR1425" s="322"/>
      <c r="AS1425" s="322"/>
      <c r="AT1425" s="322"/>
      <c r="AU1425" s="322"/>
      <c r="AV1425" s="322"/>
      <c r="AW1425" s="322"/>
      <c r="AX1425" s="322"/>
      <c r="AY1425" s="322"/>
      <c r="AZ1425" s="322"/>
      <c r="BA1425" s="322"/>
      <c r="BB1425" s="322"/>
    </row>
    <row r="1426" spans="1:54" s="83" customFormat="1">
      <c r="A1426" s="341"/>
      <c r="B1426" s="341"/>
      <c r="C1426" s="341"/>
      <c r="D1426" s="366" t="s">
        <v>312</v>
      </c>
      <c r="E1426" s="366"/>
      <c r="F1426" s="360"/>
      <c r="G1426" s="128"/>
      <c r="H1426" s="128"/>
      <c r="I1426" s="128"/>
      <c r="J1426" s="128"/>
      <c r="K1426" s="128"/>
      <c r="L1426" s="345"/>
      <c r="M1426" s="345"/>
      <c r="N1426" s="345"/>
      <c r="O1426" s="345"/>
      <c r="P1426" s="128"/>
      <c r="Q1426" s="345"/>
      <c r="R1426" s="345"/>
      <c r="S1426" s="345"/>
      <c r="T1426" s="345"/>
      <c r="U1426" s="128"/>
      <c r="V1426" s="345"/>
      <c r="W1426" s="345"/>
      <c r="X1426" s="345"/>
      <c r="Y1426" s="345"/>
      <c r="Z1426" s="128"/>
      <c r="AA1426" s="345"/>
      <c r="AB1426" s="345"/>
      <c r="AC1426" s="345"/>
      <c r="AD1426" s="345"/>
      <c r="AE1426" s="128"/>
      <c r="AF1426" s="129"/>
      <c r="AG1426" s="343"/>
      <c r="AH1426" s="343"/>
      <c r="AI1426" s="343"/>
      <c r="AJ1426" s="343"/>
      <c r="AK1426" s="223"/>
      <c r="AL1426" s="322"/>
      <c r="AM1426" s="651"/>
      <c r="AN1426" s="322"/>
      <c r="AO1426" s="322"/>
      <c r="AP1426" s="322"/>
      <c r="AQ1426" s="322"/>
      <c r="AR1426" s="322"/>
      <c r="AS1426" s="322"/>
      <c r="AT1426" s="322"/>
      <c r="AU1426" s="322"/>
      <c r="AV1426" s="322"/>
      <c r="AW1426" s="322"/>
      <c r="AX1426" s="322"/>
      <c r="AY1426" s="322"/>
      <c r="AZ1426" s="322"/>
      <c r="BA1426" s="322"/>
      <c r="BB1426" s="322"/>
    </row>
    <row r="1427" spans="1:54" s="83" customFormat="1">
      <c r="A1427" s="341"/>
      <c r="B1427" s="341"/>
      <c r="C1427" s="341"/>
      <c r="D1427" s="367" t="s">
        <v>299</v>
      </c>
      <c r="E1427" s="367"/>
      <c r="F1427" s="360"/>
      <c r="G1427" s="128"/>
      <c r="H1427" s="347">
        <f>G1429</f>
        <v>5908</v>
      </c>
      <c r="I1427" s="347">
        <f>H1429</f>
        <v>6091</v>
      </c>
      <c r="J1427" s="347">
        <f>I1429</f>
        <v>4828</v>
      </c>
      <c r="K1427" s="347">
        <f>J1429</f>
        <v>5086</v>
      </c>
      <c r="L1427" s="348"/>
      <c r="M1427" s="348"/>
      <c r="N1427" s="348"/>
      <c r="O1427" s="348"/>
      <c r="P1427" s="347">
        <f>K1429</f>
        <v>5579</v>
      </c>
      <c r="Q1427" s="348"/>
      <c r="R1427" s="348"/>
      <c r="S1427" s="348"/>
      <c r="T1427" s="348"/>
      <c r="U1427" s="347">
        <f>P1429</f>
        <v>6331</v>
      </c>
      <c r="V1427" s="348"/>
      <c r="W1427" s="348"/>
      <c r="X1427" s="348"/>
      <c r="Y1427" s="348"/>
      <c r="Z1427" s="347">
        <f>U1429</f>
        <v>5902</v>
      </c>
      <c r="AA1427" s="348"/>
      <c r="AB1427" s="348"/>
      <c r="AC1427" s="348"/>
      <c r="AD1427" s="348"/>
      <c r="AE1427" s="347">
        <f>Z1429</f>
        <v>5902</v>
      </c>
      <c r="AF1427" s="347">
        <f>AE1429</f>
        <v>5902</v>
      </c>
      <c r="AG1427" s="347">
        <f t="shared" ref="AG1427:AL1427" si="1151">AF1429</f>
        <v>5902</v>
      </c>
      <c r="AH1427" s="347">
        <f t="shared" si="1151"/>
        <v>5902</v>
      </c>
      <c r="AI1427" s="347">
        <f t="shared" si="1151"/>
        <v>5902</v>
      </c>
      <c r="AJ1427" s="347">
        <f t="shared" si="1151"/>
        <v>5902</v>
      </c>
      <c r="AK1427" s="347">
        <f t="shared" si="1151"/>
        <v>5902</v>
      </c>
      <c r="AL1427" s="347">
        <f t="shared" si="1151"/>
        <v>5902</v>
      </c>
      <c r="AM1427" s="651"/>
      <c r="AN1427" s="322"/>
      <c r="AO1427" s="322"/>
      <c r="AP1427" s="322"/>
      <c r="AQ1427" s="322"/>
      <c r="AR1427" s="322"/>
      <c r="AS1427" s="322"/>
      <c r="AT1427" s="322"/>
      <c r="AU1427" s="322"/>
      <c r="AV1427" s="322"/>
      <c r="AW1427" s="322"/>
      <c r="AX1427" s="322"/>
      <c r="AY1427" s="322"/>
      <c r="AZ1427" s="322"/>
      <c r="BA1427" s="322"/>
      <c r="BB1427" s="322"/>
    </row>
    <row r="1428" spans="1:54" s="83" customFormat="1">
      <c r="A1428" s="341"/>
      <c r="B1428" s="341"/>
      <c r="C1428" s="341"/>
      <c r="D1428" s="367" t="s">
        <v>245</v>
      </c>
      <c r="E1428" s="367"/>
      <c r="F1428" s="360"/>
      <c r="G1428" s="128"/>
      <c r="H1428" s="128"/>
      <c r="I1428" s="128"/>
      <c r="J1428" s="128"/>
      <c r="K1428" s="128"/>
      <c r="L1428" s="345"/>
      <c r="M1428" s="345"/>
      <c r="N1428" s="345"/>
      <c r="O1428" s="345"/>
      <c r="P1428" s="128"/>
      <c r="Q1428" s="345"/>
      <c r="R1428" s="345"/>
      <c r="S1428" s="345"/>
      <c r="T1428" s="345"/>
      <c r="U1428" s="370">
        <f>U1429-U1427</f>
        <v>-429</v>
      </c>
      <c r="V1428" s="345"/>
      <c r="W1428" s="345"/>
      <c r="X1428" s="345"/>
      <c r="Y1428" s="345"/>
      <c r="Z1428" s="1052">
        <v>0</v>
      </c>
      <c r="AA1428" s="345"/>
      <c r="AB1428" s="345"/>
      <c r="AC1428" s="345"/>
      <c r="AD1428" s="345"/>
      <c r="AE1428" s="208">
        <v>0</v>
      </c>
      <c r="AF1428" s="208">
        <v>0</v>
      </c>
      <c r="AG1428" s="208">
        <v>0</v>
      </c>
      <c r="AH1428" s="208">
        <v>0</v>
      </c>
      <c r="AI1428" s="208">
        <v>0</v>
      </c>
      <c r="AJ1428" s="208">
        <v>0</v>
      </c>
      <c r="AK1428" s="208">
        <v>0</v>
      </c>
      <c r="AL1428" s="208">
        <v>0</v>
      </c>
      <c r="AM1428" s="651"/>
      <c r="AN1428" s="322"/>
      <c r="AO1428" s="322"/>
      <c r="AP1428" s="322"/>
      <c r="AQ1428" s="322"/>
      <c r="AR1428" s="322"/>
      <c r="AS1428" s="322"/>
      <c r="AT1428" s="322"/>
      <c r="AU1428" s="322"/>
      <c r="AV1428" s="322"/>
      <c r="AW1428" s="322"/>
      <c r="AX1428" s="322"/>
      <c r="AY1428" s="322"/>
      <c r="AZ1428" s="322"/>
      <c r="BA1428" s="322"/>
      <c r="BB1428" s="322"/>
    </row>
    <row r="1429" spans="1:54" s="83" customFormat="1">
      <c r="A1429" s="341"/>
      <c r="B1429" s="341"/>
      <c r="C1429" s="341"/>
      <c r="D1429" s="367" t="s">
        <v>246</v>
      </c>
      <c r="E1429" s="367"/>
      <c r="F1429" s="360"/>
      <c r="G1429" s="347">
        <f t="shared" ref="G1429:P1429" si="1152">G1506</f>
        <v>5908</v>
      </c>
      <c r="H1429" s="347">
        <f t="shared" si="1152"/>
        <v>6091</v>
      </c>
      <c r="I1429" s="347">
        <f t="shared" si="1152"/>
        <v>4828</v>
      </c>
      <c r="J1429" s="347">
        <f t="shared" si="1152"/>
        <v>5086</v>
      </c>
      <c r="K1429" s="347">
        <f t="shared" si="1152"/>
        <v>5579</v>
      </c>
      <c r="L1429" s="348"/>
      <c r="M1429" s="348"/>
      <c r="N1429" s="348"/>
      <c r="O1429" s="348"/>
      <c r="P1429" s="347">
        <f t="shared" si="1152"/>
        <v>6331</v>
      </c>
      <c r="Q1429" s="348"/>
      <c r="R1429" s="348"/>
      <c r="S1429" s="348"/>
      <c r="T1429" s="348"/>
      <c r="U1429" s="347">
        <f>U1506</f>
        <v>5902</v>
      </c>
      <c r="V1429" s="348"/>
      <c r="W1429" s="348"/>
      <c r="X1429" s="348"/>
      <c r="Y1429" s="348"/>
      <c r="Z1429" s="347">
        <f>Z1427+Z1428</f>
        <v>5902</v>
      </c>
      <c r="AA1429" s="348"/>
      <c r="AB1429" s="348"/>
      <c r="AC1429" s="348"/>
      <c r="AD1429" s="348"/>
      <c r="AE1429" s="347">
        <f>AE1427+AE1428</f>
        <v>5902</v>
      </c>
      <c r="AF1429" s="347">
        <f>AF1427+AF1428</f>
        <v>5902</v>
      </c>
      <c r="AG1429" s="347">
        <f t="shared" ref="AG1429:AL1429" si="1153">AG1427+AG1428</f>
        <v>5902</v>
      </c>
      <c r="AH1429" s="347">
        <f t="shared" si="1153"/>
        <v>5902</v>
      </c>
      <c r="AI1429" s="347">
        <f t="shared" si="1153"/>
        <v>5902</v>
      </c>
      <c r="AJ1429" s="347">
        <f t="shared" si="1153"/>
        <v>5902</v>
      </c>
      <c r="AK1429" s="347">
        <f t="shared" si="1153"/>
        <v>5902</v>
      </c>
      <c r="AL1429" s="347">
        <f t="shared" si="1153"/>
        <v>5902</v>
      </c>
      <c r="AM1429" s="651"/>
      <c r="AN1429" s="322"/>
      <c r="AO1429" s="322"/>
      <c r="AP1429" s="322"/>
      <c r="AQ1429" s="322"/>
      <c r="AR1429" s="322"/>
      <c r="AS1429" s="322"/>
      <c r="AT1429" s="322"/>
      <c r="AU1429" s="322"/>
      <c r="AV1429" s="322"/>
      <c r="AW1429" s="322"/>
      <c r="AX1429" s="322"/>
      <c r="AY1429" s="322"/>
      <c r="AZ1429" s="322"/>
      <c r="BA1429" s="322"/>
      <c r="BB1429" s="322"/>
    </row>
    <row r="1430" spans="1:54" s="83" customFormat="1">
      <c r="A1430" s="341"/>
      <c r="B1430" s="341"/>
      <c r="C1430" s="341"/>
      <c r="D1430" s="367"/>
      <c r="E1430" s="367"/>
      <c r="F1430" s="360"/>
      <c r="G1430" s="362"/>
      <c r="H1430" s="362"/>
      <c r="I1430" s="362"/>
      <c r="J1430" s="362"/>
      <c r="K1430" s="362"/>
      <c r="L1430" s="365"/>
      <c r="M1430" s="365"/>
      <c r="N1430" s="365"/>
      <c r="O1430" s="365"/>
      <c r="P1430" s="362"/>
      <c r="Q1430" s="365"/>
      <c r="R1430" s="365"/>
      <c r="S1430" s="365"/>
      <c r="T1430" s="365"/>
      <c r="U1430" s="362"/>
      <c r="V1430" s="365"/>
      <c r="W1430" s="365"/>
      <c r="X1430" s="365"/>
      <c r="Y1430" s="365"/>
      <c r="Z1430" s="362"/>
      <c r="AA1430" s="365"/>
      <c r="AB1430" s="365"/>
      <c r="AC1430" s="365"/>
      <c r="AD1430" s="365"/>
      <c r="AE1430" s="362"/>
      <c r="AF1430" s="343"/>
      <c r="AG1430" s="343"/>
      <c r="AH1430" s="343"/>
      <c r="AI1430" s="343"/>
      <c r="AJ1430" s="343"/>
      <c r="AK1430" s="223"/>
      <c r="AL1430" s="322"/>
      <c r="AM1430" s="651"/>
      <c r="AN1430" s="322"/>
      <c r="AO1430" s="322"/>
      <c r="AP1430" s="322"/>
      <c r="AQ1430" s="322"/>
      <c r="AR1430" s="322"/>
      <c r="AS1430" s="322"/>
      <c r="AT1430" s="322"/>
      <c r="AU1430" s="322"/>
      <c r="AV1430" s="322"/>
      <c r="AW1430" s="322"/>
      <c r="AX1430" s="322"/>
      <c r="AY1430" s="322"/>
      <c r="AZ1430" s="322"/>
      <c r="BA1430" s="322"/>
      <c r="BB1430" s="322"/>
    </row>
    <row r="1431" spans="1:54" s="83" customFormat="1">
      <c r="A1431" s="341"/>
      <c r="B1431" s="341"/>
      <c r="C1431" s="341"/>
      <c r="D1431" s="367"/>
      <c r="E1431" s="367"/>
      <c r="F1431" s="360"/>
      <c r="G1431" s="362"/>
      <c r="H1431" s="362"/>
      <c r="I1431" s="362"/>
      <c r="J1431" s="362"/>
      <c r="K1431" s="362"/>
      <c r="L1431" s="365"/>
      <c r="M1431" s="365"/>
      <c r="N1431" s="365"/>
      <c r="O1431" s="365"/>
      <c r="P1431" s="362"/>
      <c r="Q1431" s="365"/>
      <c r="R1431" s="365"/>
      <c r="S1431" s="365"/>
      <c r="T1431" s="365"/>
      <c r="U1431" s="362"/>
      <c r="V1431" s="365"/>
      <c r="W1431" s="365"/>
      <c r="X1431" s="365"/>
      <c r="Y1431" s="365"/>
      <c r="Z1431" s="362"/>
      <c r="AA1431" s="365"/>
      <c r="AB1431" s="365"/>
      <c r="AC1431" s="365"/>
      <c r="AD1431" s="365"/>
      <c r="AE1431" s="362"/>
      <c r="AF1431" s="343"/>
      <c r="AG1431" s="343"/>
      <c r="AH1431" s="343"/>
      <c r="AI1431" s="343"/>
      <c r="AJ1431" s="343"/>
      <c r="AK1431" s="223"/>
      <c r="AL1431" s="322"/>
      <c r="AM1431" s="651"/>
      <c r="AN1431" s="322"/>
      <c r="AO1431" s="322"/>
      <c r="AP1431" s="322"/>
      <c r="AQ1431" s="322"/>
      <c r="AR1431" s="322"/>
      <c r="AS1431" s="322"/>
      <c r="AT1431" s="322"/>
      <c r="AU1431" s="322"/>
      <c r="AV1431" s="322"/>
      <c r="AW1431" s="322"/>
      <c r="AX1431" s="322"/>
      <c r="AY1431" s="322"/>
      <c r="AZ1431" s="322"/>
      <c r="BA1431" s="322"/>
      <c r="BB1431" s="322"/>
    </row>
    <row r="1432" spans="1:54" s="83" customFormat="1">
      <c r="A1432" s="341"/>
      <c r="B1432" s="341"/>
      <c r="C1432" s="341"/>
      <c r="D1432" s="366" t="s">
        <v>313</v>
      </c>
      <c r="E1432" s="366"/>
      <c r="F1432" s="360"/>
      <c r="G1432" s="128"/>
      <c r="H1432" s="128"/>
      <c r="I1432" s="128"/>
      <c r="J1432" s="128"/>
      <c r="K1432" s="128"/>
      <c r="L1432" s="345"/>
      <c r="M1432" s="345"/>
      <c r="N1432" s="345"/>
      <c r="O1432" s="345"/>
      <c r="P1432" s="128"/>
      <c r="Q1432" s="345"/>
      <c r="R1432" s="345"/>
      <c r="S1432" s="345"/>
      <c r="T1432" s="345"/>
      <c r="U1432" s="128"/>
      <c r="V1432" s="345"/>
      <c r="W1432" s="345"/>
      <c r="X1432" s="345"/>
      <c r="Y1432" s="345"/>
      <c r="Z1432" s="128"/>
      <c r="AA1432" s="345"/>
      <c r="AB1432" s="345"/>
      <c r="AC1432" s="345"/>
      <c r="AD1432" s="345"/>
      <c r="AE1432" s="128"/>
      <c r="AF1432" s="129"/>
      <c r="AG1432" s="129"/>
      <c r="AH1432" s="129"/>
      <c r="AI1432" s="343"/>
      <c r="AJ1432" s="343"/>
      <c r="AK1432" s="223"/>
      <c r="AL1432" s="322"/>
      <c r="AM1432" s="651"/>
      <c r="AN1432" s="322"/>
      <c r="AO1432" s="322"/>
      <c r="AP1432" s="322"/>
      <c r="AQ1432" s="322"/>
      <c r="AR1432" s="322"/>
      <c r="AS1432" s="322"/>
      <c r="AT1432" s="322"/>
      <c r="AU1432" s="322"/>
      <c r="AV1432" s="322"/>
      <c r="AW1432" s="322"/>
      <c r="AX1432" s="322"/>
      <c r="AY1432" s="322"/>
      <c r="AZ1432" s="322"/>
      <c r="BA1432" s="322"/>
      <c r="BB1432" s="322"/>
    </row>
    <row r="1433" spans="1:54" s="83" customFormat="1">
      <c r="A1433" s="341"/>
      <c r="B1433" s="367" t="s">
        <v>320</v>
      </c>
      <c r="C1433" s="341"/>
      <c r="D1433" s="367" t="s">
        <v>320</v>
      </c>
      <c r="E1433" s="367"/>
      <c r="F1433" s="360"/>
      <c r="G1433" s="128"/>
      <c r="H1433" s="347">
        <f>G1437</f>
        <v>7664</v>
      </c>
      <c r="I1433" s="347">
        <f>H1437</f>
        <v>8013</v>
      </c>
      <c r="J1433" s="347">
        <f>I1437</f>
        <v>9606</v>
      </c>
      <c r="K1433" s="347">
        <f>J1437</f>
        <v>8244</v>
      </c>
      <c r="L1433" s="348"/>
      <c r="M1433" s="348"/>
      <c r="N1433" s="348"/>
      <c r="O1433" s="348"/>
      <c r="P1433" s="347">
        <f>K1437</f>
        <v>6314</v>
      </c>
      <c r="Q1433" s="348"/>
      <c r="R1433" s="348"/>
      <c r="S1433" s="348"/>
      <c r="T1433" s="348"/>
      <c r="U1433" s="347">
        <f>P1437</f>
        <v>5487</v>
      </c>
      <c r="V1433" s="348"/>
      <c r="W1433" s="348"/>
      <c r="X1433" s="348"/>
      <c r="Y1433" s="348"/>
      <c r="Z1433" s="347">
        <f>U1437</f>
        <v>4645</v>
      </c>
      <c r="AA1433" s="348"/>
      <c r="AB1433" s="348"/>
      <c r="AC1433" s="348"/>
      <c r="AD1433" s="348"/>
      <c r="AE1433" s="347">
        <f>Z1437</f>
        <v>4645</v>
      </c>
      <c r="AF1433" s="347">
        <f>AE1437</f>
        <v>4486</v>
      </c>
      <c r="AG1433" s="347">
        <f t="shared" ref="AG1433:AL1433" si="1154">AF1437</f>
        <v>4211</v>
      </c>
      <c r="AH1433" s="347">
        <f t="shared" si="1154"/>
        <v>3937</v>
      </c>
      <c r="AI1433" s="347">
        <f t="shared" si="1154"/>
        <v>3664</v>
      </c>
      <c r="AJ1433" s="347">
        <f t="shared" si="1154"/>
        <v>3392</v>
      </c>
      <c r="AK1433" s="347">
        <f t="shared" si="1154"/>
        <v>3121</v>
      </c>
      <c r="AL1433" s="347">
        <f t="shared" si="1154"/>
        <v>2851</v>
      </c>
      <c r="AM1433" s="651"/>
      <c r="AN1433" s="322"/>
      <c r="AO1433" s="322"/>
      <c r="AP1433" s="322"/>
      <c r="AQ1433" s="322"/>
      <c r="AR1433" s="322"/>
      <c r="AS1433" s="322"/>
      <c r="AT1433" s="322"/>
      <c r="AU1433" s="322"/>
      <c r="AV1433" s="322"/>
      <c r="AW1433" s="322"/>
      <c r="AX1433" s="322"/>
      <c r="AY1433" s="322"/>
      <c r="AZ1433" s="322"/>
      <c r="BA1433" s="322"/>
      <c r="BB1433" s="322"/>
    </row>
    <row r="1434" spans="1:54" s="83" customFormat="1">
      <c r="A1434" s="341"/>
      <c r="B1434" s="367" t="s">
        <v>324</v>
      </c>
      <c r="C1434" s="341"/>
      <c r="D1434" s="367" t="str">
        <f>"+ New Borrowing or - Debt Repaid"</f>
        <v>+ New Borrowing or - Debt Repaid</v>
      </c>
      <c r="E1434" s="367"/>
      <c r="F1434" s="360"/>
      <c r="G1434" s="128"/>
      <c r="H1434" s="128"/>
      <c r="I1434" s="128"/>
      <c r="J1434" s="128"/>
      <c r="K1434" s="128"/>
      <c r="L1434" s="345"/>
      <c r="M1434" s="345"/>
      <c r="N1434" s="345"/>
      <c r="O1434" s="345"/>
      <c r="P1434" s="130">
        <f>P1437-P1433</f>
        <v>-827</v>
      </c>
      <c r="Q1434" s="345"/>
      <c r="R1434" s="345"/>
      <c r="S1434" s="345"/>
      <c r="T1434" s="345"/>
      <c r="U1434" s="130">
        <f>U1437-U1433</f>
        <v>-842</v>
      </c>
      <c r="V1434" s="345"/>
      <c r="W1434" s="345"/>
      <c r="X1434" s="345"/>
      <c r="Y1434" s="345"/>
      <c r="Z1434" s="128"/>
      <c r="AA1434" s="345"/>
      <c r="AB1434" s="345"/>
      <c r="AC1434" s="345"/>
      <c r="AD1434" s="345"/>
      <c r="AE1434" s="128">
        <v>-159</v>
      </c>
      <c r="AF1434" s="128">
        <v>-275</v>
      </c>
      <c r="AG1434" s="128">
        <v>-274</v>
      </c>
      <c r="AH1434" s="128">
        <v>-273</v>
      </c>
      <c r="AI1434" s="128">
        <v>-272</v>
      </c>
      <c r="AJ1434" s="128">
        <v>-271</v>
      </c>
      <c r="AK1434" s="128">
        <v>-270</v>
      </c>
      <c r="AL1434" s="128">
        <v>-269</v>
      </c>
      <c r="AM1434" s="651"/>
      <c r="AN1434" s="322"/>
      <c r="AO1434" s="322"/>
      <c r="AP1434" s="322"/>
      <c r="AQ1434" s="322"/>
      <c r="AR1434" s="322"/>
      <c r="AS1434" s="322"/>
      <c r="AT1434" s="322"/>
      <c r="AU1434" s="322"/>
      <c r="AV1434" s="322"/>
      <c r="AW1434" s="322"/>
      <c r="AX1434" s="322"/>
      <c r="AY1434" s="322"/>
      <c r="AZ1434" s="322"/>
      <c r="BA1434" s="322"/>
      <c r="BB1434" s="322"/>
    </row>
    <row r="1435" spans="1:54" s="83" customFormat="1">
      <c r="A1435" s="341"/>
      <c r="B1435" s="367" t="s">
        <v>321</v>
      </c>
      <c r="C1435" s="341"/>
      <c r="D1435" s="367" t="str">
        <f>"+ Accrued Interest "</f>
        <v xml:space="preserve">+ Accrued Interest </v>
      </c>
      <c r="E1435" s="367"/>
      <c r="F1435" s="360"/>
      <c r="G1435" s="128"/>
      <c r="H1435" s="128"/>
      <c r="I1435" s="128"/>
      <c r="J1435" s="128"/>
      <c r="K1435" s="128"/>
      <c r="L1435" s="345"/>
      <c r="M1435" s="345"/>
      <c r="N1435" s="345"/>
      <c r="O1435" s="345"/>
      <c r="P1435" s="128"/>
      <c r="Q1435" s="345"/>
      <c r="R1435" s="345"/>
      <c r="S1435" s="345"/>
      <c r="T1435" s="345"/>
      <c r="U1435" s="128"/>
      <c r="V1435" s="345"/>
      <c r="W1435" s="345"/>
      <c r="X1435" s="345"/>
      <c r="Y1435" s="345"/>
      <c r="Z1435" s="128"/>
      <c r="AA1435" s="345"/>
      <c r="AB1435" s="345"/>
      <c r="AC1435" s="345"/>
      <c r="AD1435" s="345"/>
      <c r="AE1435" s="128"/>
      <c r="AF1435" s="128"/>
      <c r="AG1435" s="128"/>
      <c r="AH1435" s="128"/>
      <c r="AI1435" s="128"/>
      <c r="AJ1435" s="128"/>
      <c r="AK1435" s="128"/>
      <c r="AL1435" s="128"/>
      <c r="AM1435" s="651"/>
      <c r="AN1435" s="322"/>
      <c r="AO1435" s="322"/>
      <c r="AP1435" s="322"/>
      <c r="AQ1435" s="322"/>
      <c r="AR1435" s="322"/>
      <c r="AS1435" s="322"/>
      <c r="AT1435" s="322"/>
      <c r="AU1435" s="322"/>
      <c r="AV1435" s="322"/>
      <c r="AW1435" s="322"/>
      <c r="AX1435" s="322"/>
      <c r="AY1435" s="322"/>
      <c r="AZ1435" s="322"/>
      <c r="BA1435" s="322"/>
      <c r="BB1435" s="322"/>
    </row>
    <row r="1436" spans="1:54" s="83" customFormat="1">
      <c r="A1436" s="341"/>
      <c r="B1436" s="367"/>
      <c r="C1436" s="341"/>
      <c r="D1436" s="367" t="str">
        <f>"- Interest Expense"</f>
        <v>- Interest Expense</v>
      </c>
      <c r="E1436" s="367"/>
      <c r="F1436" s="360"/>
      <c r="G1436" s="128"/>
      <c r="H1436" s="128"/>
      <c r="I1436" s="128"/>
      <c r="J1436" s="128"/>
      <c r="K1436" s="128"/>
      <c r="L1436" s="345"/>
      <c r="M1436" s="345"/>
      <c r="N1436" s="345"/>
      <c r="O1436" s="345"/>
      <c r="P1436" s="128"/>
      <c r="Q1436" s="345"/>
      <c r="R1436" s="345"/>
      <c r="S1436" s="345"/>
      <c r="T1436" s="345"/>
      <c r="U1436" s="130"/>
      <c r="V1436" s="345"/>
      <c r="W1436" s="345"/>
      <c r="X1436" s="345"/>
      <c r="Y1436" s="345"/>
      <c r="Z1436" s="130">
        <f>Z1439*-1</f>
        <v>-190.44500000000002</v>
      </c>
      <c r="AA1436" s="345"/>
      <c r="AB1436" s="345"/>
      <c r="AC1436" s="345"/>
      <c r="AD1436" s="345"/>
      <c r="AE1436" s="130">
        <f t="shared" ref="AE1436:AL1436" si="1155">AE1439*-1</f>
        <v>-183.92600000000002</v>
      </c>
      <c r="AF1436" s="130">
        <f t="shared" si="1155"/>
        <v>-172.65100000000001</v>
      </c>
      <c r="AG1436" s="130">
        <f t="shared" si="1155"/>
        <v>-161.417</v>
      </c>
      <c r="AH1436" s="130">
        <f t="shared" si="1155"/>
        <v>-150.22400000000002</v>
      </c>
      <c r="AI1436" s="130">
        <f t="shared" si="1155"/>
        <v>-139.072</v>
      </c>
      <c r="AJ1436" s="130">
        <f t="shared" si="1155"/>
        <v>-127.961</v>
      </c>
      <c r="AK1436" s="130">
        <f t="shared" si="1155"/>
        <v>-116.89100000000001</v>
      </c>
      <c r="AL1436" s="130">
        <f t="shared" si="1155"/>
        <v>-105.86200000000001</v>
      </c>
      <c r="AM1436" s="651"/>
      <c r="AN1436" s="322"/>
      <c r="AO1436" s="322"/>
      <c r="AP1436" s="322"/>
      <c r="AQ1436" s="322"/>
      <c r="AR1436" s="322"/>
      <c r="AS1436" s="322"/>
      <c r="AT1436" s="322"/>
      <c r="AU1436" s="322"/>
      <c r="AV1436" s="322"/>
      <c r="AW1436" s="322"/>
      <c r="AX1436" s="322"/>
      <c r="AY1436" s="322"/>
      <c r="AZ1436" s="322"/>
      <c r="BA1436" s="322"/>
      <c r="BB1436" s="322"/>
    </row>
    <row r="1437" spans="1:54" s="83" customFormat="1">
      <c r="A1437" s="341"/>
      <c r="B1437" s="367" t="s">
        <v>322</v>
      </c>
      <c r="C1437" s="341"/>
      <c r="D1437" s="367" t="str">
        <f>"=End of Period Debt"</f>
        <v>=End of Period Debt</v>
      </c>
      <c r="E1437" s="367"/>
      <c r="F1437" s="360"/>
      <c r="G1437" s="347">
        <f>G1505</f>
        <v>7664</v>
      </c>
      <c r="H1437" s="347">
        <f>H1505</f>
        <v>8013</v>
      </c>
      <c r="I1437" s="347">
        <f>I1505</f>
        <v>9606</v>
      </c>
      <c r="J1437" s="347">
        <f>J1505</f>
        <v>8244</v>
      </c>
      <c r="K1437" s="347">
        <f>K1505</f>
        <v>6314</v>
      </c>
      <c r="L1437" s="348"/>
      <c r="M1437" s="348"/>
      <c r="N1437" s="348"/>
      <c r="O1437" s="348"/>
      <c r="P1437" s="347">
        <f>P1505</f>
        <v>5487</v>
      </c>
      <c r="Q1437" s="348"/>
      <c r="R1437" s="348"/>
      <c r="S1437" s="348"/>
      <c r="T1437" s="348"/>
      <c r="U1437" s="347">
        <f>U1505</f>
        <v>4645</v>
      </c>
      <c r="V1437" s="348"/>
      <c r="W1437" s="348"/>
      <c r="X1437" s="348"/>
      <c r="Y1437" s="348"/>
      <c r="Z1437" s="347">
        <f>Z1433+Z1434-Z1435</f>
        <v>4645</v>
      </c>
      <c r="AA1437" s="348"/>
      <c r="AB1437" s="348"/>
      <c r="AC1437" s="348"/>
      <c r="AD1437" s="348"/>
      <c r="AE1437" s="347">
        <f>AE1433+AE1434-AE1435</f>
        <v>4486</v>
      </c>
      <c r="AF1437" s="347">
        <f>AF1433+AF1434-AF1435</f>
        <v>4211</v>
      </c>
      <c r="AG1437" s="347">
        <f t="shared" ref="AG1437:AL1437" si="1156">AG1433+AG1434-AG1435</f>
        <v>3937</v>
      </c>
      <c r="AH1437" s="347">
        <f t="shared" si="1156"/>
        <v>3664</v>
      </c>
      <c r="AI1437" s="347">
        <f t="shared" si="1156"/>
        <v>3392</v>
      </c>
      <c r="AJ1437" s="347">
        <f t="shared" si="1156"/>
        <v>3121</v>
      </c>
      <c r="AK1437" s="347">
        <f t="shared" si="1156"/>
        <v>2851</v>
      </c>
      <c r="AL1437" s="347">
        <f t="shared" si="1156"/>
        <v>2582</v>
      </c>
      <c r="AM1437" s="651"/>
      <c r="AN1437" s="322"/>
      <c r="AO1437" s="322"/>
      <c r="AP1437" s="322"/>
      <c r="AQ1437" s="322"/>
      <c r="AR1437" s="322"/>
      <c r="AS1437" s="322"/>
      <c r="AT1437" s="322"/>
      <c r="AU1437" s="322"/>
      <c r="AV1437" s="322"/>
      <c r="AW1437" s="322"/>
      <c r="AX1437" s="322"/>
      <c r="AY1437" s="322"/>
      <c r="AZ1437" s="322"/>
      <c r="BA1437" s="322"/>
      <c r="BB1437" s="322"/>
    </row>
    <row r="1438" spans="1:54" s="83" customFormat="1">
      <c r="A1438" s="341"/>
      <c r="B1438" s="367" t="s">
        <v>323</v>
      </c>
      <c r="C1438" s="341"/>
      <c r="D1438" s="367"/>
      <c r="E1438" s="367"/>
      <c r="F1438" s="360"/>
      <c r="G1438" s="347"/>
      <c r="H1438" s="347"/>
      <c r="I1438" s="347"/>
      <c r="J1438" s="347"/>
      <c r="K1438" s="347"/>
      <c r="L1438" s="348"/>
      <c r="M1438" s="348"/>
      <c r="N1438" s="348"/>
      <c r="O1438" s="348"/>
      <c r="P1438" s="347"/>
      <c r="Q1438" s="348"/>
      <c r="R1438" s="348"/>
      <c r="S1438" s="348"/>
      <c r="T1438" s="348"/>
      <c r="U1438" s="128"/>
      <c r="V1438" s="348"/>
      <c r="W1438" s="348"/>
      <c r="X1438" s="348"/>
      <c r="Y1438" s="348"/>
      <c r="Z1438" s="128"/>
      <c r="AA1438" s="348"/>
      <c r="AB1438" s="348"/>
      <c r="AC1438" s="348"/>
      <c r="AD1438" s="348"/>
      <c r="AE1438" s="128"/>
      <c r="AF1438" s="128"/>
      <c r="AG1438" s="128"/>
      <c r="AH1438" s="128"/>
      <c r="AI1438" s="128"/>
      <c r="AJ1438" s="128"/>
      <c r="AK1438" s="128"/>
      <c r="AL1438" s="128"/>
      <c r="AM1438" s="651"/>
      <c r="AN1438" s="322"/>
      <c r="AO1438" s="322"/>
      <c r="AP1438" s="322"/>
      <c r="AQ1438" s="322"/>
      <c r="AR1438" s="322"/>
      <c r="AS1438" s="322"/>
      <c r="AT1438" s="322"/>
      <c r="AU1438" s="322"/>
      <c r="AV1438" s="322"/>
      <c r="AW1438" s="322"/>
      <c r="AX1438" s="322"/>
      <c r="AY1438" s="322"/>
      <c r="AZ1438" s="322"/>
      <c r="BA1438" s="322"/>
      <c r="BB1438" s="322"/>
    </row>
    <row r="1439" spans="1:54" s="83" customFormat="1">
      <c r="A1439" s="341"/>
      <c r="B1439" s="367"/>
      <c r="C1439" s="341"/>
      <c r="D1439" s="367" t="s">
        <v>329</v>
      </c>
      <c r="E1439" s="367"/>
      <c r="F1439" s="360"/>
      <c r="G1439" s="347"/>
      <c r="H1439" s="347"/>
      <c r="I1439" s="347"/>
      <c r="K1439" s="347"/>
      <c r="L1439" s="348"/>
      <c r="M1439" s="348"/>
      <c r="N1439" s="348"/>
      <c r="O1439" s="348"/>
      <c r="P1439" s="347"/>
      <c r="Q1439" s="348"/>
      <c r="R1439" s="348"/>
      <c r="S1439" s="348"/>
      <c r="T1439" s="348"/>
      <c r="U1439" s="349"/>
      <c r="V1439" s="348"/>
      <c r="W1439" s="348"/>
      <c r="X1439" s="348"/>
      <c r="Y1439" s="348"/>
      <c r="Z1439" s="351">
        <f>Z1437*Z1440</f>
        <v>190.44500000000002</v>
      </c>
      <c r="AA1439" s="348"/>
      <c r="AB1439" s="348"/>
      <c r="AC1439" s="348"/>
      <c r="AD1439" s="348"/>
      <c r="AE1439" s="351">
        <f>AE1437*AE1440</f>
        <v>183.92600000000002</v>
      </c>
      <c r="AF1439" s="351">
        <f>AF1437*AF1440</f>
        <v>172.65100000000001</v>
      </c>
      <c r="AG1439" s="351">
        <f t="shared" ref="AG1439:AL1439" si="1157">AG1437*AG1440</f>
        <v>161.417</v>
      </c>
      <c r="AH1439" s="351">
        <f t="shared" si="1157"/>
        <v>150.22400000000002</v>
      </c>
      <c r="AI1439" s="351">
        <f t="shared" si="1157"/>
        <v>139.072</v>
      </c>
      <c r="AJ1439" s="351">
        <f t="shared" si="1157"/>
        <v>127.961</v>
      </c>
      <c r="AK1439" s="351">
        <f t="shared" si="1157"/>
        <v>116.89100000000001</v>
      </c>
      <c r="AL1439" s="351">
        <f t="shared" si="1157"/>
        <v>105.86200000000001</v>
      </c>
      <c r="AM1439" s="651"/>
      <c r="AN1439" s="322"/>
      <c r="AO1439" s="322"/>
      <c r="AP1439" s="322"/>
      <c r="AQ1439" s="322"/>
      <c r="AR1439" s="322"/>
      <c r="AS1439" s="322"/>
      <c r="AT1439" s="322"/>
      <c r="AU1439" s="322"/>
      <c r="AV1439" s="322"/>
      <c r="AW1439" s="322"/>
      <c r="AX1439" s="322"/>
      <c r="AY1439" s="322"/>
      <c r="AZ1439" s="322"/>
      <c r="BA1439" s="322"/>
      <c r="BB1439" s="322"/>
    </row>
    <row r="1440" spans="1:54" s="83" customFormat="1">
      <c r="A1440" s="341"/>
      <c r="B1440" s="367"/>
      <c r="C1440" s="341"/>
      <c r="D1440" s="367" t="s">
        <v>330</v>
      </c>
      <c r="E1440" s="367"/>
      <c r="F1440" s="360"/>
      <c r="G1440" s="347"/>
      <c r="H1440" s="347"/>
      <c r="I1440" s="347"/>
      <c r="K1440" s="347"/>
      <c r="L1440" s="348"/>
      <c r="M1440" s="348"/>
      <c r="N1440" s="348"/>
      <c r="O1440" s="348"/>
      <c r="P1440" s="371"/>
      <c r="Q1440" s="372"/>
      <c r="R1440" s="372"/>
      <c r="S1440" s="372"/>
      <c r="T1440" s="372"/>
      <c r="U1440" s="373"/>
      <c r="V1440" s="372"/>
      <c r="W1440" s="372"/>
      <c r="X1440" s="372"/>
      <c r="Y1440" s="372"/>
      <c r="Z1440" s="1054">
        <v>4.1000000000000002E-2</v>
      </c>
      <c r="AA1440" s="372"/>
      <c r="AB1440" s="372"/>
      <c r="AC1440" s="372"/>
      <c r="AD1440" s="372"/>
      <c r="AE1440" s="1055">
        <v>4.1000000000000002E-2</v>
      </c>
      <c r="AF1440" s="1055">
        <f>AE1440</f>
        <v>4.1000000000000002E-2</v>
      </c>
      <c r="AG1440" s="1055">
        <f t="shared" ref="AG1440:AL1440" si="1158">AF1440</f>
        <v>4.1000000000000002E-2</v>
      </c>
      <c r="AH1440" s="1055">
        <f t="shared" si="1158"/>
        <v>4.1000000000000002E-2</v>
      </c>
      <c r="AI1440" s="1055">
        <f t="shared" si="1158"/>
        <v>4.1000000000000002E-2</v>
      </c>
      <c r="AJ1440" s="1055">
        <f t="shared" si="1158"/>
        <v>4.1000000000000002E-2</v>
      </c>
      <c r="AK1440" s="1055">
        <f t="shared" si="1158"/>
        <v>4.1000000000000002E-2</v>
      </c>
      <c r="AL1440" s="1055">
        <f t="shared" si="1158"/>
        <v>4.1000000000000002E-2</v>
      </c>
      <c r="AM1440" s="651"/>
      <c r="AN1440" s="322"/>
      <c r="AO1440" s="322"/>
      <c r="AP1440" s="322"/>
      <c r="AQ1440" s="322"/>
      <c r="AR1440" s="322"/>
      <c r="AS1440" s="322"/>
      <c r="AT1440" s="322"/>
      <c r="AU1440" s="322"/>
      <c r="AV1440" s="322"/>
      <c r="AW1440" s="322"/>
      <c r="AX1440" s="322"/>
      <c r="AY1440" s="322"/>
      <c r="AZ1440" s="322"/>
      <c r="BA1440" s="322"/>
      <c r="BB1440" s="322"/>
    </row>
    <row r="1441" spans="1:54" s="83" customFormat="1">
      <c r="A1441" s="341"/>
      <c r="B1441" s="367"/>
      <c r="C1441" s="341"/>
      <c r="D1441" s="367"/>
      <c r="E1441" s="367"/>
      <c r="F1441" s="360"/>
      <c r="G1441" s="347"/>
      <c r="H1441" s="347"/>
      <c r="I1441" s="347"/>
      <c r="K1441" s="347"/>
      <c r="L1441" s="348"/>
      <c r="M1441" s="348"/>
      <c r="N1441" s="348"/>
      <c r="O1441" s="348"/>
      <c r="P1441" s="371"/>
      <c r="Q1441" s="372"/>
      <c r="R1441" s="372"/>
      <c r="S1441" s="372"/>
      <c r="T1441" s="372"/>
      <c r="U1441" s="373"/>
      <c r="V1441" s="372"/>
      <c r="W1441" s="372"/>
      <c r="X1441" s="372"/>
      <c r="Y1441" s="372"/>
      <c r="Z1441" s="373"/>
      <c r="AA1441" s="372"/>
      <c r="AB1441" s="372"/>
      <c r="AC1441" s="372"/>
      <c r="AD1441" s="372"/>
      <c r="AE1441" s="373"/>
      <c r="AF1441" s="373"/>
      <c r="AG1441" s="128"/>
      <c r="AH1441" s="128"/>
      <c r="AI1441" s="362"/>
      <c r="AJ1441" s="362"/>
      <c r="AK1441" s="223"/>
      <c r="AL1441" s="322"/>
      <c r="AM1441" s="651"/>
      <c r="AN1441" s="322"/>
      <c r="AO1441" s="322"/>
      <c r="AP1441" s="322"/>
      <c r="AQ1441" s="322"/>
      <c r="AR1441" s="322"/>
      <c r="AS1441" s="322"/>
      <c r="AT1441" s="322"/>
      <c r="AU1441" s="322"/>
      <c r="AV1441" s="322"/>
      <c r="AW1441" s="322"/>
      <c r="AX1441" s="322"/>
      <c r="AY1441" s="322"/>
      <c r="AZ1441" s="322"/>
      <c r="BA1441" s="322"/>
      <c r="BB1441" s="322"/>
    </row>
    <row r="1442" spans="1:54" s="83" customFormat="1">
      <c r="A1442" s="341"/>
      <c r="B1442" s="367"/>
      <c r="C1442" s="341"/>
      <c r="D1442" s="367"/>
      <c r="E1442" s="367"/>
      <c r="F1442" s="360"/>
      <c r="G1442" s="347"/>
      <c r="H1442" s="347"/>
      <c r="I1442" s="347"/>
      <c r="K1442" s="347"/>
      <c r="L1442" s="348"/>
      <c r="M1442" s="348"/>
      <c r="N1442" s="348"/>
      <c r="O1442" s="348"/>
      <c r="P1442" s="371"/>
      <c r="Q1442" s="372"/>
      <c r="R1442" s="372"/>
      <c r="S1442" s="372"/>
      <c r="T1442" s="372"/>
      <c r="U1442" s="373"/>
      <c r="V1442" s="372"/>
      <c r="W1442" s="372"/>
      <c r="X1442" s="372"/>
      <c r="Y1442" s="372"/>
      <c r="Z1442" s="373"/>
      <c r="AA1442" s="372"/>
      <c r="AB1442" s="372"/>
      <c r="AC1442" s="372"/>
      <c r="AD1442" s="372"/>
      <c r="AE1442" s="373"/>
      <c r="AF1442" s="373"/>
      <c r="AG1442" s="128"/>
      <c r="AH1442" s="128"/>
      <c r="AI1442" s="362"/>
      <c r="AJ1442" s="362"/>
      <c r="AK1442" s="223"/>
      <c r="AL1442" s="322"/>
      <c r="AM1442" s="651"/>
      <c r="AN1442" s="322"/>
      <c r="AO1442" s="322"/>
      <c r="AP1442" s="322"/>
      <c r="AQ1442" s="322"/>
      <c r="AR1442" s="322"/>
      <c r="AS1442" s="322"/>
      <c r="AT1442" s="322"/>
      <c r="AU1442" s="322"/>
      <c r="AV1442" s="322"/>
      <c r="AW1442" s="322"/>
      <c r="AX1442" s="322"/>
      <c r="AY1442" s="322"/>
      <c r="AZ1442" s="322"/>
      <c r="BA1442" s="322"/>
      <c r="BB1442" s="322"/>
    </row>
    <row r="1443" spans="1:54" s="83" customFormat="1">
      <c r="A1443" s="341"/>
      <c r="B1443" s="367"/>
      <c r="C1443" s="341"/>
      <c r="D1443" s="367"/>
      <c r="E1443" s="367"/>
      <c r="F1443" s="360"/>
      <c r="G1443" s="347"/>
      <c r="H1443" s="347"/>
      <c r="I1443" s="347"/>
      <c r="K1443" s="347"/>
      <c r="L1443" s="348"/>
      <c r="M1443" s="348"/>
      <c r="N1443" s="348"/>
      <c r="O1443" s="348"/>
      <c r="P1443" s="371"/>
      <c r="Q1443" s="372"/>
      <c r="R1443" s="372"/>
      <c r="S1443" s="372"/>
      <c r="T1443" s="372"/>
      <c r="U1443" s="373"/>
      <c r="V1443" s="372"/>
      <c r="W1443" s="372"/>
      <c r="X1443" s="372"/>
      <c r="Y1443" s="372"/>
      <c r="Z1443" s="373"/>
      <c r="AA1443" s="372"/>
      <c r="AB1443" s="372"/>
      <c r="AC1443" s="372"/>
      <c r="AD1443" s="372"/>
      <c r="AE1443" s="373"/>
      <c r="AF1443" s="373"/>
      <c r="AG1443" s="128"/>
      <c r="AH1443" s="128"/>
      <c r="AI1443" s="362"/>
      <c r="AJ1443" s="362"/>
      <c r="AK1443" s="223"/>
      <c r="AL1443" s="322"/>
      <c r="AM1443" s="651"/>
      <c r="AN1443" s="322"/>
      <c r="AO1443" s="322"/>
      <c r="AP1443" s="322"/>
      <c r="AQ1443" s="322"/>
      <c r="AR1443" s="322"/>
      <c r="AS1443" s="322"/>
      <c r="AT1443" s="322"/>
      <c r="AU1443" s="322"/>
      <c r="AV1443" s="322"/>
      <c r="AW1443" s="322"/>
      <c r="AX1443" s="322"/>
      <c r="AY1443" s="322"/>
      <c r="AZ1443" s="322"/>
      <c r="BA1443" s="322"/>
      <c r="BB1443" s="322"/>
    </row>
    <row r="1444" spans="1:54" s="83" customFormat="1">
      <c r="A1444" s="341"/>
      <c r="B1444" s="367"/>
      <c r="C1444" s="341"/>
      <c r="D1444" s="367"/>
      <c r="E1444" s="367"/>
      <c r="F1444" s="360"/>
      <c r="G1444" s="347"/>
      <c r="H1444" s="347"/>
      <c r="I1444" s="347"/>
      <c r="K1444" s="347"/>
      <c r="L1444" s="348"/>
      <c r="M1444" s="348"/>
      <c r="N1444" s="348"/>
      <c r="O1444" s="348"/>
      <c r="P1444" s="371"/>
      <c r="Q1444" s="372"/>
      <c r="R1444" s="372"/>
      <c r="S1444" s="372"/>
      <c r="T1444" s="372"/>
      <c r="U1444" s="373"/>
      <c r="V1444" s="372"/>
      <c r="W1444" s="372"/>
      <c r="X1444" s="372"/>
      <c r="Y1444" s="372"/>
      <c r="Z1444" s="373"/>
      <c r="AA1444" s="372"/>
      <c r="AB1444" s="372"/>
      <c r="AC1444" s="372"/>
      <c r="AD1444" s="372"/>
      <c r="AE1444" s="373"/>
      <c r="AF1444" s="373"/>
      <c r="AG1444" s="128"/>
      <c r="AH1444" s="128"/>
      <c r="AI1444" s="362"/>
      <c r="AJ1444" s="362"/>
      <c r="AK1444" s="223"/>
      <c r="AL1444" s="322"/>
      <c r="AM1444" s="651"/>
      <c r="AN1444" s="322"/>
      <c r="AO1444" s="322"/>
      <c r="AP1444" s="322"/>
      <c r="AQ1444" s="322"/>
      <c r="AR1444" s="322"/>
      <c r="AS1444" s="322"/>
      <c r="AT1444" s="322"/>
      <c r="AU1444" s="322"/>
      <c r="AV1444" s="322"/>
      <c r="AW1444" s="322"/>
      <c r="AX1444" s="322"/>
      <c r="AY1444" s="322"/>
      <c r="AZ1444" s="322"/>
      <c r="BA1444" s="322"/>
      <c r="BB1444" s="322"/>
    </row>
    <row r="1445" spans="1:54" s="83" customFormat="1">
      <c r="A1445" s="341"/>
      <c r="B1445" s="367"/>
      <c r="C1445" s="341"/>
      <c r="D1445" s="367"/>
      <c r="E1445" s="367"/>
      <c r="F1445" s="360"/>
      <c r="G1445" s="347"/>
      <c r="H1445" s="347"/>
      <c r="I1445" s="347"/>
      <c r="K1445" s="347"/>
      <c r="L1445" s="348"/>
      <c r="M1445" s="348"/>
      <c r="N1445" s="348"/>
      <c r="O1445" s="348"/>
      <c r="P1445" s="371"/>
      <c r="Q1445" s="372"/>
      <c r="R1445" s="372"/>
      <c r="S1445" s="372"/>
      <c r="T1445" s="372"/>
      <c r="U1445" s="373"/>
      <c r="V1445" s="372"/>
      <c r="W1445" s="372"/>
      <c r="X1445" s="372"/>
      <c r="Y1445" s="372"/>
      <c r="Z1445" s="373"/>
      <c r="AA1445" s="372"/>
      <c r="AB1445" s="372"/>
      <c r="AC1445" s="372"/>
      <c r="AD1445" s="372"/>
      <c r="AE1445" s="373"/>
      <c r="AF1445" s="373"/>
      <c r="AG1445" s="128"/>
      <c r="AH1445" s="128"/>
      <c r="AI1445" s="362"/>
      <c r="AJ1445" s="362"/>
      <c r="AK1445" s="223"/>
      <c r="AL1445" s="322"/>
      <c r="AM1445" s="651"/>
      <c r="AN1445" s="322"/>
      <c r="AO1445" s="322"/>
      <c r="AP1445" s="322"/>
      <c r="AQ1445" s="322"/>
      <c r="AR1445" s="322"/>
      <c r="AS1445" s="322"/>
      <c r="AT1445" s="322"/>
      <c r="AU1445" s="322"/>
      <c r="AV1445" s="322"/>
      <c r="AW1445" s="322"/>
      <c r="AX1445" s="322"/>
      <c r="AY1445" s="322"/>
      <c r="AZ1445" s="322"/>
      <c r="BA1445" s="322"/>
      <c r="BB1445" s="322"/>
    </row>
    <row r="1446" spans="1:54" s="83" customFormat="1">
      <c r="A1446" s="341"/>
      <c r="B1446" s="367"/>
      <c r="C1446" s="341"/>
      <c r="D1446" s="367"/>
      <c r="E1446" s="367"/>
      <c r="F1446" s="360"/>
      <c r="G1446" s="347"/>
      <c r="H1446" s="347"/>
      <c r="I1446" s="347"/>
      <c r="K1446" s="347"/>
      <c r="L1446" s="348"/>
      <c r="M1446" s="348"/>
      <c r="N1446" s="348"/>
      <c r="O1446" s="348"/>
      <c r="P1446" s="371"/>
      <c r="Q1446" s="372"/>
      <c r="R1446" s="372"/>
      <c r="S1446" s="372"/>
      <c r="T1446" s="372"/>
      <c r="U1446" s="373"/>
      <c r="V1446" s="372"/>
      <c r="W1446" s="372"/>
      <c r="X1446" s="372"/>
      <c r="Y1446" s="372"/>
      <c r="Z1446" s="373"/>
      <c r="AA1446" s="372"/>
      <c r="AB1446" s="372"/>
      <c r="AC1446" s="372"/>
      <c r="AD1446" s="372"/>
      <c r="AE1446" s="373"/>
      <c r="AF1446" s="373"/>
      <c r="AG1446" s="128"/>
      <c r="AH1446" s="128"/>
      <c r="AI1446" s="362"/>
      <c r="AJ1446" s="362"/>
      <c r="AK1446" s="223"/>
      <c r="AL1446" s="322"/>
      <c r="AM1446" s="651"/>
      <c r="AN1446" s="322"/>
      <c r="AO1446" s="322"/>
      <c r="AP1446" s="322"/>
      <c r="AQ1446" s="322"/>
      <c r="AR1446" s="322"/>
      <c r="AS1446" s="322"/>
      <c r="AT1446" s="322"/>
      <c r="AU1446" s="322"/>
      <c r="AV1446" s="322"/>
      <c r="AW1446" s="322"/>
      <c r="AX1446" s="322"/>
      <c r="AY1446" s="322"/>
      <c r="AZ1446" s="322"/>
      <c r="BA1446" s="322"/>
      <c r="BB1446" s="322"/>
    </row>
    <row r="1447" spans="1:54" s="83" customFormat="1">
      <c r="A1447" s="341"/>
      <c r="B1447" s="367"/>
      <c r="C1447" s="341"/>
      <c r="D1447" s="367"/>
      <c r="E1447" s="367"/>
      <c r="F1447" s="360"/>
      <c r="G1447" s="347"/>
      <c r="H1447" s="347"/>
      <c r="I1447" s="347"/>
      <c r="K1447" s="347"/>
      <c r="L1447" s="348"/>
      <c r="M1447" s="348"/>
      <c r="N1447" s="348"/>
      <c r="O1447" s="348"/>
      <c r="P1447" s="371"/>
      <c r="Q1447" s="372"/>
      <c r="R1447" s="372"/>
      <c r="S1447" s="372"/>
      <c r="T1447" s="372"/>
      <c r="U1447" s="373"/>
      <c r="V1447" s="372"/>
      <c r="W1447" s="372"/>
      <c r="X1447" s="372"/>
      <c r="Y1447" s="372"/>
      <c r="Z1447" s="373"/>
      <c r="AA1447" s="372"/>
      <c r="AB1447" s="372"/>
      <c r="AC1447" s="372"/>
      <c r="AD1447" s="372"/>
      <c r="AE1447" s="373"/>
      <c r="AF1447" s="373"/>
      <c r="AG1447" s="128"/>
      <c r="AH1447" s="128"/>
      <c r="AI1447" s="362"/>
      <c r="AJ1447" s="362"/>
      <c r="AK1447" s="223"/>
      <c r="AL1447" s="322"/>
      <c r="AM1447" s="651"/>
      <c r="AN1447" s="322"/>
      <c r="AO1447" s="322"/>
      <c r="AP1447" s="322"/>
      <c r="AQ1447" s="322"/>
      <c r="AR1447" s="322"/>
      <c r="AS1447" s="322"/>
      <c r="AT1447" s="322"/>
      <c r="AU1447" s="322"/>
      <c r="AV1447" s="322"/>
      <c r="AW1447" s="322"/>
      <c r="AX1447" s="322"/>
      <c r="AY1447" s="322"/>
      <c r="AZ1447" s="322"/>
      <c r="BA1447" s="322"/>
      <c r="BB1447" s="322"/>
    </row>
    <row r="1448" spans="1:54" s="83" customFormat="1">
      <c r="A1448" s="341"/>
      <c r="B1448" s="367"/>
      <c r="C1448" s="341"/>
      <c r="L1448" s="369"/>
      <c r="M1448" s="369"/>
      <c r="N1448" s="369"/>
      <c r="O1448" s="369"/>
      <c r="Q1448" s="369"/>
      <c r="R1448" s="369"/>
      <c r="S1448" s="369"/>
      <c r="T1448" s="369"/>
      <c r="V1448" s="369"/>
      <c r="W1448" s="369"/>
      <c r="X1448" s="369"/>
      <c r="Y1448" s="369"/>
      <c r="AA1448" s="369"/>
      <c r="AB1448" s="369"/>
      <c r="AC1448" s="369"/>
      <c r="AD1448" s="369"/>
      <c r="AG1448" s="128"/>
      <c r="AH1448" s="128"/>
      <c r="AI1448" s="362"/>
      <c r="AJ1448" s="362"/>
      <c r="AK1448" s="223"/>
      <c r="AL1448" s="322"/>
      <c r="AM1448" s="651"/>
      <c r="AN1448" s="322"/>
      <c r="AO1448" s="322"/>
      <c r="AP1448" s="322"/>
      <c r="AQ1448" s="322"/>
      <c r="AR1448" s="322"/>
      <c r="AS1448" s="322"/>
      <c r="AT1448" s="322"/>
      <c r="AU1448" s="322"/>
      <c r="AV1448" s="322"/>
      <c r="AW1448" s="322"/>
      <c r="AX1448" s="322"/>
      <c r="AY1448" s="322"/>
      <c r="AZ1448" s="322"/>
      <c r="BA1448" s="322"/>
      <c r="BB1448" s="322"/>
    </row>
    <row r="1449" spans="1:54" s="83" customFormat="1">
      <c r="A1449" s="341"/>
      <c r="B1449" s="341"/>
      <c r="C1449" s="341"/>
      <c r="D1449" s="83" t="s">
        <v>0</v>
      </c>
      <c r="P1449" s="92"/>
      <c r="Q1449" s="369"/>
      <c r="R1449" s="369"/>
      <c r="S1449" s="369"/>
      <c r="T1449" s="369"/>
      <c r="U1449" s="92"/>
      <c r="V1449" s="369"/>
      <c r="W1449" s="369"/>
      <c r="X1449" s="369"/>
      <c r="Y1449" s="369"/>
      <c r="Z1449" s="92"/>
      <c r="AA1449" s="369"/>
      <c r="AB1449" s="369"/>
      <c r="AC1449" s="369"/>
      <c r="AD1449" s="369"/>
      <c r="AE1449" s="92"/>
      <c r="AF1449" s="92"/>
      <c r="AG1449" s="128"/>
      <c r="AH1449" s="128"/>
      <c r="AI1449" s="362"/>
      <c r="AJ1449" s="362"/>
      <c r="AK1449" s="223"/>
      <c r="AL1449" s="322"/>
      <c r="AM1449" s="651"/>
      <c r="AN1449" s="322"/>
      <c r="AO1449" s="322"/>
      <c r="AP1449" s="322"/>
      <c r="AQ1449" s="322"/>
      <c r="AR1449" s="322"/>
      <c r="AS1449" s="322"/>
      <c r="AT1449" s="322"/>
      <c r="AU1449" s="322"/>
      <c r="AV1449" s="322"/>
      <c r="AW1449" s="322"/>
      <c r="AX1449" s="322"/>
      <c r="AY1449" s="322"/>
      <c r="AZ1449" s="322"/>
      <c r="BA1449" s="322"/>
      <c r="BB1449" s="322"/>
    </row>
    <row r="1450" spans="1:54" s="83" customFormat="1">
      <c r="A1450" s="341"/>
      <c r="B1450" s="341"/>
      <c r="C1450" s="341"/>
      <c r="P1450" s="92"/>
      <c r="Q1450" s="369"/>
      <c r="R1450" s="369"/>
      <c r="S1450" s="369"/>
      <c r="T1450" s="369"/>
      <c r="U1450" s="92"/>
      <c r="V1450" s="369"/>
      <c r="W1450" s="369"/>
      <c r="X1450" s="369"/>
      <c r="Y1450" s="369"/>
      <c r="Z1450" s="92"/>
      <c r="AA1450" s="369"/>
      <c r="AB1450" s="369"/>
      <c r="AC1450" s="369"/>
      <c r="AD1450" s="369"/>
      <c r="AE1450" s="92"/>
      <c r="AF1450" s="92"/>
      <c r="AG1450" s="128"/>
      <c r="AH1450" s="128"/>
      <c r="AI1450" s="362"/>
      <c r="AJ1450" s="362"/>
      <c r="AK1450" s="223"/>
      <c r="AL1450" s="322"/>
      <c r="AM1450" s="651"/>
      <c r="AN1450" s="322"/>
      <c r="AO1450" s="322"/>
      <c r="AP1450" s="322"/>
      <c r="AQ1450" s="322"/>
      <c r="AR1450" s="322"/>
      <c r="AS1450" s="322"/>
      <c r="AT1450" s="322"/>
      <c r="AU1450" s="322"/>
      <c r="AV1450" s="322"/>
      <c r="AW1450" s="322"/>
      <c r="AX1450" s="322"/>
      <c r="AY1450" s="322"/>
      <c r="AZ1450" s="322"/>
      <c r="BA1450" s="322"/>
      <c r="BB1450" s="322"/>
    </row>
    <row r="1451" spans="1:54" s="83" customFormat="1">
      <c r="A1451" s="341"/>
      <c r="B1451" s="341"/>
      <c r="C1451" s="341"/>
      <c r="D1451" s="108"/>
      <c r="E1451" s="108"/>
      <c r="F1451" s="108"/>
      <c r="G1451" s="108"/>
      <c r="H1451" s="108"/>
      <c r="I1451" s="375"/>
      <c r="J1451" s="375"/>
      <c r="K1451" s="92"/>
      <c r="L1451" s="92"/>
      <c r="M1451" s="92"/>
      <c r="N1451" s="92"/>
      <c r="O1451" s="92"/>
      <c r="P1451" s="92"/>
      <c r="Q1451" s="369"/>
      <c r="R1451" s="369"/>
      <c r="S1451" s="369"/>
      <c r="T1451" s="369"/>
      <c r="U1451" s="92"/>
      <c r="V1451" s="369"/>
      <c r="W1451" s="369"/>
      <c r="X1451" s="369"/>
      <c r="Y1451" s="369"/>
      <c r="Z1451" s="92"/>
      <c r="AA1451" s="369"/>
      <c r="AB1451" s="369"/>
      <c r="AC1451" s="369"/>
      <c r="AD1451" s="369"/>
      <c r="AE1451" s="92"/>
      <c r="AF1451" s="92"/>
      <c r="AG1451" s="128"/>
      <c r="AH1451" s="128"/>
      <c r="AI1451" s="362"/>
      <c r="AJ1451" s="362"/>
      <c r="AK1451" s="223"/>
      <c r="AL1451" s="322"/>
      <c r="AM1451" s="651"/>
      <c r="AN1451" s="322"/>
      <c r="AO1451" s="322"/>
      <c r="AP1451" s="322"/>
      <c r="AQ1451" s="322"/>
      <c r="AR1451" s="322"/>
      <c r="AS1451" s="322"/>
      <c r="AT1451" s="322"/>
      <c r="AU1451" s="322"/>
      <c r="AV1451" s="322"/>
      <c r="AW1451" s="322"/>
      <c r="AX1451" s="322"/>
      <c r="AY1451" s="322"/>
      <c r="AZ1451" s="322"/>
      <c r="BA1451" s="322"/>
      <c r="BB1451" s="322"/>
    </row>
    <row r="1452" spans="1:54" s="83" customFormat="1">
      <c r="A1452" s="341"/>
      <c r="B1452" s="341"/>
      <c r="C1452" s="341"/>
      <c r="D1452" s="108"/>
      <c r="E1452" s="108"/>
      <c r="F1452" s="108"/>
      <c r="G1452" s="108"/>
      <c r="H1452" s="108"/>
      <c r="I1452" s="375"/>
      <c r="P1452" s="92"/>
      <c r="Q1452" s="369"/>
      <c r="R1452" s="369"/>
      <c r="S1452" s="369"/>
      <c r="T1452" s="369"/>
      <c r="U1452" s="92"/>
      <c r="V1452" s="369"/>
      <c r="W1452" s="369"/>
      <c r="X1452" s="369"/>
      <c r="Y1452" s="369"/>
      <c r="Z1452" s="92"/>
      <c r="AA1452" s="369"/>
      <c r="AB1452" s="369"/>
      <c r="AC1452" s="369"/>
      <c r="AD1452" s="369"/>
      <c r="AE1452" s="92"/>
      <c r="AF1452" s="92"/>
      <c r="AG1452" s="128"/>
      <c r="AH1452" s="128"/>
      <c r="AI1452" s="362"/>
      <c r="AJ1452" s="362"/>
      <c r="AK1452" s="223"/>
      <c r="AL1452" s="322"/>
      <c r="AM1452" s="651"/>
      <c r="AN1452" s="322"/>
      <c r="AO1452" s="322"/>
      <c r="AP1452" s="322"/>
      <c r="AQ1452" s="322"/>
      <c r="AR1452" s="322"/>
      <c r="AS1452" s="322"/>
      <c r="AT1452" s="322"/>
      <c r="AU1452" s="322"/>
      <c r="AV1452" s="322"/>
      <c r="AW1452" s="322"/>
      <c r="AX1452" s="322"/>
      <c r="AY1452" s="322"/>
      <c r="AZ1452" s="322"/>
      <c r="BA1452" s="322"/>
      <c r="BB1452" s="322"/>
    </row>
    <row r="1453" spans="1:54" s="83" customFormat="1">
      <c r="A1453" s="341"/>
      <c r="B1453" s="341"/>
      <c r="C1453" s="341"/>
      <c r="D1453" s="344" t="s">
        <v>371</v>
      </c>
      <c r="E1453" s="376"/>
      <c r="F1453" s="108"/>
      <c r="G1453" s="108"/>
      <c r="H1453" s="108"/>
      <c r="I1453" s="375"/>
      <c r="P1453" s="92"/>
      <c r="Q1453" s="369"/>
      <c r="R1453" s="369"/>
      <c r="S1453" s="369"/>
      <c r="T1453" s="369"/>
      <c r="U1453" s="92"/>
      <c r="V1453" s="369"/>
      <c r="W1453" s="369"/>
      <c r="X1453" s="369"/>
      <c r="Y1453" s="369"/>
      <c r="Z1453" s="92"/>
      <c r="AA1453" s="369"/>
      <c r="AB1453" s="369"/>
      <c r="AC1453" s="369"/>
      <c r="AD1453" s="369"/>
      <c r="AE1453" s="92"/>
      <c r="AF1453" s="92"/>
      <c r="AG1453" s="128"/>
      <c r="AH1453" s="128"/>
      <c r="AI1453" s="362"/>
      <c r="AJ1453" s="362"/>
      <c r="AK1453" s="223"/>
      <c r="AL1453" s="322"/>
      <c r="AM1453" s="651"/>
      <c r="AN1453" s="322"/>
      <c r="AO1453" s="322"/>
      <c r="AP1453" s="322"/>
      <c r="AQ1453" s="322"/>
      <c r="AR1453" s="322"/>
      <c r="AS1453" s="322"/>
      <c r="AT1453" s="322"/>
      <c r="AU1453" s="322"/>
      <c r="AV1453" s="322"/>
      <c r="AW1453" s="322"/>
      <c r="AX1453" s="322"/>
      <c r="AY1453" s="322"/>
      <c r="AZ1453" s="322"/>
      <c r="BA1453" s="322"/>
      <c r="BB1453" s="322"/>
    </row>
    <row r="1454" spans="1:54" s="83" customFormat="1">
      <c r="A1454" s="341"/>
      <c r="B1454" s="341"/>
      <c r="C1454" s="341"/>
      <c r="D1454" s="376"/>
      <c r="E1454" s="376"/>
      <c r="F1454" s="108"/>
      <c r="G1454" s="108"/>
      <c r="H1454" s="108"/>
      <c r="I1454" s="375"/>
      <c r="P1454" s="92"/>
      <c r="Q1454" s="369"/>
      <c r="R1454" s="369"/>
      <c r="S1454" s="369"/>
      <c r="T1454" s="369"/>
      <c r="U1454" s="92"/>
      <c r="V1454" s="369"/>
      <c r="W1454" s="369"/>
      <c r="X1454" s="369"/>
      <c r="Y1454" s="369"/>
      <c r="Z1454" s="92"/>
      <c r="AA1454" s="369"/>
      <c r="AB1454" s="369"/>
      <c r="AC1454" s="369"/>
      <c r="AD1454" s="369"/>
      <c r="AE1454" s="92"/>
      <c r="AF1454" s="92"/>
      <c r="AG1454" s="128"/>
      <c r="AH1454" s="128"/>
      <c r="AI1454" s="362"/>
      <c r="AJ1454" s="362"/>
      <c r="AK1454" s="223"/>
      <c r="AL1454" s="322"/>
      <c r="AM1454" s="651"/>
      <c r="AN1454" s="322"/>
      <c r="AO1454" s="322"/>
      <c r="AP1454" s="322"/>
      <c r="AQ1454" s="322"/>
      <c r="AR1454" s="322"/>
      <c r="AS1454" s="322"/>
      <c r="AT1454" s="322"/>
      <c r="AU1454" s="322"/>
      <c r="AV1454" s="322"/>
      <c r="AW1454" s="322"/>
      <c r="AX1454" s="322"/>
      <c r="AY1454" s="322"/>
      <c r="AZ1454" s="322"/>
      <c r="BA1454" s="322"/>
      <c r="BB1454" s="322"/>
    </row>
    <row r="1455" spans="1:54" s="83" customFormat="1">
      <c r="A1455" s="341"/>
      <c r="B1455" s="341"/>
      <c r="C1455" s="341"/>
      <c r="D1455" s="366" t="s">
        <v>372</v>
      </c>
      <c r="E1455" s="366"/>
      <c r="P1455" s="92"/>
      <c r="Q1455" s="369"/>
      <c r="R1455" s="369"/>
      <c r="S1455" s="369"/>
      <c r="T1455" s="369"/>
      <c r="U1455" s="92"/>
      <c r="V1455" s="369"/>
      <c r="W1455" s="369"/>
      <c r="X1455" s="369"/>
      <c r="Y1455" s="369"/>
      <c r="Z1455" s="92"/>
      <c r="AA1455" s="369"/>
      <c r="AB1455" s="369"/>
      <c r="AC1455" s="369"/>
      <c r="AD1455" s="369"/>
      <c r="AE1455" s="92"/>
      <c r="AF1455" s="92"/>
      <c r="AG1455" s="128"/>
      <c r="AH1455" s="128"/>
      <c r="AI1455" s="362"/>
      <c r="AJ1455" s="362"/>
      <c r="AK1455" s="223"/>
      <c r="AL1455" s="322"/>
      <c r="AM1455" s="651"/>
      <c r="AN1455" s="322"/>
      <c r="AO1455" s="322"/>
      <c r="AP1455" s="322"/>
      <c r="AQ1455" s="322"/>
      <c r="AR1455" s="322"/>
      <c r="AS1455" s="322"/>
      <c r="AT1455" s="322"/>
      <c r="AU1455" s="322"/>
      <c r="AV1455" s="322"/>
      <c r="AW1455" s="322"/>
      <c r="AX1455" s="322"/>
      <c r="AY1455" s="322"/>
      <c r="AZ1455" s="322"/>
      <c r="BA1455" s="322"/>
      <c r="BB1455" s="322"/>
    </row>
    <row r="1456" spans="1:54" s="83" customFormat="1">
      <c r="A1456" s="341"/>
      <c r="B1456" s="341"/>
      <c r="C1456" s="341"/>
      <c r="D1456" s="367" t="s">
        <v>299</v>
      </c>
      <c r="E1456" s="367"/>
      <c r="F1456" s="92"/>
      <c r="G1456" s="92"/>
      <c r="H1456" s="100">
        <f>G1459</f>
        <v>6640</v>
      </c>
      <c r="I1456" s="100">
        <f>H1459</f>
        <v>6509</v>
      </c>
      <c r="J1456" s="100">
        <f>I1459</f>
        <v>6634</v>
      </c>
      <c r="K1456" s="100">
        <f>J1459</f>
        <v>6644</v>
      </c>
      <c r="L1456" s="92"/>
      <c r="M1456" s="92"/>
      <c r="N1456" s="92"/>
      <c r="O1456" s="92"/>
      <c r="P1456" s="100">
        <f>K1459</f>
        <v>6609</v>
      </c>
      <c r="Q1456" s="369"/>
      <c r="R1456" s="369"/>
      <c r="S1456" s="369"/>
      <c r="T1456" s="369"/>
      <c r="U1456" s="100">
        <f>P1459</f>
        <v>6601</v>
      </c>
      <c r="V1456" s="369"/>
      <c r="W1456" s="369"/>
      <c r="X1456" s="369"/>
      <c r="Y1456" s="369"/>
      <c r="Z1456" s="100">
        <f>U1459</f>
        <v>6601</v>
      </c>
      <c r="AA1456" s="369"/>
      <c r="AB1456" s="369"/>
      <c r="AC1456" s="369"/>
      <c r="AD1456" s="369"/>
      <c r="AE1456" s="100">
        <f ca="1">Z1459</f>
        <v>6666.3813600000003</v>
      </c>
      <c r="AF1456" s="100">
        <f t="shared" ref="AF1456:AL1456" ca="1" si="1159">AE1459</f>
        <v>6737.0752149103937</v>
      </c>
      <c r="AG1456" s="100">
        <f t="shared" ca="1" si="1159"/>
        <v>6809.4576157033498</v>
      </c>
      <c r="AH1456" s="100">
        <f t="shared" ca="1" si="1159"/>
        <v>6882.8576392933137</v>
      </c>
      <c r="AI1456" s="100">
        <f t="shared" ca="1" si="1159"/>
        <v>6958.3595983317527</v>
      </c>
      <c r="AJ1456" s="100">
        <f t="shared" ca="1" si="1159"/>
        <v>7036.5821329097598</v>
      </c>
      <c r="AK1456" s="100">
        <f t="shared" ca="1" si="1159"/>
        <v>7115.7427969841692</v>
      </c>
      <c r="AL1456" s="100">
        <f t="shared" ca="1" si="1159"/>
        <v>7196.8414610585787</v>
      </c>
      <c r="AM1456" s="651"/>
      <c r="AN1456" s="322"/>
      <c r="AO1456" s="322"/>
      <c r="AP1456" s="322"/>
      <c r="AQ1456" s="322"/>
      <c r="AR1456" s="322"/>
      <c r="AS1456" s="322"/>
      <c r="AT1456" s="322"/>
      <c r="AU1456" s="322"/>
      <c r="AV1456" s="322"/>
      <c r="AW1456" s="322"/>
      <c r="AX1456" s="322"/>
      <c r="AY1456" s="322"/>
      <c r="AZ1456" s="322"/>
      <c r="BA1456" s="322"/>
      <c r="BB1456" s="322"/>
    </row>
    <row r="1457" spans="1:54" s="83" customFormat="1">
      <c r="A1457" s="341"/>
      <c r="B1457" s="341"/>
      <c r="C1457" s="341"/>
      <c r="D1457" s="367" t="s">
        <v>373</v>
      </c>
      <c r="E1457" s="367"/>
      <c r="F1457" s="92"/>
      <c r="G1457" s="92"/>
      <c r="H1457" s="92"/>
      <c r="I1457" s="92"/>
      <c r="J1457" s="92"/>
      <c r="K1457" s="92"/>
      <c r="L1457" s="92"/>
      <c r="M1457" s="92"/>
      <c r="N1457" s="92"/>
      <c r="O1457" s="92"/>
      <c r="P1457" s="100">
        <f>P1459-P1458-P1456</f>
        <v>-8</v>
      </c>
      <c r="Q1457" s="369"/>
      <c r="R1457" s="369"/>
      <c r="S1457" s="369"/>
      <c r="T1457" s="369"/>
      <c r="U1457" s="259">
        <v>0</v>
      </c>
      <c r="V1457" s="369"/>
      <c r="W1457" s="369"/>
      <c r="X1457" s="369"/>
      <c r="Y1457" s="369"/>
      <c r="Z1457" s="208">
        <f>Z1461</f>
        <v>0</v>
      </c>
      <c r="AA1457" s="369"/>
      <c r="AB1457" s="369"/>
      <c r="AC1457" s="369"/>
      <c r="AD1457" s="369"/>
      <c r="AE1457" s="208">
        <f>Z1457</f>
        <v>0</v>
      </c>
      <c r="AF1457" s="208">
        <f t="shared" ref="AF1457:AL1457" si="1160">AE1457</f>
        <v>0</v>
      </c>
      <c r="AG1457" s="208">
        <f t="shared" si="1160"/>
        <v>0</v>
      </c>
      <c r="AH1457" s="208">
        <f t="shared" si="1160"/>
        <v>0</v>
      </c>
      <c r="AI1457" s="208">
        <f t="shared" si="1160"/>
        <v>0</v>
      </c>
      <c r="AJ1457" s="208">
        <f t="shared" si="1160"/>
        <v>0</v>
      </c>
      <c r="AK1457" s="208">
        <f t="shared" si="1160"/>
        <v>0</v>
      </c>
      <c r="AL1457" s="208">
        <f t="shared" si="1160"/>
        <v>0</v>
      </c>
      <c r="AM1457" s="651"/>
      <c r="AN1457" s="322"/>
      <c r="AO1457" s="322"/>
      <c r="AP1457" s="322"/>
      <c r="AQ1457" s="322"/>
      <c r="AR1457" s="322"/>
      <c r="AS1457" s="322"/>
      <c r="AT1457" s="322"/>
      <c r="AU1457" s="322"/>
      <c r="AV1457" s="322"/>
      <c r="AW1457" s="322"/>
      <c r="AX1457" s="322"/>
      <c r="AY1457" s="322"/>
      <c r="AZ1457" s="322"/>
      <c r="BA1457" s="322"/>
      <c r="BB1457" s="322"/>
    </row>
    <row r="1458" spans="1:54" s="83" customFormat="1">
      <c r="A1458" s="341"/>
      <c r="B1458" s="341"/>
      <c r="C1458" s="341"/>
      <c r="D1458" s="367" t="s">
        <v>374</v>
      </c>
      <c r="E1458" s="367"/>
      <c r="F1458" s="92"/>
      <c r="G1458" s="92"/>
      <c r="H1458" s="90">
        <v>0</v>
      </c>
      <c r="I1458" s="90">
        <v>0</v>
      </c>
      <c r="J1458" s="90">
        <v>0</v>
      </c>
      <c r="K1458" s="90">
        <v>0</v>
      </c>
      <c r="L1458" s="92"/>
      <c r="M1458" s="92"/>
      <c r="N1458" s="92"/>
      <c r="O1458" s="92"/>
      <c r="P1458" s="90">
        <v>0</v>
      </c>
      <c r="Q1458" s="369"/>
      <c r="R1458" s="369"/>
      <c r="S1458" s="369"/>
      <c r="T1458" s="369"/>
      <c r="U1458" s="259">
        <v>0</v>
      </c>
      <c r="V1458" s="369"/>
      <c r="W1458" s="369"/>
      <c r="X1458" s="369"/>
      <c r="Y1458" s="369"/>
      <c r="Z1458" s="208">
        <f ca="1">-(Z1260+Z1269)*Z1463</f>
        <v>65.381360000000001</v>
      </c>
      <c r="AA1458" s="369"/>
      <c r="AB1458" s="369"/>
      <c r="AC1458" s="369"/>
      <c r="AD1458" s="369"/>
      <c r="AE1458" s="208">
        <f t="shared" ref="AE1458:AL1458" ca="1" si="1161">-(AE1260+AE1269)*AE1463</f>
        <v>70.693854910393156</v>
      </c>
      <c r="AF1458" s="208">
        <f ca="1">-(AF1260+AF1269)*AF1463</f>
        <v>72.382400792956403</v>
      </c>
      <c r="AG1458" s="208">
        <f t="shared" ca="1" si="1161"/>
        <v>73.400023589963595</v>
      </c>
      <c r="AH1458" s="208">
        <f t="shared" ca="1" si="1161"/>
        <v>75.501959038438613</v>
      </c>
      <c r="AI1458" s="208">
        <f t="shared" ca="1" si="1161"/>
        <v>78.222534578006943</v>
      </c>
      <c r="AJ1458" s="208">
        <f t="shared" ca="1" si="1161"/>
        <v>79.160664074409823</v>
      </c>
      <c r="AK1458" s="208">
        <f t="shared" ca="1" si="1161"/>
        <v>81.098664074409825</v>
      </c>
      <c r="AL1458" s="208">
        <f t="shared" ca="1" si="1161"/>
        <v>81.098664074409825</v>
      </c>
      <c r="AM1458" s="651"/>
      <c r="AN1458" s="322"/>
      <c r="AO1458" s="322"/>
      <c r="AP1458" s="322"/>
      <c r="AQ1458" s="322"/>
      <c r="AR1458" s="322"/>
      <c r="AS1458" s="322"/>
      <c r="AT1458" s="322"/>
      <c r="AU1458" s="322"/>
      <c r="AV1458" s="322"/>
      <c r="AW1458" s="322"/>
      <c r="AX1458" s="322"/>
      <c r="AY1458" s="322"/>
      <c r="AZ1458" s="322"/>
      <c r="BA1458" s="322"/>
      <c r="BB1458" s="322"/>
    </row>
    <row r="1459" spans="1:54" s="83" customFormat="1">
      <c r="A1459" s="341"/>
      <c r="B1459" s="341"/>
      <c r="C1459" s="341"/>
      <c r="D1459" s="83" t="s">
        <v>375</v>
      </c>
      <c r="F1459" s="92"/>
      <c r="G1459" s="100">
        <f>G1516</f>
        <v>6640</v>
      </c>
      <c r="H1459" s="100">
        <f>H1516</f>
        <v>6509</v>
      </c>
      <c r="I1459" s="100">
        <f>I1516</f>
        <v>6634</v>
      </c>
      <c r="J1459" s="100">
        <f>J1516</f>
        <v>6644</v>
      </c>
      <c r="K1459" s="100">
        <f>K1516</f>
        <v>6609</v>
      </c>
      <c r="L1459" s="92"/>
      <c r="M1459" s="92"/>
      <c r="N1459" s="92"/>
      <c r="O1459" s="92"/>
      <c r="P1459" s="100">
        <f>P1516</f>
        <v>6601</v>
      </c>
      <c r="Q1459" s="369"/>
      <c r="R1459" s="369"/>
      <c r="S1459" s="369"/>
      <c r="T1459" s="369"/>
      <c r="U1459" s="100">
        <f>U1456+U1457+U1458</f>
        <v>6601</v>
      </c>
      <c r="V1459" s="369"/>
      <c r="W1459" s="369"/>
      <c r="X1459" s="369"/>
      <c r="Y1459" s="369"/>
      <c r="Z1459" s="100">
        <f ca="1">Z1456+Z1457+Z1458</f>
        <v>6666.3813600000003</v>
      </c>
      <c r="AA1459" s="369"/>
      <c r="AB1459" s="369"/>
      <c r="AC1459" s="369"/>
      <c r="AD1459" s="369"/>
      <c r="AE1459" s="100">
        <f t="shared" ref="AE1459:AL1459" ca="1" si="1162">AE1456+AE1457+AE1458</f>
        <v>6737.0752149103937</v>
      </c>
      <c r="AF1459" s="100">
        <f t="shared" ca="1" si="1162"/>
        <v>6809.4576157033498</v>
      </c>
      <c r="AG1459" s="100">
        <f t="shared" ca="1" si="1162"/>
        <v>6882.8576392933137</v>
      </c>
      <c r="AH1459" s="100">
        <f t="shared" ca="1" si="1162"/>
        <v>6958.3595983317527</v>
      </c>
      <c r="AI1459" s="100">
        <f t="shared" ca="1" si="1162"/>
        <v>7036.5821329097598</v>
      </c>
      <c r="AJ1459" s="100">
        <f t="shared" ca="1" si="1162"/>
        <v>7115.7427969841692</v>
      </c>
      <c r="AK1459" s="100">
        <f t="shared" ca="1" si="1162"/>
        <v>7196.8414610585787</v>
      </c>
      <c r="AL1459" s="100">
        <f t="shared" ca="1" si="1162"/>
        <v>7277.9401251329882</v>
      </c>
      <c r="AM1459" s="651"/>
      <c r="AN1459" s="322"/>
      <c r="AO1459" s="322"/>
      <c r="AP1459" s="322"/>
      <c r="AQ1459" s="322"/>
      <c r="AR1459" s="322"/>
      <c r="AS1459" s="322"/>
      <c r="AT1459" s="322"/>
      <c r="AU1459" s="322"/>
      <c r="AV1459" s="322"/>
      <c r="AW1459" s="322"/>
      <c r="AX1459" s="322"/>
      <c r="AY1459" s="322"/>
      <c r="AZ1459" s="322"/>
      <c r="BA1459" s="322"/>
      <c r="BB1459" s="322"/>
    </row>
    <row r="1460" spans="1:54" s="83" customFormat="1">
      <c r="A1460" s="341"/>
      <c r="B1460" s="341"/>
      <c r="C1460" s="341"/>
      <c r="P1460" s="92"/>
      <c r="Q1460" s="369"/>
      <c r="R1460" s="369"/>
      <c r="S1460" s="369"/>
      <c r="T1460" s="369"/>
      <c r="U1460" s="92"/>
      <c r="V1460" s="369"/>
      <c r="W1460" s="369"/>
      <c r="X1460" s="369"/>
      <c r="Y1460" s="369"/>
      <c r="Z1460" s="92"/>
      <c r="AA1460" s="369"/>
      <c r="AB1460" s="369"/>
      <c r="AC1460" s="369"/>
      <c r="AD1460" s="369"/>
      <c r="AE1460" s="92"/>
      <c r="AF1460" s="92"/>
      <c r="AG1460" s="92"/>
      <c r="AH1460" s="92"/>
      <c r="AI1460" s="92"/>
      <c r="AJ1460" s="92"/>
      <c r="AK1460" s="92"/>
      <c r="AL1460" s="92"/>
      <c r="AM1460" s="651"/>
      <c r="AN1460" s="322"/>
      <c r="AO1460" s="322"/>
      <c r="AP1460" s="322"/>
      <c r="AQ1460" s="322"/>
      <c r="AR1460" s="322"/>
      <c r="AS1460" s="322"/>
      <c r="AT1460" s="322"/>
      <c r="AU1460" s="322"/>
      <c r="AV1460" s="322"/>
      <c r="AW1460" s="322"/>
      <c r="AX1460" s="322"/>
      <c r="AY1460" s="322"/>
      <c r="AZ1460" s="322"/>
      <c r="BA1460" s="322"/>
      <c r="BB1460" s="322"/>
    </row>
    <row r="1461" spans="1:54" s="83" customFormat="1">
      <c r="A1461" s="341"/>
      <c r="B1461" s="341"/>
      <c r="C1461" s="341"/>
      <c r="D1461" s="83" t="s">
        <v>878</v>
      </c>
      <c r="J1461" s="113">
        <v>8</v>
      </c>
      <c r="K1461" s="113">
        <v>26</v>
      </c>
      <c r="L1461" s="113"/>
      <c r="M1461" s="113"/>
      <c r="N1461" s="113"/>
      <c r="O1461" s="113"/>
      <c r="P1461" s="113">
        <v>54</v>
      </c>
      <c r="Q1461" s="369"/>
      <c r="R1461" s="369"/>
      <c r="S1461" s="369"/>
      <c r="T1461" s="369"/>
      <c r="U1461" s="113">
        <v>10</v>
      </c>
      <c r="V1461" s="369"/>
      <c r="W1461" s="369"/>
      <c r="X1461" s="369"/>
      <c r="Y1461" s="369"/>
      <c r="Z1461" s="1051">
        <v>0</v>
      </c>
      <c r="AA1461" s="369"/>
      <c r="AB1461" s="369"/>
      <c r="AC1461" s="369"/>
      <c r="AD1461" s="369"/>
      <c r="AE1461" s="94">
        <f>Z1461</f>
        <v>0</v>
      </c>
      <c r="AF1461" s="92"/>
      <c r="AG1461" s="92"/>
      <c r="AH1461" s="92"/>
      <c r="AI1461" s="92"/>
      <c r="AJ1461" s="92"/>
      <c r="AK1461" s="92"/>
      <c r="AL1461" s="92"/>
      <c r="AM1461" s="651"/>
      <c r="AN1461" s="322"/>
      <c r="AO1461" s="322"/>
      <c r="AP1461" s="322"/>
      <c r="AQ1461" s="322"/>
      <c r="AR1461" s="322"/>
      <c r="AS1461" s="322"/>
      <c r="AT1461" s="322"/>
      <c r="AU1461" s="322"/>
      <c r="AV1461" s="322"/>
      <c r="AW1461" s="322"/>
      <c r="AX1461" s="322"/>
      <c r="AY1461" s="322"/>
      <c r="AZ1461" s="322"/>
      <c r="BA1461" s="322"/>
      <c r="BB1461" s="322"/>
    </row>
    <row r="1462" spans="1:54" s="83" customFormat="1">
      <c r="A1462" s="341"/>
      <c r="B1462" s="341"/>
      <c r="C1462" s="341"/>
      <c r="D1462" s="83" t="s">
        <v>879</v>
      </c>
      <c r="G1462" s="999">
        <v>22</v>
      </c>
      <c r="H1462" s="999">
        <v>12</v>
      </c>
      <c r="I1462" s="999">
        <v>13</v>
      </c>
      <c r="J1462" s="999">
        <v>171</v>
      </c>
      <c r="K1462" s="999">
        <v>125</v>
      </c>
      <c r="L1462" s="999"/>
      <c r="M1462" s="999"/>
      <c r="N1462" s="999"/>
      <c r="O1462" s="999"/>
      <c r="P1462" s="999">
        <v>59</v>
      </c>
      <c r="Q1462" s="369"/>
      <c r="R1462" s="369"/>
      <c r="S1462" s="369"/>
      <c r="T1462" s="369"/>
      <c r="U1462" s="999">
        <v>4</v>
      </c>
      <c r="V1462" s="369"/>
      <c r="W1462" s="369"/>
      <c r="X1462" s="369"/>
      <c r="Y1462" s="369"/>
      <c r="Z1462" s="383">
        <f ca="1">Z1458</f>
        <v>65.381360000000001</v>
      </c>
      <c r="AA1462" s="369"/>
      <c r="AB1462" s="369"/>
      <c r="AC1462" s="369"/>
      <c r="AD1462" s="369"/>
      <c r="AE1462" s="383">
        <f t="shared" ref="AE1462:AL1462" ca="1" si="1163">AE1458</f>
        <v>70.693854910393156</v>
      </c>
      <c r="AF1462" s="383">
        <f t="shared" ca="1" si="1163"/>
        <v>72.382400792956403</v>
      </c>
      <c r="AG1462" s="383">
        <f t="shared" ca="1" si="1163"/>
        <v>73.400023589963595</v>
      </c>
      <c r="AH1462" s="383">
        <f t="shared" ca="1" si="1163"/>
        <v>75.501959038438613</v>
      </c>
      <c r="AI1462" s="383">
        <f t="shared" ca="1" si="1163"/>
        <v>78.222534578006943</v>
      </c>
      <c r="AJ1462" s="383">
        <f t="shared" ca="1" si="1163"/>
        <v>79.160664074409823</v>
      </c>
      <c r="AK1462" s="383">
        <f t="shared" ca="1" si="1163"/>
        <v>81.098664074409825</v>
      </c>
      <c r="AL1462" s="383">
        <f t="shared" ca="1" si="1163"/>
        <v>81.098664074409825</v>
      </c>
      <c r="AM1462" s="651"/>
      <c r="AN1462" s="322"/>
      <c r="AO1462" s="322"/>
      <c r="AP1462" s="322"/>
      <c r="AQ1462" s="322"/>
      <c r="AR1462" s="322"/>
      <c r="AS1462" s="322"/>
      <c r="AT1462" s="322"/>
      <c r="AU1462" s="322"/>
      <c r="AV1462" s="322"/>
      <c r="AW1462" s="322"/>
      <c r="AX1462" s="322"/>
      <c r="AY1462" s="322"/>
      <c r="AZ1462" s="322"/>
      <c r="BA1462" s="322"/>
      <c r="BB1462" s="322"/>
    </row>
    <row r="1463" spans="1:54" s="83" customFormat="1">
      <c r="A1463" s="341"/>
      <c r="B1463" s="341"/>
      <c r="C1463" s="341"/>
      <c r="D1463" s="83" t="s">
        <v>880</v>
      </c>
      <c r="G1463" s="336">
        <f>G1462/-(G1269+G1260)</f>
        <v>2.9745808545159546E-3</v>
      </c>
      <c r="H1463" s="336">
        <f>H1462/-(H1269+H1260)</f>
        <v>1.5923566878980893E-3</v>
      </c>
      <c r="I1463" s="336">
        <f>I1462/-(I1269+I1260)</f>
        <v>1.7218543046357616E-3</v>
      </c>
      <c r="J1463" s="336">
        <f>J1462/-(J1269+J1260)</f>
        <v>2.3485784919653894E-2</v>
      </c>
      <c r="K1463" s="336">
        <f>K1462/-(K1269+K1260)</f>
        <v>1.6027695858443391E-2</v>
      </c>
      <c r="P1463" s="336">
        <f>P1462/-(P1269+P1260)</f>
        <v>7.6178179470626209E-3</v>
      </c>
      <c r="Q1463" s="369"/>
      <c r="R1463" s="369"/>
      <c r="S1463" s="369"/>
      <c r="T1463" s="369"/>
      <c r="U1463" s="1058">
        <f>U1462/-(U1269+U1260)</f>
        <v>4.2580370449222908E-4</v>
      </c>
      <c r="V1463" s="369"/>
      <c r="W1463" s="369"/>
      <c r="X1463" s="369"/>
      <c r="Y1463" s="369"/>
      <c r="Z1463" s="1059">
        <v>8.0000000000000002E-3</v>
      </c>
      <c r="AA1463" s="369"/>
      <c r="AB1463" s="369"/>
      <c r="AC1463" s="369"/>
      <c r="AD1463" s="369"/>
      <c r="AE1463" s="1060">
        <f>Z1463</f>
        <v>8.0000000000000002E-3</v>
      </c>
      <c r="AF1463" s="1060">
        <f t="shared" ref="AF1463:AL1463" si="1164">AE1463</f>
        <v>8.0000000000000002E-3</v>
      </c>
      <c r="AG1463" s="1060">
        <f t="shared" si="1164"/>
        <v>8.0000000000000002E-3</v>
      </c>
      <c r="AH1463" s="1060">
        <f t="shared" si="1164"/>
        <v>8.0000000000000002E-3</v>
      </c>
      <c r="AI1463" s="1060">
        <f t="shared" si="1164"/>
        <v>8.0000000000000002E-3</v>
      </c>
      <c r="AJ1463" s="1060">
        <f t="shared" si="1164"/>
        <v>8.0000000000000002E-3</v>
      </c>
      <c r="AK1463" s="1060">
        <f t="shared" si="1164"/>
        <v>8.0000000000000002E-3</v>
      </c>
      <c r="AL1463" s="1060">
        <f t="shared" si="1164"/>
        <v>8.0000000000000002E-3</v>
      </c>
      <c r="AM1463" s="651"/>
      <c r="AN1463" s="322"/>
      <c r="AO1463" s="322"/>
      <c r="AP1463" s="322"/>
      <c r="AQ1463" s="322"/>
      <c r="AR1463" s="322"/>
      <c r="AS1463" s="322"/>
      <c r="AT1463" s="322"/>
      <c r="AU1463" s="322"/>
      <c r="AV1463" s="322"/>
      <c r="AW1463" s="322"/>
      <c r="AX1463" s="322"/>
      <c r="AY1463" s="322"/>
      <c r="AZ1463" s="322"/>
      <c r="BA1463" s="322"/>
      <c r="BB1463" s="322"/>
    </row>
    <row r="1464" spans="1:54" s="83" customFormat="1">
      <c r="A1464" s="341"/>
      <c r="B1464" s="341"/>
      <c r="C1464" s="341"/>
      <c r="P1464" s="92"/>
      <c r="Q1464" s="369"/>
      <c r="R1464" s="369"/>
      <c r="S1464" s="369"/>
      <c r="T1464" s="369"/>
      <c r="U1464" s="92"/>
      <c r="V1464" s="369"/>
      <c r="W1464" s="369"/>
      <c r="X1464" s="369"/>
      <c r="Y1464" s="369"/>
      <c r="Z1464" s="92"/>
      <c r="AA1464" s="369"/>
      <c r="AB1464" s="369"/>
      <c r="AC1464" s="369"/>
      <c r="AD1464" s="369"/>
      <c r="AE1464" s="92"/>
      <c r="AF1464" s="92"/>
      <c r="AG1464" s="128"/>
      <c r="AH1464" s="128"/>
      <c r="AI1464" s="362"/>
      <c r="AJ1464" s="362"/>
      <c r="AK1464" s="223"/>
      <c r="AL1464" s="322"/>
      <c r="AM1464" s="651"/>
      <c r="AN1464" s="322"/>
      <c r="AO1464" s="322"/>
      <c r="AP1464" s="322"/>
      <c r="AQ1464" s="322"/>
      <c r="AR1464" s="322"/>
      <c r="AS1464" s="322"/>
      <c r="AT1464" s="322"/>
      <c r="AU1464" s="322"/>
      <c r="AV1464" s="322"/>
      <c r="AW1464" s="322"/>
      <c r="AX1464" s="322"/>
      <c r="AY1464" s="322"/>
      <c r="AZ1464" s="322"/>
      <c r="BA1464" s="322"/>
      <c r="BB1464" s="322"/>
    </row>
    <row r="1465" spans="1:54" s="83" customFormat="1">
      <c r="A1465" s="341"/>
      <c r="B1465" s="341"/>
      <c r="C1465" s="341"/>
      <c r="P1465" s="92"/>
      <c r="Q1465" s="369"/>
      <c r="R1465" s="369"/>
      <c r="S1465" s="369"/>
      <c r="T1465" s="369"/>
      <c r="U1465" s="92"/>
      <c r="V1465" s="369"/>
      <c r="W1465" s="369"/>
      <c r="X1465" s="369"/>
      <c r="Y1465" s="369"/>
      <c r="Z1465" s="92"/>
      <c r="AA1465" s="369"/>
      <c r="AB1465" s="369"/>
      <c r="AC1465" s="369"/>
      <c r="AD1465" s="369"/>
      <c r="AE1465" s="92"/>
      <c r="AF1465" s="92"/>
      <c r="AG1465" s="128"/>
      <c r="AH1465" s="128"/>
      <c r="AI1465" s="362"/>
      <c r="AJ1465" s="362"/>
      <c r="AK1465" s="223"/>
      <c r="AL1465" s="322"/>
      <c r="AM1465" s="651"/>
      <c r="AN1465" s="322"/>
      <c r="AO1465" s="322"/>
      <c r="AP1465" s="322"/>
      <c r="AQ1465" s="322"/>
      <c r="AR1465" s="322"/>
      <c r="AS1465" s="322"/>
      <c r="AT1465" s="322"/>
      <c r="AU1465" s="322"/>
      <c r="AV1465" s="322"/>
      <c r="AW1465" s="322"/>
      <c r="AX1465" s="322"/>
      <c r="AY1465" s="322"/>
      <c r="AZ1465" s="322"/>
      <c r="BA1465" s="322"/>
      <c r="BB1465" s="322"/>
    </row>
    <row r="1466" spans="1:54" s="83" customFormat="1">
      <c r="A1466" s="341"/>
      <c r="B1466" s="341"/>
      <c r="C1466" s="341"/>
      <c r="D1466" s="366" t="s">
        <v>376</v>
      </c>
      <c r="E1466" s="366"/>
      <c r="P1466" s="92"/>
      <c r="Q1466" s="369"/>
      <c r="R1466" s="369"/>
      <c r="S1466" s="369"/>
      <c r="T1466" s="369"/>
      <c r="U1466" s="92"/>
      <c r="V1466" s="369"/>
      <c r="W1466" s="369"/>
      <c r="X1466" s="369"/>
      <c r="Y1466" s="369"/>
      <c r="Z1466" s="92"/>
      <c r="AA1466" s="369"/>
      <c r="AB1466" s="369"/>
      <c r="AC1466" s="369"/>
      <c r="AD1466" s="369"/>
      <c r="AE1466" s="92"/>
      <c r="AF1466" s="92"/>
      <c r="AG1466" s="128"/>
      <c r="AH1466" s="128"/>
      <c r="AI1466" s="362"/>
      <c r="AJ1466" s="362"/>
      <c r="AK1466" s="223"/>
      <c r="AL1466" s="322"/>
      <c r="AM1466" s="651"/>
      <c r="AN1466" s="322"/>
      <c r="AO1466" s="322"/>
      <c r="AP1466" s="322"/>
      <c r="AQ1466" s="322"/>
      <c r="AR1466" s="322"/>
      <c r="AS1466" s="322"/>
      <c r="AT1466" s="322"/>
      <c r="AU1466" s="322"/>
      <c r="AV1466" s="322"/>
      <c r="AW1466" s="322"/>
      <c r="AX1466" s="322"/>
      <c r="AY1466" s="322"/>
      <c r="AZ1466" s="322"/>
      <c r="BA1466" s="322"/>
      <c r="BB1466" s="322"/>
    </row>
    <row r="1467" spans="1:54" s="83" customFormat="1">
      <c r="A1467" s="341"/>
      <c r="B1467" s="341"/>
      <c r="C1467" s="341"/>
      <c r="D1467" s="367" t="s">
        <v>377</v>
      </c>
      <c r="E1467" s="367"/>
      <c r="G1467" s="92"/>
      <c r="H1467" s="92"/>
      <c r="I1467" s="92"/>
      <c r="J1467" s="92"/>
      <c r="K1467" s="100">
        <f>J1470</f>
        <v>10183</v>
      </c>
      <c r="L1467" s="92"/>
      <c r="M1467" s="92"/>
      <c r="N1467" s="92"/>
      <c r="O1467" s="92"/>
      <c r="P1467" s="100">
        <f>K1470</f>
        <v>12796</v>
      </c>
      <c r="Q1467" s="369"/>
      <c r="R1467" s="369"/>
      <c r="S1467" s="369"/>
      <c r="T1467" s="369"/>
      <c r="U1467" s="100">
        <f>P1470</f>
        <v>15495</v>
      </c>
      <c r="V1467" s="369"/>
      <c r="W1467" s="369"/>
      <c r="X1467" s="369"/>
      <c r="Y1467" s="369"/>
      <c r="Z1467" s="100">
        <f>U1470</f>
        <v>14447</v>
      </c>
      <c r="AA1467" s="369"/>
      <c r="AB1467" s="369"/>
      <c r="AC1467" s="369"/>
      <c r="AD1467" s="369"/>
      <c r="AE1467" s="100" t="e">
        <f ca="1">Z1470</f>
        <v>#VALUE!</v>
      </c>
      <c r="AF1467" s="100" t="e">
        <f ca="1">AE1470</f>
        <v>#VALUE!</v>
      </c>
      <c r="AG1467" s="100" t="e">
        <f t="shared" ref="AG1467:AL1467" ca="1" si="1165">AF1470</f>
        <v>#VALUE!</v>
      </c>
      <c r="AH1467" s="100" t="e">
        <f t="shared" ca="1" si="1165"/>
        <v>#VALUE!</v>
      </c>
      <c r="AI1467" s="100" t="e">
        <f t="shared" ca="1" si="1165"/>
        <v>#VALUE!</v>
      </c>
      <c r="AJ1467" s="100" t="e">
        <f t="shared" ca="1" si="1165"/>
        <v>#VALUE!</v>
      </c>
      <c r="AK1467" s="100" t="e">
        <f t="shared" ca="1" si="1165"/>
        <v>#VALUE!</v>
      </c>
      <c r="AL1467" s="100" t="e">
        <f t="shared" ca="1" si="1165"/>
        <v>#VALUE!</v>
      </c>
      <c r="AM1467" s="651"/>
      <c r="AN1467" s="322"/>
      <c r="AO1467" s="322"/>
      <c r="AP1467" s="322"/>
      <c r="AQ1467" s="322"/>
      <c r="AR1467" s="322"/>
      <c r="AS1467" s="322"/>
      <c r="AT1467" s="322"/>
      <c r="AU1467" s="322"/>
      <c r="AV1467" s="322"/>
      <c r="AW1467" s="322"/>
      <c r="AX1467" s="322"/>
      <c r="AY1467" s="322"/>
      <c r="AZ1467" s="322"/>
      <c r="BA1467" s="322"/>
      <c r="BB1467" s="322"/>
    </row>
    <row r="1468" spans="1:54" s="83" customFormat="1">
      <c r="A1468" s="341"/>
      <c r="B1468" s="341"/>
      <c r="C1468" s="341"/>
      <c r="D1468" s="367" t="s">
        <v>378</v>
      </c>
      <c r="E1468" s="367"/>
      <c r="F1468" s="360"/>
      <c r="G1468" s="128"/>
      <c r="H1468" s="128"/>
      <c r="I1468" s="128"/>
      <c r="J1468" s="128"/>
      <c r="K1468" s="130">
        <f>K1285</f>
        <v>2460</v>
      </c>
      <c r="L1468" s="128"/>
      <c r="M1468" s="128"/>
      <c r="N1468" s="128"/>
      <c r="O1468" s="128"/>
      <c r="P1468" s="130">
        <f>P1285</f>
        <v>3101</v>
      </c>
      <c r="Q1468" s="369"/>
      <c r="R1468" s="369"/>
      <c r="S1468" s="369"/>
      <c r="T1468" s="369"/>
      <c r="U1468" s="130">
        <f>U1285</f>
        <v>-605</v>
      </c>
      <c r="V1468" s="369"/>
      <c r="W1468" s="369"/>
      <c r="X1468" s="369"/>
      <c r="Y1468" s="369"/>
      <c r="Z1468" s="130" t="e">
        <f ca="1">Z1285</f>
        <v>#VALUE!</v>
      </c>
      <c r="AA1468" s="369"/>
      <c r="AB1468" s="369"/>
      <c r="AC1468" s="369"/>
      <c r="AD1468" s="369"/>
      <c r="AE1468" s="130">
        <f ca="1">AE1285</f>
        <v>2001.5047844412647</v>
      </c>
      <c r="AF1468" s="130">
        <f ca="1">AF1285</f>
        <v>1876.9131686769817</v>
      </c>
      <c r="AG1468" s="130">
        <f t="shared" ref="AG1468:AL1468" ca="1" si="1166">AG1285</f>
        <v>2275.789963338852</v>
      </c>
      <c r="AH1468" s="130">
        <f t="shared" ca="1" si="1166"/>
        <v>2458.3694890751694</v>
      </c>
      <c r="AI1468" s="130">
        <f t="shared" ca="1" si="1166"/>
        <v>2656.0395708829387</v>
      </c>
      <c r="AJ1468" s="130">
        <f t="shared" ca="1" si="1166"/>
        <v>2724.6602887476874</v>
      </c>
      <c r="AK1468" s="130">
        <f t="shared" ca="1" si="1166"/>
        <v>2496.9852887476873</v>
      </c>
      <c r="AL1468" s="130">
        <f t="shared" ca="1" si="1166"/>
        <v>2497.6852887476875</v>
      </c>
      <c r="AM1468" s="651"/>
      <c r="AN1468" s="322"/>
      <c r="AO1468" s="322"/>
      <c r="AP1468" s="322"/>
      <c r="AQ1468" s="322"/>
      <c r="AR1468" s="322"/>
      <c r="AS1468" s="322"/>
      <c r="AT1468" s="322"/>
      <c r="AU1468" s="322"/>
      <c r="AV1468" s="322"/>
      <c r="AW1468" s="322"/>
      <c r="AX1468" s="322"/>
      <c r="AY1468" s="322"/>
      <c r="AZ1468" s="322"/>
      <c r="BA1468" s="322"/>
      <c r="BB1468" s="322"/>
    </row>
    <row r="1469" spans="1:54" s="83" customFormat="1">
      <c r="A1469" s="341"/>
      <c r="B1469" s="341"/>
      <c r="C1469" s="341"/>
      <c r="D1469" s="367" t="s">
        <v>379</v>
      </c>
      <c r="E1469" s="367"/>
      <c r="F1469" s="360"/>
      <c r="G1469" s="128"/>
      <c r="H1469" s="128"/>
      <c r="I1469" s="128"/>
      <c r="J1469" s="128"/>
      <c r="K1469" s="130">
        <f>K1691</f>
        <v>-344</v>
      </c>
      <c r="L1469" s="128"/>
      <c r="M1469" s="128"/>
      <c r="N1469" s="128"/>
      <c r="O1469" s="128"/>
      <c r="P1469" s="130">
        <f>P1691</f>
        <v>-172</v>
      </c>
      <c r="Q1469" s="369"/>
      <c r="R1469" s="369"/>
      <c r="S1469" s="369"/>
      <c r="T1469" s="369"/>
      <c r="U1469" s="130">
        <f>U1691</f>
        <v>-111</v>
      </c>
      <c r="V1469" s="369"/>
      <c r="W1469" s="369"/>
      <c r="X1469" s="369"/>
      <c r="Y1469" s="369"/>
      <c r="Z1469" s="130" t="e">
        <f ca="1">Z1468*-Z1473</f>
        <v>#VALUE!</v>
      </c>
      <c r="AA1469" s="369"/>
      <c r="AB1469" s="369"/>
      <c r="AC1469" s="369"/>
      <c r="AD1469" s="369"/>
      <c r="AE1469" s="130">
        <f ca="1">AE1468*AE1473</f>
        <v>120.09028706647588</v>
      </c>
      <c r="AF1469" s="130">
        <f ca="1">AF1468*AF1473</f>
        <v>112.61479012061891</v>
      </c>
      <c r="AG1469" s="130">
        <f t="shared" ref="AG1469:AL1469" ca="1" si="1167">AG1468*-AG1473</f>
        <v>-136.54739780033111</v>
      </c>
      <c r="AH1469" s="130">
        <f t="shared" ca="1" si="1167"/>
        <v>-147.50216934451015</v>
      </c>
      <c r="AI1469" s="130">
        <f t="shared" ca="1" si="1167"/>
        <v>-159.36237425297631</v>
      </c>
      <c r="AJ1469" s="130">
        <f t="shared" ca="1" si="1167"/>
        <v>-163.47961732486124</v>
      </c>
      <c r="AK1469" s="130">
        <f t="shared" ca="1" si="1167"/>
        <v>-149.81911732486122</v>
      </c>
      <c r="AL1469" s="130">
        <f t="shared" ca="1" si="1167"/>
        <v>-149.86111732486125</v>
      </c>
      <c r="AM1469" s="651"/>
      <c r="AN1469" s="322"/>
      <c r="AO1469" s="322"/>
      <c r="AP1469" s="322"/>
      <c r="AQ1469" s="322"/>
      <c r="AR1469" s="322"/>
      <c r="AS1469" s="322"/>
      <c r="AT1469" s="322"/>
      <c r="AU1469" s="322"/>
      <c r="AV1469" s="322"/>
      <c r="AW1469" s="322"/>
      <c r="AX1469" s="322"/>
      <c r="AY1469" s="322"/>
      <c r="AZ1469" s="322"/>
      <c r="BA1469" s="322"/>
      <c r="BB1469" s="322"/>
    </row>
    <row r="1470" spans="1:54" s="83" customFormat="1">
      <c r="A1470" s="341"/>
      <c r="B1470" s="341"/>
      <c r="C1470" s="341"/>
      <c r="D1470" s="367" t="s">
        <v>380</v>
      </c>
      <c r="E1470" s="367"/>
      <c r="F1470" s="360"/>
      <c r="G1470" s="128"/>
      <c r="H1470" s="128"/>
      <c r="I1470" s="128"/>
      <c r="J1470" s="347">
        <f>J1517</f>
        <v>10183</v>
      </c>
      <c r="K1470" s="347">
        <f>K1517</f>
        <v>12796</v>
      </c>
      <c r="L1470" s="128"/>
      <c r="M1470" s="128"/>
      <c r="N1470" s="128"/>
      <c r="O1470" s="128"/>
      <c r="P1470" s="347">
        <f>P1517</f>
        <v>15495</v>
      </c>
      <c r="Q1470" s="369"/>
      <c r="R1470" s="369"/>
      <c r="S1470" s="369"/>
      <c r="T1470" s="369"/>
      <c r="U1470" s="347">
        <f>U1517</f>
        <v>14447</v>
      </c>
      <c r="V1470" s="369"/>
      <c r="W1470" s="369"/>
      <c r="X1470" s="369"/>
      <c r="Y1470" s="369"/>
      <c r="Z1470" s="347" t="e">
        <f ca="1">SUM(Z1467:Z1469)</f>
        <v>#VALUE!</v>
      </c>
      <c r="AA1470" s="369"/>
      <c r="AB1470" s="369"/>
      <c r="AC1470" s="369"/>
      <c r="AD1470" s="369"/>
      <c r="AE1470" s="347" t="e">
        <f t="shared" ref="AE1470:AL1470" ca="1" si="1168">SUM(AE1467:AE1469)</f>
        <v>#VALUE!</v>
      </c>
      <c r="AF1470" s="347" t="e">
        <f t="shared" ca="1" si="1168"/>
        <v>#VALUE!</v>
      </c>
      <c r="AG1470" s="347" t="e">
        <f t="shared" ca="1" si="1168"/>
        <v>#VALUE!</v>
      </c>
      <c r="AH1470" s="347" t="e">
        <f t="shared" ca="1" si="1168"/>
        <v>#VALUE!</v>
      </c>
      <c r="AI1470" s="347" t="e">
        <f t="shared" ca="1" si="1168"/>
        <v>#VALUE!</v>
      </c>
      <c r="AJ1470" s="347" t="e">
        <f t="shared" ca="1" si="1168"/>
        <v>#VALUE!</v>
      </c>
      <c r="AK1470" s="347" t="e">
        <f t="shared" ca="1" si="1168"/>
        <v>#VALUE!</v>
      </c>
      <c r="AL1470" s="347" t="e">
        <f t="shared" ca="1" si="1168"/>
        <v>#VALUE!</v>
      </c>
      <c r="AM1470" s="322"/>
      <c r="AN1470" s="322"/>
      <c r="AO1470" s="322"/>
      <c r="AP1470" s="322"/>
      <c r="AQ1470" s="322"/>
      <c r="AR1470" s="322"/>
      <c r="AS1470" s="322"/>
      <c r="AT1470" s="322"/>
      <c r="AU1470" s="322"/>
      <c r="AV1470" s="322"/>
      <c r="AW1470" s="322"/>
      <c r="AX1470" s="322"/>
      <c r="AY1470" s="322"/>
      <c r="AZ1470" s="322"/>
      <c r="BA1470" s="322"/>
      <c r="BB1470" s="322"/>
    </row>
    <row r="1471" spans="1:54" s="83" customFormat="1">
      <c r="A1471" s="341"/>
      <c r="B1471" s="341"/>
      <c r="C1471" s="341"/>
      <c r="D1471" s="367"/>
      <c r="E1471" s="367"/>
      <c r="F1471" s="360"/>
      <c r="G1471" s="128"/>
      <c r="H1471" s="128"/>
      <c r="I1471" s="128"/>
      <c r="J1471" s="347"/>
      <c r="K1471" s="347"/>
      <c r="L1471" s="128"/>
      <c r="M1471" s="128"/>
      <c r="N1471" s="128"/>
      <c r="O1471" s="128"/>
      <c r="P1471" s="347"/>
      <c r="Q1471" s="369"/>
      <c r="R1471" s="369"/>
      <c r="S1471" s="369"/>
      <c r="T1471" s="369"/>
      <c r="U1471" s="347"/>
      <c r="V1471" s="369"/>
      <c r="W1471" s="369"/>
      <c r="X1471" s="369"/>
      <c r="Y1471" s="369"/>
      <c r="Z1471" s="347"/>
      <c r="AA1471" s="369"/>
      <c r="AB1471" s="369"/>
      <c r="AC1471" s="369"/>
      <c r="AD1471" s="369"/>
      <c r="AE1471" s="347"/>
      <c r="AF1471" s="347"/>
      <c r="AG1471" s="347"/>
      <c r="AH1471" s="347"/>
      <c r="AI1471" s="347"/>
      <c r="AJ1471" s="347"/>
      <c r="AK1471" s="347"/>
      <c r="AL1471" s="347"/>
      <c r="AM1471" s="322"/>
      <c r="AN1471" s="322"/>
      <c r="AO1471" s="322"/>
      <c r="AP1471" s="322"/>
      <c r="AQ1471" s="322"/>
      <c r="AR1471" s="322"/>
      <c r="AS1471" s="322"/>
      <c r="AT1471" s="322"/>
      <c r="AU1471" s="322"/>
      <c r="AV1471" s="322"/>
      <c r="AW1471" s="322"/>
      <c r="AX1471" s="322"/>
      <c r="AY1471" s="322"/>
      <c r="AZ1471" s="322"/>
      <c r="BA1471" s="322"/>
      <c r="BB1471" s="322"/>
    </row>
    <row r="1472" spans="1:54" s="322" customFormat="1">
      <c r="A1472" s="377"/>
      <c r="B1472" s="377"/>
      <c r="C1472" s="377"/>
      <c r="D1472" s="129" t="s">
        <v>307</v>
      </c>
      <c r="E1472" s="129"/>
      <c r="F1472" s="362"/>
      <c r="G1472" s="130">
        <f>G1285</f>
        <v>1019</v>
      </c>
      <c r="H1472" s="130">
        <f>H1285</f>
        <v>385</v>
      </c>
      <c r="I1472" s="130">
        <f>I1285</f>
        <v>-4160</v>
      </c>
      <c r="J1472" s="130">
        <f>J1285</f>
        <v>1041</v>
      </c>
      <c r="K1472" s="130">
        <f>K1285</f>
        <v>2460</v>
      </c>
      <c r="L1472" s="128"/>
      <c r="M1472" s="128"/>
      <c r="N1472" s="128"/>
      <c r="O1472" s="128"/>
      <c r="P1472" s="130">
        <f>P1285</f>
        <v>3101</v>
      </c>
      <c r="Q1472" s="369"/>
      <c r="R1472" s="369"/>
      <c r="S1472" s="369"/>
      <c r="T1472" s="369"/>
      <c r="U1472" s="130">
        <f>U1285</f>
        <v>-605</v>
      </c>
      <c r="V1472" s="369"/>
      <c r="W1472" s="369"/>
      <c r="X1472" s="369"/>
      <c r="Y1472" s="369"/>
      <c r="Z1472" s="130" t="e">
        <f ca="1">Z1285</f>
        <v>#VALUE!</v>
      </c>
      <c r="AA1472" s="369"/>
      <c r="AB1472" s="369"/>
      <c r="AC1472" s="369"/>
      <c r="AD1472" s="369"/>
      <c r="AE1472" s="130">
        <f ca="1">AE1285</f>
        <v>2001.5047844412647</v>
      </c>
      <c r="AF1472" s="130">
        <f ca="1">AF1285</f>
        <v>1876.9131686769817</v>
      </c>
      <c r="AG1472" s="130">
        <f t="shared" ref="AG1472:AL1472" ca="1" si="1169">AG1285</f>
        <v>2275.789963338852</v>
      </c>
      <c r="AH1472" s="130">
        <f t="shared" ca="1" si="1169"/>
        <v>2458.3694890751694</v>
      </c>
      <c r="AI1472" s="130">
        <f t="shared" ca="1" si="1169"/>
        <v>2656.0395708829387</v>
      </c>
      <c r="AJ1472" s="130">
        <f t="shared" ca="1" si="1169"/>
        <v>2724.6602887476874</v>
      </c>
      <c r="AK1472" s="130">
        <f t="shared" ca="1" si="1169"/>
        <v>2496.9852887476873</v>
      </c>
      <c r="AL1472" s="130">
        <f t="shared" ca="1" si="1169"/>
        <v>2497.6852887476875</v>
      </c>
    </row>
    <row r="1473" spans="1:54" s="322" customFormat="1">
      <c r="A1473" s="131"/>
      <c r="B1473" s="131"/>
      <c r="C1473" s="131"/>
      <c r="D1473" s="129" t="s">
        <v>382</v>
      </c>
      <c r="E1473" s="129"/>
      <c r="F1473" s="128"/>
      <c r="G1473" s="352">
        <f>-G1691/G1285</f>
        <v>0.51128557409224729</v>
      </c>
      <c r="H1473" s="352">
        <f>-H1691/H1285</f>
        <v>1.3454545454545455</v>
      </c>
      <c r="I1473" s="352" t="s">
        <v>206</v>
      </c>
      <c r="J1473" s="352">
        <f>-J1691/J1285</f>
        <v>5.5715658021133527E-2</v>
      </c>
      <c r="K1473" s="352">
        <f>-K1691/K1285</f>
        <v>0.13983739837398373</v>
      </c>
      <c r="L1473" s="128"/>
      <c r="M1473" s="128"/>
      <c r="N1473" s="128"/>
      <c r="O1473" s="128"/>
      <c r="P1473" s="352">
        <f>-P1691/P1285</f>
        <v>5.5465978716543053E-2</v>
      </c>
      <c r="Q1473" s="369"/>
      <c r="R1473" s="369"/>
      <c r="S1473" s="369"/>
      <c r="T1473" s="369"/>
      <c r="U1473" s="352">
        <f>-U1691/U1285</f>
        <v>-0.1834710743801653</v>
      </c>
      <c r="V1473" s="369"/>
      <c r="W1473" s="369"/>
      <c r="X1473" s="369"/>
      <c r="Y1473" s="369"/>
      <c r="Z1473" s="1053">
        <f>$U$1473</f>
        <v>-0.1834710743801653</v>
      </c>
      <c r="AA1473" s="369"/>
      <c r="AB1473" s="369"/>
      <c r="AC1473" s="369"/>
      <c r="AD1473" s="369"/>
      <c r="AE1473" s="190">
        <v>0.06</v>
      </c>
      <c r="AF1473" s="190">
        <f>AE1473</f>
        <v>0.06</v>
      </c>
      <c r="AG1473" s="190">
        <f t="shared" ref="AG1473:AL1473" si="1170">AF1473</f>
        <v>0.06</v>
      </c>
      <c r="AH1473" s="190">
        <f t="shared" si="1170"/>
        <v>0.06</v>
      </c>
      <c r="AI1473" s="190">
        <f t="shared" si="1170"/>
        <v>0.06</v>
      </c>
      <c r="AJ1473" s="190">
        <f t="shared" si="1170"/>
        <v>0.06</v>
      </c>
      <c r="AK1473" s="190">
        <f t="shared" si="1170"/>
        <v>0.06</v>
      </c>
      <c r="AL1473" s="190">
        <f t="shared" si="1170"/>
        <v>0.06</v>
      </c>
    </row>
    <row r="1474" spans="1:54" s="322" customFormat="1">
      <c r="A1474" s="131"/>
      <c r="B1474" s="131"/>
      <c r="C1474" s="131"/>
      <c r="D1474" s="129" t="s">
        <v>383</v>
      </c>
      <c r="E1474" s="129"/>
      <c r="F1474" s="128"/>
      <c r="G1474" s="130">
        <f>G1691</f>
        <v>-521</v>
      </c>
      <c r="H1474" s="130">
        <f>H1691</f>
        <v>-518</v>
      </c>
      <c r="I1474" s="130">
        <f>I1691</f>
        <v>-374</v>
      </c>
      <c r="J1474" s="130">
        <f>J1691</f>
        <v>-58</v>
      </c>
      <c r="K1474" s="130">
        <f>K1691</f>
        <v>-344</v>
      </c>
      <c r="L1474" s="351"/>
      <c r="M1474" s="351"/>
      <c r="N1474" s="351"/>
      <c r="O1474" s="351"/>
      <c r="P1474" s="130">
        <f>P1691</f>
        <v>-172</v>
      </c>
      <c r="Q1474" s="369"/>
      <c r="R1474" s="369"/>
      <c r="S1474" s="369"/>
      <c r="T1474" s="369"/>
      <c r="U1474" s="130">
        <f>U1691</f>
        <v>-111</v>
      </c>
      <c r="V1474" s="369"/>
      <c r="W1474" s="369"/>
      <c r="X1474" s="369"/>
      <c r="Y1474" s="369"/>
      <c r="Z1474" s="130" t="e">
        <f ca="1">Z1691</f>
        <v>#VALUE!</v>
      </c>
      <c r="AA1474" s="369"/>
      <c r="AB1474" s="369"/>
      <c r="AC1474" s="369"/>
      <c r="AD1474" s="369"/>
      <c r="AE1474" s="130">
        <f ca="1">AE1691</f>
        <v>120.09028706647588</v>
      </c>
      <c r="AF1474" s="130">
        <f ca="1">AF1691</f>
        <v>112.61479012061891</v>
      </c>
      <c r="AG1474" s="130">
        <f t="shared" ref="AG1474:AL1474" si="1171">AG1691</f>
        <v>0</v>
      </c>
      <c r="AH1474" s="130">
        <f t="shared" si="1171"/>
        <v>0</v>
      </c>
      <c r="AI1474" s="130">
        <f t="shared" si="1171"/>
        <v>0</v>
      </c>
      <c r="AJ1474" s="130">
        <f t="shared" si="1171"/>
        <v>0</v>
      </c>
      <c r="AK1474" s="130">
        <f t="shared" si="1171"/>
        <v>0</v>
      </c>
      <c r="AL1474" s="130">
        <f t="shared" si="1171"/>
        <v>0</v>
      </c>
    </row>
    <row r="1475" spans="1:54" s="322" customFormat="1">
      <c r="A1475" s="131"/>
      <c r="B1475" s="131"/>
      <c r="C1475" s="131"/>
      <c r="D1475" s="129"/>
      <c r="E1475" s="129"/>
      <c r="F1475" s="128"/>
      <c r="G1475" s="128"/>
      <c r="H1475" s="128"/>
      <c r="I1475" s="128"/>
      <c r="J1475" s="128"/>
      <c r="K1475" s="128"/>
      <c r="L1475" s="128"/>
      <c r="M1475" s="128"/>
      <c r="N1475" s="128"/>
      <c r="O1475" s="128"/>
      <c r="P1475" s="128"/>
      <c r="Q1475" s="128"/>
      <c r="R1475" s="128"/>
      <c r="S1475" s="128"/>
      <c r="T1475" s="128"/>
      <c r="U1475" s="128"/>
      <c r="V1475" s="350"/>
      <c r="W1475" s="350"/>
      <c r="X1475" s="350"/>
      <c r="Y1475" s="350"/>
      <c r="Z1475" s="128"/>
      <c r="AA1475" s="350"/>
      <c r="AB1475" s="350"/>
      <c r="AC1475" s="350"/>
      <c r="AD1475" s="350"/>
      <c r="AE1475" s="128"/>
      <c r="AF1475" s="129"/>
      <c r="AG1475" s="129"/>
      <c r="AH1475" s="129"/>
      <c r="AI1475" s="129"/>
      <c r="AJ1475" s="129"/>
      <c r="AK1475" s="223"/>
    </row>
    <row r="1476" spans="1:54" s="83" customFormat="1">
      <c r="A1476" s="341"/>
      <c r="B1476" s="341"/>
      <c r="C1476" s="341"/>
      <c r="D1476" s="342"/>
      <c r="E1476" s="342"/>
      <c r="F1476" s="360"/>
      <c r="G1476" s="358"/>
      <c r="H1476" s="358"/>
      <c r="I1476" s="358"/>
      <c r="J1476" s="358"/>
      <c r="K1476" s="358"/>
      <c r="L1476" s="358"/>
      <c r="M1476" s="358"/>
      <c r="N1476" s="358"/>
      <c r="O1476" s="358"/>
      <c r="P1476" s="128"/>
      <c r="Q1476" s="128"/>
      <c r="R1476" s="128"/>
      <c r="S1476" s="128"/>
      <c r="T1476" s="128"/>
      <c r="U1476" s="128"/>
      <c r="V1476" s="128"/>
      <c r="W1476" s="128"/>
      <c r="X1476" s="128"/>
      <c r="Y1476" s="128"/>
      <c r="Z1476" s="128"/>
      <c r="AA1476" s="350"/>
      <c r="AB1476" s="350"/>
      <c r="AC1476" s="350"/>
      <c r="AD1476" s="350"/>
      <c r="AE1476" s="128"/>
      <c r="AF1476" s="129"/>
      <c r="AG1476" s="129"/>
      <c r="AH1476" s="129"/>
      <c r="AI1476" s="343"/>
      <c r="AJ1476" s="343"/>
      <c r="AK1476" s="223"/>
      <c r="AL1476" s="322"/>
      <c r="AM1476" s="322"/>
      <c r="AN1476" s="322"/>
      <c r="AO1476" s="322"/>
      <c r="AP1476" s="322"/>
      <c r="AQ1476" s="322"/>
      <c r="AR1476" s="322"/>
      <c r="AS1476" s="322"/>
      <c r="AT1476" s="322"/>
      <c r="AU1476" s="322"/>
      <c r="AV1476" s="322"/>
      <c r="AW1476" s="322"/>
      <c r="AX1476" s="322"/>
      <c r="AY1476" s="322"/>
      <c r="AZ1476" s="322"/>
      <c r="BA1476" s="322"/>
      <c r="BB1476" s="322"/>
    </row>
    <row r="1477" spans="1:54" s="83" customFormat="1">
      <c r="D1477" s="343"/>
      <c r="E1477" s="343"/>
      <c r="F1477" s="92"/>
      <c r="G1477" s="128"/>
      <c r="H1477" s="128"/>
      <c r="I1477" s="128"/>
      <c r="J1477" s="128"/>
      <c r="K1477" s="128"/>
      <c r="L1477" s="128"/>
      <c r="M1477" s="128"/>
      <c r="N1477" s="128"/>
      <c r="O1477" s="128"/>
      <c r="P1477" s="128"/>
      <c r="Q1477" s="128"/>
      <c r="R1477" s="347"/>
      <c r="S1477" s="128"/>
      <c r="T1477" s="128"/>
      <c r="U1477" s="223"/>
      <c r="V1477" s="223"/>
      <c r="W1477" s="209"/>
      <c r="X1477" s="209"/>
      <c r="Y1477" s="209"/>
      <c r="Z1477" s="223"/>
      <c r="AA1477" s="209"/>
      <c r="AB1477" s="209"/>
      <c r="AC1477" s="209"/>
      <c r="AD1477" s="209"/>
      <c r="AE1477" s="223"/>
      <c r="AF1477" s="223"/>
      <c r="AG1477" s="223"/>
      <c r="AH1477" s="223"/>
      <c r="AI1477" s="223"/>
      <c r="AJ1477" s="223"/>
      <c r="AK1477" s="223"/>
      <c r="AL1477" s="322"/>
      <c r="AM1477" s="322"/>
      <c r="AN1477" s="322"/>
      <c r="AO1477" s="322"/>
      <c r="AP1477" s="322"/>
      <c r="AQ1477" s="322"/>
      <c r="AR1477" s="322"/>
      <c r="AS1477" s="322"/>
      <c r="AT1477" s="322"/>
      <c r="AU1477" s="322"/>
      <c r="AV1477" s="322"/>
      <c r="AW1477" s="322"/>
      <c r="AX1477" s="322"/>
      <c r="AY1477" s="322"/>
      <c r="AZ1477" s="322"/>
      <c r="BA1477" s="322"/>
      <c r="BB1477" s="322"/>
    </row>
    <row r="1478" spans="1:54" s="83" customFormat="1">
      <c r="D1478" s="327" t="s">
        <v>43</v>
      </c>
      <c r="E1478" s="327"/>
      <c r="F1478" s="92"/>
      <c r="G1478" s="378">
        <v>2772</v>
      </c>
      <c r="H1478" s="378">
        <v>2029</v>
      </c>
      <c r="I1478" s="378">
        <v>1887</v>
      </c>
      <c r="J1478" s="378">
        <v>1407</v>
      </c>
      <c r="K1478" s="378">
        <v>952</v>
      </c>
      <c r="L1478" s="379">
        <v>1209</v>
      </c>
      <c r="M1478" s="379">
        <v>1631</v>
      </c>
      <c r="N1478" s="379">
        <v>1483</v>
      </c>
      <c r="O1478" s="379">
        <v>1734</v>
      </c>
      <c r="P1478" s="378">
        <v>1734</v>
      </c>
      <c r="Q1478" s="379">
        <v>2446</v>
      </c>
      <c r="R1478" s="379">
        <v>1529</v>
      </c>
      <c r="S1478" s="379">
        <v>1619</v>
      </c>
      <c r="T1478" s="379">
        <v>1026</v>
      </c>
      <c r="U1478" s="378">
        <v>1026</v>
      </c>
      <c r="V1478" s="379">
        <v>219</v>
      </c>
      <c r="W1478" s="379">
        <v>336</v>
      </c>
      <c r="X1478" s="379">
        <v>403</v>
      </c>
      <c r="Y1478" s="1124"/>
      <c r="Z1478" s="380" t="e">
        <f ca="1">IF(Y1478+Z1613&lt;0,Z1384,U1478+Z1613)</f>
        <v>#VALUE!</v>
      </c>
      <c r="AA1478" s="1124">
        <f ca="1">AE1478</f>
        <v>2273.1244879813403</v>
      </c>
      <c r="AB1478" s="1124">
        <f ca="1">AE1478</f>
        <v>2273.1244879813403</v>
      </c>
      <c r="AC1478" s="1124">
        <f ca="1">AE1478</f>
        <v>2273.1244879813403</v>
      </c>
      <c r="AD1478" s="1124">
        <f ca="1">AE1478</f>
        <v>2273.1244879813403</v>
      </c>
      <c r="AE1478" s="380">
        <f ca="1">W1478+AE1613</f>
        <v>2273.1244879813403</v>
      </c>
      <c r="AF1478" s="380">
        <f ca="1">IF(AE1478+AF1613&lt;0,AF1384,AE1478+AF1613)</f>
        <v>5929.7487016353571</v>
      </c>
      <c r="AG1478" s="380">
        <f ca="1">IF(AF1478+AG1613&lt;0,AG1384,AF1478+AG1613)</f>
        <v>10295.656030325033</v>
      </c>
      <c r="AH1478" s="380">
        <f ca="1">IF(AG1478+AH1613&lt;0,AH1384,AC1478+AH1613)</f>
        <v>6855.0992874727417</v>
      </c>
      <c r="AI1478" s="380">
        <f ca="1">IF(AH1478+AI1613&lt;0,AI1384,AD1478+AI1613)</f>
        <v>7083.3599294780088</v>
      </c>
      <c r="AJ1478" s="380">
        <f ca="1">IF(AI1478+AJ1613&lt;0,AJ1384,AE1478+AJ1613)</f>
        <v>7189.7477979959649</v>
      </c>
      <c r="AK1478" s="380">
        <f ca="1">IF(AJ1478+AK1613&lt;0,AK1384,AF1478+AK1613)</f>
        <v>10425.326166846067</v>
      </c>
      <c r="AL1478" s="380">
        <f ca="1">IF(AK1478+AL1613&lt;0,AL1384,AG1478+AL1613)</f>
        <v>14792.891495535745</v>
      </c>
      <c r="AM1478" s="322"/>
      <c r="AN1478" s="322"/>
      <c r="AO1478" s="322"/>
      <c r="AP1478" s="322"/>
      <c r="AQ1478" s="322"/>
      <c r="AR1478" s="322"/>
      <c r="AS1478" s="322"/>
      <c r="AT1478" s="322"/>
      <c r="AU1478" s="322"/>
      <c r="AV1478" s="322"/>
      <c r="AW1478" s="322"/>
      <c r="AX1478" s="322"/>
      <c r="AY1478" s="322"/>
      <c r="AZ1478" s="322"/>
      <c r="BA1478" s="322"/>
      <c r="BB1478" s="322"/>
    </row>
    <row r="1479" spans="1:54" s="83" customFormat="1">
      <c r="D1479" s="327" t="s">
        <v>44</v>
      </c>
      <c r="E1479" s="327"/>
      <c r="F1479" s="92"/>
      <c r="G1479" s="378">
        <v>71</v>
      </c>
      <c r="H1479" s="378">
        <v>100</v>
      </c>
      <c r="I1479" s="378">
        <v>183</v>
      </c>
      <c r="J1479" s="378">
        <v>97</v>
      </c>
      <c r="K1479" s="378">
        <v>48</v>
      </c>
      <c r="L1479" s="379">
        <v>40</v>
      </c>
      <c r="M1479" s="379">
        <v>59</v>
      </c>
      <c r="N1479" s="379">
        <v>45</v>
      </c>
      <c r="O1479" s="379">
        <v>78</v>
      </c>
      <c r="P1479" s="378">
        <v>78</v>
      </c>
      <c r="Q1479" s="379">
        <v>85</v>
      </c>
      <c r="R1479" s="379">
        <v>99</v>
      </c>
      <c r="S1479" s="379">
        <v>109</v>
      </c>
      <c r="T1479" s="382">
        <v>95</v>
      </c>
      <c r="U1479" s="378">
        <v>95</v>
      </c>
      <c r="V1479" s="379">
        <v>70</v>
      </c>
      <c r="W1479" s="379">
        <v>65</v>
      </c>
      <c r="X1479" s="379">
        <v>45</v>
      </c>
      <c r="Y1479" s="181">
        <f>Z1479</f>
        <v>95</v>
      </c>
      <c r="Z1479" s="1052">
        <v>95</v>
      </c>
      <c r="AA1479" s="181">
        <f>AE1479</f>
        <v>95</v>
      </c>
      <c r="AB1479" s="181">
        <f>AE1479</f>
        <v>95</v>
      </c>
      <c r="AC1479" s="181">
        <f>AE1479</f>
        <v>95</v>
      </c>
      <c r="AD1479" s="181">
        <f>AE1479</f>
        <v>95</v>
      </c>
      <c r="AE1479" s="208">
        <f>Z1479</f>
        <v>95</v>
      </c>
      <c r="AF1479" s="208">
        <f>AE1479</f>
        <v>95</v>
      </c>
      <c r="AG1479" s="208">
        <f t="shared" ref="AG1479:AL1479" si="1172">AF1479</f>
        <v>95</v>
      </c>
      <c r="AH1479" s="208">
        <f t="shared" si="1172"/>
        <v>95</v>
      </c>
      <c r="AI1479" s="208">
        <f t="shared" si="1172"/>
        <v>95</v>
      </c>
      <c r="AJ1479" s="208">
        <f t="shared" si="1172"/>
        <v>95</v>
      </c>
      <c r="AK1479" s="208">
        <f t="shared" si="1172"/>
        <v>95</v>
      </c>
      <c r="AL1479" s="208">
        <f t="shared" si="1172"/>
        <v>95</v>
      </c>
      <c r="AM1479" s="322"/>
      <c r="AN1479" s="322"/>
      <c r="AO1479" s="322"/>
      <c r="AP1479" s="322"/>
      <c r="AQ1479" s="322"/>
      <c r="AR1479" s="322"/>
      <c r="AS1479" s="322"/>
      <c r="AT1479" s="322"/>
      <c r="AU1479" s="322"/>
      <c r="AV1479" s="322"/>
      <c r="AW1479" s="322"/>
      <c r="AX1479" s="322"/>
      <c r="AY1479" s="322"/>
      <c r="AZ1479" s="322"/>
      <c r="BA1479" s="322"/>
      <c r="BB1479" s="322"/>
    </row>
    <row r="1480" spans="1:54" s="83" customFormat="1">
      <c r="D1480" s="327" t="s">
        <v>45</v>
      </c>
      <c r="E1480" s="327"/>
      <c r="F1480" s="92"/>
      <c r="G1480" s="378">
        <v>1232</v>
      </c>
      <c r="H1480" s="378">
        <v>1036</v>
      </c>
      <c r="I1480" s="378">
        <v>1115</v>
      </c>
      <c r="J1480" s="378">
        <v>1413</v>
      </c>
      <c r="K1480" s="378">
        <v>1419</v>
      </c>
      <c r="L1480" s="379">
        <v>1429</v>
      </c>
      <c r="M1480" s="379">
        <v>1268</v>
      </c>
      <c r="N1480" s="379">
        <v>1272</v>
      </c>
      <c r="O1480" s="379">
        <v>1180</v>
      </c>
      <c r="P1480" s="378">
        <v>1180</v>
      </c>
      <c r="Q1480" s="379">
        <v>1547</v>
      </c>
      <c r="R1480" s="379">
        <v>1357</v>
      </c>
      <c r="S1480" s="379" t="s">
        <v>535</v>
      </c>
      <c r="T1480" s="382">
        <v>1062</v>
      </c>
      <c r="U1480" s="378">
        <v>1062</v>
      </c>
      <c r="V1480" s="379">
        <v>1014</v>
      </c>
      <c r="W1480" s="379">
        <v>678</v>
      </c>
      <c r="X1480" s="379">
        <v>1075</v>
      </c>
      <c r="Y1480" s="1038">
        <f>Z1480</f>
        <v>895.93950971028346</v>
      </c>
      <c r="Z1480" s="383">
        <f>Z1340</f>
        <v>895.93950971028346</v>
      </c>
      <c r="AA1480" s="181">
        <f>AE1480</f>
        <v>1134.6628623169004</v>
      </c>
      <c r="AB1480" s="181">
        <f>AE1480</f>
        <v>1134.6628623169004</v>
      </c>
      <c r="AC1480" s="181">
        <f>AE1480</f>
        <v>1134.6628623169004</v>
      </c>
      <c r="AD1480" s="181">
        <f>AE1480</f>
        <v>1134.6628623169004</v>
      </c>
      <c r="AE1480" s="383">
        <f>AE1340</f>
        <v>1134.6628623169004</v>
      </c>
      <c r="AF1480" s="383">
        <f>AF1340</f>
        <v>1195.9522019452638</v>
      </c>
      <c r="AG1480" s="383">
        <f t="shared" ref="AG1480:AL1480" si="1173">AG1340</f>
        <v>1275.1695926454224</v>
      </c>
      <c r="AH1480" s="383">
        <f t="shared" si="1173"/>
        <v>1375.7487860509666</v>
      </c>
      <c r="AI1480" s="383">
        <f t="shared" si="1173"/>
        <v>1369.6881794846463</v>
      </c>
      <c r="AJ1480" s="383">
        <f t="shared" si="1173"/>
        <v>1355.6286503522888</v>
      </c>
      <c r="AK1480" s="383">
        <f t="shared" si="1173"/>
        <v>1355.6286503522888</v>
      </c>
      <c r="AL1480" s="383">
        <f t="shared" si="1173"/>
        <v>1355.6286503522888</v>
      </c>
      <c r="AM1480" s="322"/>
      <c r="AN1480" s="322"/>
      <c r="AO1480" s="322"/>
      <c r="AP1480" s="322"/>
      <c r="AQ1480" s="322"/>
      <c r="AR1480" s="322"/>
      <c r="AS1480" s="322"/>
      <c r="AT1480" s="322"/>
      <c r="AU1480" s="322"/>
      <c r="AV1480" s="322"/>
      <c r="AW1480" s="322"/>
      <c r="AX1480" s="322"/>
      <c r="AY1480" s="322"/>
      <c r="AZ1480" s="322"/>
      <c r="BA1480" s="322"/>
      <c r="BB1480" s="322"/>
    </row>
    <row r="1481" spans="1:54" s="83" customFormat="1">
      <c r="D1481" s="327" t="s">
        <v>46</v>
      </c>
      <c r="E1481" s="327"/>
      <c r="F1481" s="92"/>
      <c r="G1481" s="378">
        <v>1695</v>
      </c>
      <c r="H1481" s="378">
        <v>1752</v>
      </c>
      <c r="I1481" s="378">
        <v>1620</v>
      </c>
      <c r="J1481" s="378">
        <v>1673</v>
      </c>
      <c r="K1481" s="378">
        <v>1669</v>
      </c>
      <c r="L1481" s="379">
        <v>1815</v>
      </c>
      <c r="M1481" s="379">
        <v>1995</v>
      </c>
      <c r="N1481" s="379">
        <v>2010</v>
      </c>
      <c r="O1481" s="379">
        <v>2065</v>
      </c>
      <c r="P1481" s="378">
        <v>2065</v>
      </c>
      <c r="Q1481" s="379">
        <v>2046</v>
      </c>
      <c r="R1481" s="379">
        <v>2059</v>
      </c>
      <c r="S1481" s="379" t="s">
        <v>536</v>
      </c>
      <c r="T1481" s="379">
        <v>1981</v>
      </c>
      <c r="U1481" s="378">
        <v>1981</v>
      </c>
      <c r="V1481" s="379">
        <v>1875</v>
      </c>
      <c r="W1481" s="379">
        <v>1979</v>
      </c>
      <c r="X1481" s="379">
        <v>1898</v>
      </c>
      <c r="Y1481" s="1038">
        <f ca="1">Z1481</f>
        <v>1710.3055934372817</v>
      </c>
      <c r="Z1481" s="383">
        <f ca="1">Z1349</f>
        <v>1710.3055934372817</v>
      </c>
      <c r="AA1481" s="181">
        <f ca="1">AE1481</f>
        <v>1863.3782664866308</v>
      </c>
      <c r="AB1481" s="181">
        <f ca="1">AE1481</f>
        <v>1863.3782664866308</v>
      </c>
      <c r="AC1481" s="181">
        <f ca="1">AE1481</f>
        <v>1863.3782664866308</v>
      </c>
      <c r="AD1481" s="181">
        <f ca="1">AE1481</f>
        <v>1863.3782664866308</v>
      </c>
      <c r="AE1481" s="383">
        <f ca="1">AE1349</f>
        <v>1863.3782664866308</v>
      </c>
      <c r="AF1481" s="383">
        <f ca="1">AF1349</f>
        <v>1912.0315332040757</v>
      </c>
      <c r="AG1481" s="383">
        <f t="shared" ref="AG1481:AL1481" ca="1" si="1174">AG1349</f>
        <v>1997.1939831818399</v>
      </c>
      <c r="AH1481" s="383">
        <f t="shared" ca="1" si="1174"/>
        <v>2057.7585358265487</v>
      </c>
      <c r="AI1481" s="383">
        <f t="shared" ca="1" si="1174"/>
        <v>2136.1484029414673</v>
      </c>
      <c r="AJ1481" s="383">
        <f t="shared" ca="1" si="1174"/>
        <v>2163.1793916017841</v>
      </c>
      <c r="AK1481" s="383">
        <f t="shared" ca="1" si="1174"/>
        <v>2163.1793916017841</v>
      </c>
      <c r="AL1481" s="383">
        <f t="shared" ca="1" si="1174"/>
        <v>2163.1793916017841</v>
      </c>
      <c r="AM1481" s="322"/>
      <c r="AN1481" s="322"/>
      <c r="AO1481" s="322"/>
      <c r="AP1481" s="322"/>
      <c r="AQ1481" s="322"/>
      <c r="AR1481" s="322"/>
      <c r="AS1481" s="322"/>
      <c r="AT1481" s="322"/>
      <c r="AU1481" s="322"/>
      <c r="AV1481" s="322"/>
      <c r="AW1481" s="322"/>
      <c r="AX1481" s="322"/>
      <c r="AY1481" s="322"/>
      <c r="AZ1481" s="322"/>
      <c r="BA1481" s="322"/>
      <c r="BB1481" s="322"/>
    </row>
    <row r="1482" spans="1:54" s="83" customFormat="1">
      <c r="D1482" s="327" t="s">
        <v>47</v>
      </c>
      <c r="E1482" s="327"/>
      <c r="F1482" s="92"/>
      <c r="G1482" s="90" t="s">
        <v>0</v>
      </c>
      <c r="H1482" s="90" t="s">
        <v>0</v>
      </c>
      <c r="I1482" s="90" t="s">
        <v>0</v>
      </c>
      <c r="J1482" s="90">
        <v>172</v>
      </c>
      <c r="K1482" s="90">
        <v>310</v>
      </c>
      <c r="L1482" s="91">
        <v>230</v>
      </c>
      <c r="M1482" s="91">
        <v>201</v>
      </c>
      <c r="N1482" s="91">
        <v>232</v>
      </c>
      <c r="O1482" s="91">
        <v>260</v>
      </c>
      <c r="P1482" s="90">
        <v>260</v>
      </c>
      <c r="Q1482" s="91">
        <v>673</v>
      </c>
      <c r="R1482" s="91">
        <v>690</v>
      </c>
      <c r="S1482" s="472">
        <v>290</v>
      </c>
      <c r="T1482" s="91">
        <v>331</v>
      </c>
      <c r="U1482" s="90">
        <v>331</v>
      </c>
      <c r="V1482" s="91">
        <v>338</v>
      </c>
      <c r="W1482" s="91">
        <v>350</v>
      </c>
      <c r="X1482" s="91">
        <v>354</v>
      </c>
      <c r="Y1482" s="1038">
        <f>Z1482</f>
        <v>248.18066029830737</v>
      </c>
      <c r="Z1482" s="208">
        <f>Z1366</f>
        <v>248.18066029830737</v>
      </c>
      <c r="AA1482" s="181">
        <f>AE1482</f>
        <v>314.30847209409944</v>
      </c>
      <c r="AB1482" s="181">
        <f>AE1482</f>
        <v>314.30847209409944</v>
      </c>
      <c r="AC1482" s="181">
        <f>AE1482</f>
        <v>314.30847209409944</v>
      </c>
      <c r="AD1482" s="181">
        <f>AE1482</f>
        <v>314.30847209409944</v>
      </c>
      <c r="AE1482" s="208">
        <f t="shared" ref="AE1482:AL1482" si="1175">AE1366</f>
        <v>314.30847209409944</v>
      </c>
      <c r="AF1482" s="208">
        <f t="shared" si="1175"/>
        <v>331.28598967576426</v>
      </c>
      <c r="AG1482" s="208">
        <f t="shared" si="1175"/>
        <v>331.28598967576426</v>
      </c>
      <c r="AH1482" s="208">
        <f t="shared" si="1175"/>
        <v>331.28598967576426</v>
      </c>
      <c r="AI1482" s="208">
        <f t="shared" si="1175"/>
        <v>331.28598967576426</v>
      </c>
      <c r="AJ1482" s="208">
        <f t="shared" si="1175"/>
        <v>331.28598967576426</v>
      </c>
      <c r="AK1482" s="208">
        <f t="shared" si="1175"/>
        <v>331.28598967576426</v>
      </c>
      <c r="AL1482" s="208">
        <f t="shared" si="1175"/>
        <v>331.28598967576426</v>
      </c>
      <c r="AM1482" s="322"/>
      <c r="AN1482" s="322"/>
      <c r="AO1482" s="322"/>
      <c r="AP1482" s="322"/>
      <c r="AQ1482" s="322"/>
      <c r="AR1482" s="322"/>
      <c r="AS1482" s="322"/>
      <c r="AT1482" s="322"/>
      <c r="AU1482" s="322"/>
      <c r="AV1482" s="322"/>
      <c r="AW1482" s="322"/>
      <c r="AX1482" s="322"/>
      <c r="AY1482" s="322"/>
      <c r="AZ1482" s="322"/>
      <c r="BA1482" s="322"/>
      <c r="BB1482" s="322"/>
    </row>
    <row r="1483" spans="1:54" s="83" customFormat="1">
      <c r="D1483" s="327" t="s">
        <v>48</v>
      </c>
      <c r="E1483" s="327"/>
      <c r="F1483" s="92"/>
      <c r="G1483" s="90" t="s">
        <v>0</v>
      </c>
      <c r="H1483" s="90" t="s">
        <v>0</v>
      </c>
      <c r="I1483" s="90" t="s">
        <v>0</v>
      </c>
      <c r="J1483" s="90">
        <v>0</v>
      </c>
      <c r="K1483" s="90">
        <v>350</v>
      </c>
      <c r="L1483" s="91">
        <v>350</v>
      </c>
      <c r="M1483" s="91">
        <v>350</v>
      </c>
      <c r="N1483" s="91">
        <v>0</v>
      </c>
      <c r="O1483" s="91">
        <v>0</v>
      </c>
      <c r="P1483" s="90">
        <v>0</v>
      </c>
      <c r="Q1483" s="91">
        <v>0</v>
      </c>
      <c r="R1483" s="91">
        <v>0</v>
      </c>
      <c r="S1483" s="91"/>
      <c r="T1483" s="91">
        <v>0</v>
      </c>
      <c r="U1483" s="90">
        <v>0</v>
      </c>
      <c r="V1483" s="91">
        <v>0</v>
      </c>
      <c r="W1483" s="91">
        <v>0</v>
      </c>
      <c r="X1483" s="91">
        <v>0</v>
      </c>
      <c r="Y1483" s="91">
        <v>0</v>
      </c>
      <c r="Z1483" s="90">
        <v>0</v>
      </c>
      <c r="AA1483" s="91"/>
      <c r="AB1483" s="91"/>
      <c r="AC1483" s="91"/>
      <c r="AD1483" s="91"/>
      <c r="AE1483" s="90">
        <v>0</v>
      </c>
      <c r="AF1483" s="90">
        <v>0</v>
      </c>
      <c r="AG1483" s="223"/>
      <c r="AH1483" s="381"/>
      <c r="AI1483" s="381"/>
      <c r="AJ1483" s="223"/>
      <c r="AK1483" s="223"/>
      <c r="AL1483" s="322"/>
      <c r="AM1483" s="322"/>
      <c r="AN1483" s="322"/>
      <c r="AO1483" s="322"/>
      <c r="AP1483" s="322"/>
      <c r="AQ1483" s="322"/>
      <c r="AR1483" s="322"/>
      <c r="AS1483" s="322"/>
      <c r="AT1483" s="322"/>
      <c r="AU1483" s="322"/>
      <c r="AV1483" s="322"/>
      <c r="AW1483" s="322"/>
      <c r="AX1483" s="322"/>
      <c r="AY1483" s="322"/>
      <c r="AZ1483" s="322"/>
      <c r="BA1483" s="322"/>
      <c r="BB1483" s="322"/>
    </row>
    <row r="1484" spans="1:54" s="83" customFormat="1">
      <c r="D1484" s="132" t="s">
        <v>273</v>
      </c>
      <c r="E1484" s="132"/>
      <c r="F1484" s="185"/>
      <c r="G1484" s="184">
        <f>SUM(G1478:G1483)</f>
        <v>5770</v>
      </c>
      <c r="H1484" s="184">
        <f t="shared" ref="H1484:R1484" si="1176">SUM(H1478:H1483)</f>
        <v>4917</v>
      </c>
      <c r="I1484" s="184">
        <f t="shared" si="1176"/>
        <v>4805</v>
      </c>
      <c r="J1484" s="184">
        <f t="shared" si="1176"/>
        <v>4762</v>
      </c>
      <c r="K1484" s="184">
        <f t="shared" si="1176"/>
        <v>4748</v>
      </c>
      <c r="L1484" s="106">
        <f t="shared" si="1176"/>
        <v>5073</v>
      </c>
      <c r="M1484" s="106">
        <f t="shared" si="1176"/>
        <v>5504</v>
      </c>
      <c r="N1484" s="106">
        <v>5042</v>
      </c>
      <c r="O1484" s="106">
        <v>5317</v>
      </c>
      <c r="P1484" s="184">
        <f t="shared" si="1176"/>
        <v>5317</v>
      </c>
      <c r="Q1484" s="106">
        <f t="shared" si="1176"/>
        <v>6797</v>
      </c>
      <c r="R1484" s="106">
        <f t="shared" si="1176"/>
        <v>5734</v>
      </c>
      <c r="S1484" s="106">
        <v>5418</v>
      </c>
      <c r="T1484" s="106">
        <v>4495</v>
      </c>
      <c r="U1484" s="184">
        <f>U1478+U1479+U1480+U1481+U1482+U1483</f>
        <v>4495</v>
      </c>
      <c r="V1484" s="106">
        <f t="shared" ref="V1484:AE1484" si="1177">SUM(V1478:V1483)</f>
        <v>3516</v>
      </c>
      <c r="W1484" s="106">
        <f t="shared" si="1177"/>
        <v>3408</v>
      </c>
      <c r="X1484" s="106">
        <f>SUM(X1478:X1483)</f>
        <v>3775</v>
      </c>
      <c r="Y1484" s="106" t="e">
        <f t="shared" ca="1" si="1177"/>
        <v>#VALUE!</v>
      </c>
      <c r="Z1484" s="106" t="e">
        <f t="shared" ca="1" si="1177"/>
        <v>#VALUE!</v>
      </c>
      <c r="AA1484" s="106">
        <f t="shared" ca="1" si="1177"/>
        <v>5783.7654718697468</v>
      </c>
      <c r="AB1484" s="106">
        <f t="shared" ca="1" si="1177"/>
        <v>5783.7654718697468</v>
      </c>
      <c r="AC1484" s="106">
        <f t="shared" ca="1" si="1177"/>
        <v>5783.7654718697468</v>
      </c>
      <c r="AD1484" s="106">
        <f t="shared" ca="1" si="1177"/>
        <v>5783.7654718697468</v>
      </c>
      <c r="AE1484" s="184">
        <f t="shared" ca="1" si="1177"/>
        <v>5783.7654718697468</v>
      </c>
      <c r="AF1484" s="384">
        <f ca="1">AF1478+AF1479+AF1480+AF1481+AF1482+AF1483</f>
        <v>9544.4923164801221</v>
      </c>
      <c r="AG1484" s="384">
        <f t="shared" ref="AG1484:AL1484" ca="1" si="1178">AG1478+AG1479+AG1480+AG1481+AG1482+AG1483</f>
        <v>14065.179678573861</v>
      </c>
      <c r="AH1484" s="384">
        <f t="shared" ca="1" si="1178"/>
        <v>10737.511019073876</v>
      </c>
      <c r="AI1484" s="384">
        <f t="shared" ca="1" si="1178"/>
        <v>11106.386446945158</v>
      </c>
      <c r="AJ1484" s="384">
        <f t="shared" ca="1" si="1178"/>
        <v>11261.262172658293</v>
      </c>
      <c r="AK1484" s="384">
        <f t="shared" ca="1" si="1178"/>
        <v>14496.840541508396</v>
      </c>
      <c r="AL1484" s="384">
        <f t="shared" ca="1" si="1178"/>
        <v>18864.405870198076</v>
      </c>
      <c r="AM1484" s="322"/>
      <c r="AN1484" s="322"/>
      <c r="AO1484" s="322"/>
      <c r="AP1484" s="322"/>
      <c r="AQ1484" s="322"/>
      <c r="AR1484" s="322"/>
      <c r="AS1484" s="322"/>
      <c r="AT1484" s="322"/>
      <c r="AU1484" s="322"/>
      <c r="AV1484" s="322"/>
      <c r="AW1484" s="322"/>
      <c r="AX1484" s="322"/>
      <c r="AY1484" s="322"/>
      <c r="AZ1484" s="322"/>
      <c r="BA1484" s="322"/>
      <c r="BB1484" s="322"/>
    </row>
    <row r="1485" spans="1:54" s="83" customFormat="1">
      <c r="G1485" s="141"/>
      <c r="H1485" s="141"/>
      <c r="I1485" s="141"/>
      <c r="J1485" s="141"/>
      <c r="K1485" s="141"/>
      <c r="L1485" s="385"/>
      <c r="M1485" s="385"/>
      <c r="N1485" s="385"/>
      <c r="O1485" s="385"/>
      <c r="P1485" s="141"/>
      <c r="Q1485" s="385"/>
      <c r="R1485" s="385"/>
      <c r="S1485" s="385"/>
      <c r="T1485" s="385"/>
      <c r="U1485" s="141"/>
      <c r="V1485" s="385"/>
      <c r="W1485" s="385"/>
      <c r="X1485" s="385"/>
      <c r="Y1485" s="1125"/>
      <c r="Z1485" s="223"/>
      <c r="AA1485" s="149"/>
      <c r="AB1485" s="149"/>
      <c r="AC1485" s="149"/>
      <c r="AD1485" s="149"/>
      <c r="AE1485" s="223"/>
      <c r="AF1485" s="223"/>
      <c r="AG1485" s="223"/>
      <c r="AH1485" s="223"/>
      <c r="AI1485" s="223"/>
      <c r="AJ1485" s="223"/>
      <c r="AK1485" s="223"/>
      <c r="AL1485" s="322"/>
      <c r="AM1485" s="322"/>
      <c r="AN1485" s="322"/>
      <c r="AO1485" s="322"/>
      <c r="AP1485" s="322"/>
      <c r="AQ1485" s="322"/>
      <c r="AR1485" s="322"/>
      <c r="AS1485" s="322"/>
      <c r="AT1485" s="322"/>
      <c r="AU1485" s="322"/>
      <c r="AV1485" s="322"/>
      <c r="AW1485" s="322"/>
      <c r="AX1485" s="322"/>
      <c r="AY1485" s="322"/>
      <c r="AZ1485" s="322"/>
      <c r="BA1485" s="322"/>
      <c r="BB1485" s="322"/>
    </row>
    <row r="1486" spans="1:54" s="83" customFormat="1">
      <c r="D1486" s="327"/>
      <c r="E1486" s="327"/>
      <c r="F1486" s="92"/>
      <c r="G1486" s="378" t="s">
        <v>0</v>
      </c>
      <c r="H1486" s="378" t="s">
        <v>0</v>
      </c>
      <c r="I1486" s="378" t="s">
        <v>0</v>
      </c>
      <c r="J1486" s="378" t="s">
        <v>0</v>
      </c>
      <c r="K1486" s="378" t="s">
        <v>0</v>
      </c>
      <c r="L1486" s="379"/>
      <c r="M1486" s="379"/>
      <c r="N1486" s="379"/>
      <c r="O1486" s="379"/>
      <c r="P1486" s="378" t="s">
        <v>0</v>
      </c>
      <c r="Q1486" s="379"/>
      <c r="R1486" s="379"/>
      <c r="S1486" s="379"/>
      <c r="T1486" s="379"/>
      <c r="U1486" s="378"/>
      <c r="V1486" s="379"/>
      <c r="W1486" s="379"/>
      <c r="X1486" s="379"/>
      <c r="Y1486" s="1125"/>
      <c r="Z1486" s="223"/>
      <c r="AA1486" s="149"/>
      <c r="AB1486" s="149"/>
      <c r="AC1486" s="149"/>
      <c r="AD1486" s="149"/>
      <c r="AE1486" s="223"/>
      <c r="AF1486" s="223"/>
      <c r="AG1486" s="223"/>
      <c r="AH1486" s="223"/>
      <c r="AI1486" s="223"/>
      <c r="AJ1486" s="223"/>
      <c r="AK1486" s="223"/>
      <c r="AL1486" s="322"/>
      <c r="AM1486" s="322"/>
      <c r="AN1486" s="322"/>
      <c r="AO1486" s="322"/>
      <c r="AP1486" s="322"/>
      <c r="AQ1486" s="322"/>
      <c r="AR1486" s="322"/>
      <c r="AS1486" s="322"/>
      <c r="AT1486" s="322"/>
      <c r="AU1486" s="322"/>
      <c r="AV1486" s="322"/>
      <c r="AW1486" s="322"/>
      <c r="AX1486" s="322"/>
      <c r="AY1486" s="322"/>
      <c r="AZ1486" s="322"/>
      <c r="BA1486" s="322"/>
      <c r="BB1486" s="322"/>
    </row>
    <row r="1487" spans="1:54" s="83" customFormat="1">
      <c r="D1487" s="327" t="s">
        <v>49</v>
      </c>
      <c r="E1487" s="327"/>
      <c r="F1487" s="92"/>
      <c r="G1487" s="378">
        <v>24</v>
      </c>
      <c r="H1487" s="378">
        <v>32</v>
      </c>
      <c r="I1487" s="378">
        <v>1017</v>
      </c>
      <c r="J1487" s="378">
        <v>1012</v>
      </c>
      <c r="K1487" s="378">
        <v>943</v>
      </c>
      <c r="L1487" s="379">
        <v>979</v>
      </c>
      <c r="M1487" s="379">
        <v>1009</v>
      </c>
      <c r="N1487" s="379">
        <v>1005</v>
      </c>
      <c r="O1487" s="379">
        <v>1071</v>
      </c>
      <c r="P1487" s="378">
        <v>1071</v>
      </c>
      <c r="Q1487" s="379">
        <v>1064</v>
      </c>
      <c r="R1487" s="379">
        <v>1058</v>
      </c>
      <c r="S1487" s="379">
        <v>1090</v>
      </c>
      <c r="T1487" s="379">
        <v>1079</v>
      </c>
      <c r="U1487" s="378">
        <v>1079</v>
      </c>
      <c r="V1487" s="379">
        <v>1180</v>
      </c>
      <c r="W1487" s="379">
        <v>1135</v>
      </c>
      <c r="X1487" s="379">
        <v>1114</v>
      </c>
      <c r="Y1487" s="1124">
        <f ca="1">Z1487</f>
        <v>1080</v>
      </c>
      <c r="Z1487" s="380">
        <f ca="1">Z1403</f>
        <v>1080</v>
      </c>
      <c r="AA1487" s="1124">
        <f ca="1">AE1487</f>
        <v>1082</v>
      </c>
      <c r="AB1487" s="1124">
        <f ca="1">AE1487</f>
        <v>1082</v>
      </c>
      <c r="AC1487" s="1124">
        <f ca="1">AE1487</f>
        <v>1082</v>
      </c>
      <c r="AD1487" s="1124">
        <f ca="1">AE1487</f>
        <v>1082</v>
      </c>
      <c r="AE1487" s="380">
        <f ca="1">AE1403</f>
        <v>1082</v>
      </c>
      <c r="AF1487" s="380">
        <f ca="1">AF1403</f>
        <v>1084</v>
      </c>
      <c r="AG1487" s="380">
        <f t="shared" ref="AG1487:AL1487" ca="1" si="1179">AG1403</f>
        <v>1085.25</v>
      </c>
      <c r="AH1487" s="380">
        <f t="shared" ca="1" si="1179"/>
        <v>1086.5</v>
      </c>
      <c r="AI1487" s="380">
        <f t="shared" ca="1" si="1179"/>
        <v>1087.75</v>
      </c>
      <c r="AJ1487" s="380">
        <f t="shared" ca="1" si="1179"/>
        <v>1089</v>
      </c>
      <c r="AK1487" s="380">
        <f t="shared" ca="1" si="1179"/>
        <v>1091</v>
      </c>
      <c r="AL1487" s="380">
        <f t="shared" ca="1" si="1179"/>
        <v>1093</v>
      </c>
      <c r="AM1487" s="322"/>
      <c r="AN1487" s="322"/>
      <c r="AO1487" s="322"/>
      <c r="AP1487" s="322"/>
      <c r="AQ1487" s="322"/>
      <c r="AR1487" s="322"/>
      <c r="AS1487" s="322"/>
      <c r="AT1487" s="322"/>
      <c r="AU1487" s="322"/>
      <c r="AV1487" s="322"/>
      <c r="AW1487" s="322"/>
      <c r="AX1487" s="322"/>
      <c r="AY1487" s="322"/>
      <c r="AZ1487" s="322"/>
      <c r="BA1487" s="322"/>
      <c r="BB1487" s="322"/>
    </row>
    <row r="1488" spans="1:54" s="83" customFormat="1">
      <c r="D1488" s="327" t="s">
        <v>50</v>
      </c>
      <c r="E1488" s="327"/>
      <c r="F1488" s="92"/>
      <c r="G1488" s="378">
        <v>27811</v>
      </c>
      <c r="H1488" s="378">
        <v>28925</v>
      </c>
      <c r="I1488" s="378">
        <v>26791</v>
      </c>
      <c r="J1488" s="378">
        <v>27595</v>
      </c>
      <c r="K1488" s="378">
        <v>29045</v>
      </c>
      <c r="L1488" s="379">
        <v>29545</v>
      </c>
      <c r="M1488" s="379">
        <v>29853</v>
      </c>
      <c r="N1488" s="379">
        <v>30142</v>
      </c>
      <c r="O1488" s="379">
        <v>31050</v>
      </c>
      <c r="P1488" s="378">
        <v>31050</v>
      </c>
      <c r="Q1488" s="379">
        <v>31882</v>
      </c>
      <c r="R1488" s="379">
        <v>32210</v>
      </c>
      <c r="S1488" s="379">
        <v>33041</v>
      </c>
      <c r="T1488" s="379">
        <v>31355</v>
      </c>
      <c r="U1488" s="378">
        <v>31355</v>
      </c>
      <c r="V1488" s="379">
        <v>31653</v>
      </c>
      <c r="W1488" s="379">
        <v>32191</v>
      </c>
      <c r="X1488" s="379">
        <v>32792</v>
      </c>
      <c r="Y1488" s="1124">
        <f ca="1">Z1488</f>
        <v>33487</v>
      </c>
      <c r="Z1488" s="380">
        <f ca="1">Z1412</f>
        <v>33487</v>
      </c>
      <c r="AA1488" s="1124">
        <f ca="1">AE1488</f>
        <v>35884.453101975072</v>
      </c>
      <c r="AB1488" s="1124">
        <f ca="1">AE1488</f>
        <v>35884.453101975072</v>
      </c>
      <c r="AC1488" s="1124">
        <f ca="1">AE1488</f>
        <v>35884.453101975072</v>
      </c>
      <c r="AD1488" s="1124">
        <f ca="1">AE1488</f>
        <v>35884.453101975072</v>
      </c>
      <c r="AE1488" s="380">
        <f ca="1">AE1412</f>
        <v>35884.453101975072</v>
      </c>
      <c r="AF1488" s="380">
        <f ca="1">AF1412</f>
        <v>36623.790814344036</v>
      </c>
      <c r="AG1488" s="380">
        <f t="shared" ref="AG1488:AL1488" ca="1" si="1180">AG1412</f>
        <v>36801.560181389264</v>
      </c>
      <c r="AH1488" s="380">
        <f t="shared" ca="1" si="1180"/>
        <v>36945.656237504816</v>
      </c>
      <c r="AI1488" s="380">
        <f t="shared" ca="1" si="1180"/>
        <v>37043.853013044834</v>
      </c>
      <c r="AJ1488" s="380">
        <f t="shared" ca="1" si="1180"/>
        <v>37126.222450455352</v>
      </c>
      <c r="AK1488" s="380">
        <f t="shared" ca="1" si="1180"/>
        <v>37429.811156667471</v>
      </c>
      <c r="AL1488" s="380">
        <f t="shared" ca="1" si="1180"/>
        <v>37733.399862879589</v>
      </c>
      <c r="AM1488" s="322"/>
      <c r="AN1488" s="322"/>
      <c r="AO1488" s="322"/>
      <c r="AP1488" s="322"/>
      <c r="AQ1488" s="322"/>
      <c r="AR1488" s="322"/>
      <c r="AS1488" s="322"/>
      <c r="AT1488" s="322"/>
      <c r="AU1488" s="322"/>
      <c r="AV1488" s="322"/>
      <c r="AW1488" s="322"/>
      <c r="AX1488" s="322"/>
      <c r="AY1488" s="322"/>
      <c r="AZ1488" s="322"/>
      <c r="BA1488" s="322"/>
      <c r="BB1488" s="322"/>
    </row>
    <row r="1489" spans="3:54" s="83" customFormat="1">
      <c r="D1489" s="327" t="s">
        <v>51</v>
      </c>
      <c r="E1489" s="327"/>
      <c r="F1489" s="92"/>
      <c r="G1489" s="378">
        <v>164</v>
      </c>
      <c r="H1489" s="378">
        <v>361</v>
      </c>
      <c r="I1489" s="378">
        <v>90</v>
      </c>
      <c r="J1489" s="378">
        <v>112</v>
      </c>
      <c r="K1489" s="378">
        <v>154</v>
      </c>
      <c r="L1489" s="379">
        <v>154</v>
      </c>
      <c r="M1489" s="379">
        <v>133</v>
      </c>
      <c r="N1489" s="379">
        <v>133</v>
      </c>
      <c r="O1489" s="379">
        <v>160</v>
      </c>
      <c r="P1489" s="378">
        <v>160</v>
      </c>
      <c r="Q1489" s="379">
        <v>160</v>
      </c>
      <c r="R1489" s="379">
        <v>160</v>
      </c>
      <c r="S1489" s="379">
        <v>160</v>
      </c>
      <c r="T1489" s="379">
        <v>211</v>
      </c>
      <c r="U1489" s="378">
        <v>211</v>
      </c>
      <c r="V1489" s="379">
        <v>211</v>
      </c>
      <c r="W1489" s="379">
        <v>211</v>
      </c>
      <c r="X1489" s="379">
        <v>211</v>
      </c>
      <c r="Y1489" s="1124">
        <f>Z1489</f>
        <v>211</v>
      </c>
      <c r="Z1489" s="380">
        <f>Z1423</f>
        <v>211</v>
      </c>
      <c r="AA1489" s="1124">
        <f>AE1489</f>
        <v>211</v>
      </c>
      <c r="AB1489" s="1124">
        <f>AE1489</f>
        <v>211</v>
      </c>
      <c r="AC1489" s="1124">
        <f>AE1489</f>
        <v>211</v>
      </c>
      <c r="AD1489" s="1124">
        <f>AE1489</f>
        <v>211</v>
      </c>
      <c r="AE1489" s="380">
        <f>AE1423</f>
        <v>211</v>
      </c>
      <c r="AF1489" s="380">
        <f>AF1423</f>
        <v>211</v>
      </c>
      <c r="AG1489" s="380">
        <f t="shared" ref="AG1489:AL1489" si="1181">AG1423</f>
        <v>211</v>
      </c>
      <c r="AH1489" s="380">
        <f t="shared" si="1181"/>
        <v>211</v>
      </c>
      <c r="AI1489" s="380">
        <f t="shared" si="1181"/>
        <v>211</v>
      </c>
      <c r="AJ1489" s="380">
        <f t="shared" si="1181"/>
        <v>211</v>
      </c>
      <c r="AK1489" s="380">
        <f t="shared" si="1181"/>
        <v>211</v>
      </c>
      <c r="AL1489" s="380">
        <f t="shared" si="1181"/>
        <v>211</v>
      </c>
      <c r="AM1489" s="322"/>
      <c r="AN1489" s="322"/>
      <c r="AO1489" s="322"/>
      <c r="AP1489" s="322"/>
      <c r="AQ1489" s="322"/>
      <c r="AR1489" s="322"/>
      <c r="AS1489" s="322"/>
      <c r="AT1489" s="322"/>
      <c r="AU1489" s="322"/>
      <c r="AV1489" s="322"/>
      <c r="AW1489" s="322"/>
      <c r="AX1489" s="322"/>
      <c r="AY1489" s="322"/>
      <c r="AZ1489" s="322"/>
      <c r="BA1489" s="322"/>
      <c r="BB1489" s="322"/>
    </row>
    <row r="1490" spans="3:54" s="83" customFormat="1">
      <c r="D1490" s="327" t="s">
        <v>52</v>
      </c>
      <c r="E1490" s="327"/>
      <c r="F1490" s="92"/>
      <c r="G1490" s="378">
        <v>746</v>
      </c>
      <c r="H1490" s="378">
        <v>894</v>
      </c>
      <c r="I1490" s="378">
        <v>858</v>
      </c>
      <c r="J1490" s="378">
        <v>1034</v>
      </c>
      <c r="K1490" s="378">
        <v>1051</v>
      </c>
      <c r="L1490" s="379">
        <v>1045</v>
      </c>
      <c r="M1490" s="379">
        <v>1029</v>
      </c>
      <c r="N1490" s="379">
        <v>952</v>
      </c>
      <c r="O1490" s="379">
        <v>907</v>
      </c>
      <c r="P1490" s="378">
        <v>907</v>
      </c>
      <c r="Q1490" s="379">
        <v>1091</v>
      </c>
      <c r="R1490" s="379">
        <v>949</v>
      </c>
      <c r="S1490" s="379">
        <v>999</v>
      </c>
      <c r="T1490" s="379">
        <v>1109</v>
      </c>
      <c r="U1490" s="378">
        <v>1109</v>
      </c>
      <c r="V1490" s="379">
        <v>1077</v>
      </c>
      <c r="W1490" s="379">
        <v>1173</v>
      </c>
      <c r="X1490" s="379">
        <v>1264</v>
      </c>
      <c r="Y1490" s="1124">
        <f>Z1490</f>
        <v>1264</v>
      </c>
      <c r="Z1490" s="1052">
        <f>X1490</f>
        <v>1264</v>
      </c>
      <c r="AA1490" s="1124">
        <f>AE1490</f>
        <v>1264</v>
      </c>
      <c r="AB1490" s="1124">
        <f>AE1490</f>
        <v>1264</v>
      </c>
      <c r="AC1490" s="1124">
        <f>AE1490</f>
        <v>1264</v>
      </c>
      <c r="AD1490" s="1124">
        <f>AE1490</f>
        <v>1264</v>
      </c>
      <c r="AE1490" s="208">
        <f>Z1490</f>
        <v>1264</v>
      </c>
      <c r="AF1490" s="208">
        <f>AE1490</f>
        <v>1264</v>
      </c>
      <c r="AG1490" s="208">
        <f t="shared" ref="AG1490:AL1490" si="1182">AF1490</f>
        <v>1264</v>
      </c>
      <c r="AH1490" s="208">
        <f t="shared" si="1182"/>
        <v>1264</v>
      </c>
      <c r="AI1490" s="208">
        <f t="shared" si="1182"/>
        <v>1264</v>
      </c>
      <c r="AJ1490" s="208">
        <f t="shared" si="1182"/>
        <v>1264</v>
      </c>
      <c r="AK1490" s="208">
        <f t="shared" si="1182"/>
        <v>1264</v>
      </c>
      <c r="AL1490" s="208">
        <f t="shared" si="1182"/>
        <v>1264</v>
      </c>
      <c r="AM1490" s="322"/>
      <c r="AN1490" s="322"/>
      <c r="AO1490" s="322"/>
      <c r="AP1490" s="322"/>
      <c r="AQ1490" s="322"/>
      <c r="AR1490" s="322"/>
      <c r="AS1490" s="322"/>
      <c r="AT1490" s="322"/>
      <c r="AU1490" s="322"/>
      <c r="AV1490" s="322"/>
      <c r="AW1490" s="322"/>
      <c r="AX1490" s="322"/>
      <c r="AY1490" s="322"/>
      <c r="AZ1490" s="322"/>
      <c r="BA1490" s="322"/>
      <c r="BB1490" s="322"/>
    </row>
    <row r="1491" spans="3:54" s="83" customFormat="1">
      <c r="D1491" s="327" t="s">
        <v>53</v>
      </c>
      <c r="E1491" s="327"/>
      <c r="F1491" s="92"/>
      <c r="G1491" s="378">
        <v>1668</v>
      </c>
      <c r="H1491" s="378">
        <v>1710</v>
      </c>
      <c r="I1491" s="378">
        <v>1127</v>
      </c>
      <c r="J1491" s="378">
        <v>1114</v>
      </c>
      <c r="K1491" s="378">
        <v>1087</v>
      </c>
      <c r="L1491" s="379">
        <v>1098</v>
      </c>
      <c r="M1491" s="379">
        <v>1106</v>
      </c>
      <c r="N1491" s="379">
        <v>1099</v>
      </c>
      <c r="O1491" s="379">
        <v>1121</v>
      </c>
      <c r="P1491" s="378">
        <v>1121</v>
      </c>
      <c r="Q1491" s="379">
        <v>1112</v>
      </c>
      <c r="R1491" s="379">
        <v>1104</v>
      </c>
      <c r="S1491" s="379">
        <v>1109</v>
      </c>
      <c r="T1491" s="379">
        <v>1101</v>
      </c>
      <c r="U1491" s="378">
        <v>1101</v>
      </c>
      <c r="V1491" s="379">
        <v>1137</v>
      </c>
      <c r="W1491" s="379">
        <v>1120</v>
      </c>
      <c r="X1491" s="379">
        <v>1111</v>
      </c>
      <c r="Y1491" s="1124">
        <f>Z1491</f>
        <v>1111</v>
      </c>
      <c r="Z1491" s="1052">
        <f>X1491</f>
        <v>1111</v>
      </c>
      <c r="AA1491" s="1124">
        <f>AE1491</f>
        <v>1111</v>
      </c>
      <c r="AB1491" s="1124">
        <f>AE1491</f>
        <v>1111</v>
      </c>
      <c r="AC1491" s="1124">
        <f>AE1491</f>
        <v>1111</v>
      </c>
      <c r="AD1491" s="1127">
        <f>AE1491</f>
        <v>1111</v>
      </c>
      <c r="AE1491" s="676">
        <f>Z1491</f>
        <v>1111</v>
      </c>
      <c r="AF1491" s="676">
        <f>AE1491</f>
        <v>1111</v>
      </c>
      <c r="AG1491" s="676">
        <f t="shared" ref="AG1491:AL1491" si="1183">AF1491</f>
        <v>1111</v>
      </c>
      <c r="AH1491" s="676">
        <f t="shared" si="1183"/>
        <v>1111</v>
      </c>
      <c r="AI1491" s="676">
        <f t="shared" si="1183"/>
        <v>1111</v>
      </c>
      <c r="AJ1491" s="676">
        <f t="shared" si="1183"/>
        <v>1111</v>
      </c>
      <c r="AK1491" s="676">
        <f t="shared" si="1183"/>
        <v>1111</v>
      </c>
      <c r="AL1491" s="676">
        <f t="shared" si="1183"/>
        <v>1111</v>
      </c>
      <c r="AM1491" s="322"/>
      <c r="AN1491" s="322"/>
      <c r="AO1491" s="322"/>
      <c r="AP1491" s="322"/>
      <c r="AQ1491" s="322"/>
      <c r="AR1491" s="322"/>
      <c r="AS1491" s="322"/>
      <c r="AT1491" s="322"/>
      <c r="AU1491" s="322"/>
      <c r="AV1491" s="322"/>
      <c r="AW1491" s="322"/>
      <c r="AX1491" s="322"/>
      <c r="AY1491" s="322"/>
      <c r="AZ1491" s="322"/>
      <c r="BA1491" s="322"/>
      <c r="BB1491" s="322"/>
    </row>
    <row r="1492" spans="3:54" s="83" customFormat="1">
      <c r="D1492" s="132" t="s">
        <v>274</v>
      </c>
      <c r="E1492" s="132"/>
      <c r="F1492" s="185"/>
      <c r="G1492" s="386">
        <f t="shared" ref="G1492:P1492" si="1184">SUM(G1487:G1491)</f>
        <v>30413</v>
      </c>
      <c r="H1492" s="386">
        <f t="shared" si="1184"/>
        <v>31922</v>
      </c>
      <c r="I1492" s="386">
        <f t="shared" si="1184"/>
        <v>29883</v>
      </c>
      <c r="J1492" s="386">
        <f t="shared" si="1184"/>
        <v>30867</v>
      </c>
      <c r="K1492" s="386">
        <f t="shared" si="1184"/>
        <v>32280</v>
      </c>
      <c r="L1492" s="387">
        <f>SUM(L1487:L1491)</f>
        <v>32821</v>
      </c>
      <c r="M1492" s="387">
        <f>SUM(M1487:M1491)</f>
        <v>33130</v>
      </c>
      <c r="N1492" s="387">
        <v>38373</v>
      </c>
      <c r="O1492" s="387">
        <v>34309</v>
      </c>
      <c r="P1492" s="386">
        <f t="shared" si="1184"/>
        <v>34309</v>
      </c>
      <c r="Q1492" s="387">
        <f t="shared" ref="Q1492:AF1492" si="1185">SUM(Q1487:Q1491)</f>
        <v>35309</v>
      </c>
      <c r="R1492" s="387">
        <f t="shared" si="1185"/>
        <v>35481</v>
      </c>
      <c r="S1492" s="387">
        <f t="shared" si="1185"/>
        <v>36399</v>
      </c>
      <c r="T1492" s="387">
        <v>34855</v>
      </c>
      <c r="U1492" s="386">
        <f t="shared" si="1185"/>
        <v>34855</v>
      </c>
      <c r="V1492" s="387">
        <f>SUM(V1487:V1491)</f>
        <v>35258</v>
      </c>
      <c r="W1492" s="387">
        <f>SUM(W1487:W1491)</f>
        <v>35830</v>
      </c>
      <c r="X1492" s="387">
        <f>SUM(X1487:X1491)</f>
        <v>36492</v>
      </c>
      <c r="Y1492" s="387">
        <f ca="1">SUM(Y1487:Y1491)</f>
        <v>37154</v>
      </c>
      <c r="Z1492" s="386">
        <f ca="1">SUM(Z1487:Z1491)</f>
        <v>37154</v>
      </c>
      <c r="AA1492" s="387">
        <f t="shared" ca="1" si="1185"/>
        <v>39553.453101975072</v>
      </c>
      <c r="AB1492" s="387">
        <f t="shared" ca="1" si="1185"/>
        <v>39553.453101975072</v>
      </c>
      <c r="AC1492" s="387">
        <f t="shared" ca="1" si="1185"/>
        <v>39553.453101975072</v>
      </c>
      <c r="AD1492" s="1126">
        <f t="shared" ca="1" si="1185"/>
        <v>39553.453101975072</v>
      </c>
      <c r="AE1492" s="1061">
        <f t="shared" ca="1" si="1185"/>
        <v>39553.453101975072</v>
      </c>
      <c r="AF1492" s="1061">
        <f t="shared" ca="1" si="1185"/>
        <v>40294.790814344036</v>
      </c>
      <c r="AG1492" s="1061">
        <f t="shared" ref="AG1492:AL1492" ca="1" si="1186">SUM(AG1487:AG1491)</f>
        <v>40473.810181389264</v>
      </c>
      <c r="AH1492" s="1061">
        <f t="shared" ca="1" si="1186"/>
        <v>40619.156237504816</v>
      </c>
      <c r="AI1492" s="1061">
        <f t="shared" ca="1" si="1186"/>
        <v>40718.603013044834</v>
      </c>
      <c r="AJ1492" s="1061">
        <f t="shared" ca="1" si="1186"/>
        <v>40802.222450455352</v>
      </c>
      <c r="AK1492" s="1061">
        <f t="shared" ca="1" si="1186"/>
        <v>41107.811156667471</v>
      </c>
      <c r="AL1492" s="1061">
        <f t="shared" ca="1" si="1186"/>
        <v>41413.399862879589</v>
      </c>
      <c r="AM1492" s="322"/>
      <c r="AN1492" s="322"/>
      <c r="AO1492" s="322"/>
      <c r="AP1492" s="322"/>
      <c r="AQ1492" s="322"/>
      <c r="AR1492" s="322"/>
      <c r="AS1492" s="322"/>
      <c r="AT1492" s="322"/>
      <c r="AU1492" s="322"/>
      <c r="AV1492" s="322"/>
      <c r="AW1492" s="322"/>
      <c r="AX1492" s="322"/>
      <c r="AY1492" s="322"/>
      <c r="AZ1492" s="322"/>
      <c r="BA1492" s="322"/>
      <c r="BB1492" s="322"/>
    </row>
    <row r="1493" spans="3:54" s="83" customFormat="1" ht="16" thickBot="1">
      <c r="D1493" s="388" t="s">
        <v>276</v>
      </c>
      <c r="E1493" s="388"/>
      <c r="F1493" s="389"/>
      <c r="G1493" s="390">
        <v>36183</v>
      </c>
      <c r="H1493" s="390">
        <v>36839</v>
      </c>
      <c r="I1493" s="390">
        <v>34688</v>
      </c>
      <c r="J1493" s="390">
        <v>35629</v>
      </c>
      <c r="K1493" s="390">
        <v>37028</v>
      </c>
      <c r="L1493" s="391">
        <f>L1492+L1484</f>
        <v>37894</v>
      </c>
      <c r="M1493" s="391">
        <v>38634</v>
      </c>
      <c r="N1493" s="391">
        <f>N1492+N1484</f>
        <v>43415</v>
      </c>
      <c r="O1493" s="391">
        <v>39626</v>
      </c>
      <c r="P1493" s="390">
        <v>39626</v>
      </c>
      <c r="Q1493" s="391">
        <f>Q1492+Q1484</f>
        <v>42106</v>
      </c>
      <c r="R1493" s="391">
        <f>R1492+R1484</f>
        <v>41215</v>
      </c>
      <c r="S1493" s="391">
        <f>S1492+S1484</f>
        <v>41817</v>
      </c>
      <c r="T1493" s="391">
        <v>39350</v>
      </c>
      <c r="U1493" s="390">
        <f>U1484+U1492</f>
        <v>39350</v>
      </c>
      <c r="V1493" s="391">
        <f>V1492+V1484</f>
        <v>38774</v>
      </c>
      <c r="W1493" s="391">
        <f t="shared" ref="W1493:AF1493" si="1187">W1492+W1484</f>
        <v>39238</v>
      </c>
      <c r="X1493" s="391">
        <f t="shared" si="1187"/>
        <v>40267</v>
      </c>
      <c r="Y1493" s="391">
        <f t="shared" ca="1" si="1187"/>
        <v>40114.724963630033</v>
      </c>
      <c r="Z1493" s="391">
        <f ca="1">Z1492+Z1484</f>
        <v>40114.724963630033</v>
      </c>
      <c r="AA1493" s="391">
        <f t="shared" ca="1" si="1187"/>
        <v>45337.218573844817</v>
      </c>
      <c r="AB1493" s="391">
        <f t="shared" ca="1" si="1187"/>
        <v>45337.218573844817</v>
      </c>
      <c r="AC1493" s="391">
        <f t="shared" ca="1" si="1187"/>
        <v>45337.218573844817</v>
      </c>
      <c r="AD1493" s="391">
        <f ca="1">AD1492+AD1484</f>
        <v>45337.218573844817</v>
      </c>
      <c r="AE1493" s="390">
        <f ca="1">AE1492+AE1484</f>
        <v>45337.218573844817</v>
      </c>
      <c r="AF1493" s="390">
        <f t="shared" ca="1" si="1187"/>
        <v>49839.283130824158</v>
      </c>
      <c r="AG1493" s="390">
        <f t="shared" ref="AG1493:AL1493" ca="1" si="1188">AG1492+AG1484</f>
        <v>54538.989859963127</v>
      </c>
      <c r="AH1493" s="390">
        <f t="shared" ca="1" si="1188"/>
        <v>51356.667256578694</v>
      </c>
      <c r="AI1493" s="390">
        <f t="shared" ca="1" si="1188"/>
        <v>51824.989459989993</v>
      </c>
      <c r="AJ1493" s="390">
        <f t="shared" ca="1" si="1188"/>
        <v>52063.484623113647</v>
      </c>
      <c r="AK1493" s="390">
        <f t="shared" ca="1" si="1188"/>
        <v>55604.651698175869</v>
      </c>
      <c r="AL1493" s="390">
        <f t="shared" ca="1" si="1188"/>
        <v>60277.805733077665</v>
      </c>
      <c r="AM1493" s="322"/>
      <c r="AN1493" s="322"/>
      <c r="AO1493" s="322"/>
      <c r="AP1493" s="322"/>
      <c r="AQ1493" s="322"/>
      <c r="AR1493" s="322"/>
      <c r="AS1493" s="322"/>
      <c r="AT1493" s="322"/>
      <c r="AU1493" s="322"/>
      <c r="AV1493" s="322"/>
      <c r="AW1493" s="322"/>
      <c r="AX1493" s="322"/>
      <c r="AY1493" s="322"/>
      <c r="AZ1493" s="322"/>
      <c r="BA1493" s="322"/>
      <c r="BB1493" s="322"/>
    </row>
    <row r="1494" spans="3:54" s="83" customFormat="1" ht="16" thickTop="1">
      <c r="D1494" s="343"/>
      <c r="E1494" s="343"/>
      <c r="F1494" s="92"/>
      <c r="G1494" s="392"/>
      <c r="H1494" s="392"/>
      <c r="I1494" s="392"/>
      <c r="J1494" s="392"/>
      <c r="K1494" s="392"/>
      <c r="L1494" s="393"/>
      <c r="M1494" s="393"/>
      <c r="N1494" s="393"/>
      <c r="O1494" s="393"/>
      <c r="P1494" s="392"/>
      <c r="Q1494" s="393"/>
      <c r="R1494" s="393"/>
      <c r="S1494" s="393"/>
      <c r="T1494" s="393"/>
      <c r="U1494" s="392"/>
      <c r="V1494" s="393"/>
      <c r="W1494" s="393"/>
      <c r="X1494" s="393"/>
      <c r="Y1494" s="149"/>
      <c r="Z1494" s="223"/>
      <c r="AA1494" s="149"/>
      <c r="AB1494" s="149"/>
      <c r="AC1494" s="149"/>
      <c r="AD1494" s="149"/>
      <c r="AE1494" s="223"/>
      <c r="AF1494" s="223"/>
      <c r="AG1494" s="223"/>
      <c r="AH1494" s="223"/>
      <c r="AI1494" s="223"/>
      <c r="AJ1494" s="223"/>
      <c r="AK1494" s="223"/>
      <c r="AL1494" s="322"/>
      <c r="AM1494" s="322"/>
      <c r="AN1494" s="322"/>
      <c r="AO1494" s="322"/>
      <c r="AP1494" s="322"/>
      <c r="AQ1494" s="322"/>
      <c r="AR1494" s="322"/>
      <c r="AS1494" s="322"/>
      <c r="AT1494" s="322"/>
      <c r="AU1494" s="322"/>
      <c r="AV1494" s="322"/>
      <c r="AW1494" s="322"/>
      <c r="AX1494" s="322"/>
      <c r="AY1494" s="322"/>
      <c r="AZ1494" s="322"/>
      <c r="BA1494" s="322"/>
      <c r="BB1494" s="322"/>
    </row>
    <row r="1495" spans="3:54" s="83" customFormat="1">
      <c r="C1495" s="331"/>
      <c r="D1495" s="327" t="s">
        <v>54</v>
      </c>
      <c r="E1495" s="327"/>
      <c r="F1495" s="92"/>
      <c r="G1495" s="378">
        <v>1784</v>
      </c>
      <c r="H1495" s="378">
        <v>1663</v>
      </c>
      <c r="I1495" s="378">
        <v>1673</v>
      </c>
      <c r="J1495" s="378">
        <v>1870</v>
      </c>
      <c r="K1495" s="378">
        <v>2290</v>
      </c>
      <c r="L1495" s="379">
        <v>2056</v>
      </c>
      <c r="M1495" s="379">
        <v>2144</v>
      </c>
      <c r="N1495" s="379">
        <v>2025</v>
      </c>
      <c r="O1495" s="379">
        <v>2333</v>
      </c>
      <c r="P1495" s="378">
        <v>2333</v>
      </c>
      <c r="Q1495" s="379">
        <v>2046</v>
      </c>
      <c r="R1495" s="379">
        <v>2090</v>
      </c>
      <c r="S1495" s="379">
        <v>2327</v>
      </c>
      <c r="T1495" s="379">
        <v>2498</v>
      </c>
      <c r="U1495" s="378">
        <v>2498</v>
      </c>
      <c r="V1495" s="379">
        <v>2177</v>
      </c>
      <c r="W1495" s="379">
        <v>1995</v>
      </c>
      <c r="X1495" s="379">
        <v>2508</v>
      </c>
      <c r="Y1495" s="1124">
        <f ca="1">Z1495</f>
        <v>2233.4985210612058</v>
      </c>
      <c r="Z1495" s="383">
        <f ca="1">Z1358</f>
        <v>2233.4985210612058</v>
      </c>
      <c r="AA1495" s="1124">
        <f ca="1">AE1495</f>
        <v>2433.3970597682555</v>
      </c>
      <c r="AB1495" s="1124">
        <f ca="1">AE1495</f>
        <v>2433.3970597682555</v>
      </c>
      <c r="AC1495" s="1124">
        <f ca="1">AE1495</f>
        <v>2433.3970597682555</v>
      </c>
      <c r="AD1495" s="1124">
        <f ca="1">AE1495</f>
        <v>2433.3970597682555</v>
      </c>
      <c r="AE1495" s="380">
        <f t="shared" ref="AE1495:AL1495" ca="1" si="1189">AE1358</f>
        <v>2433.3970597682555</v>
      </c>
      <c r="AF1495" s="380">
        <f t="shared" ca="1" si="1189"/>
        <v>2496.9336579499973</v>
      </c>
      <c r="AG1495" s="380">
        <f t="shared" ca="1" si="1189"/>
        <v>2608.1478215504394</v>
      </c>
      <c r="AH1495" s="380">
        <f t="shared" ca="1" si="1189"/>
        <v>2687.2394407790421</v>
      </c>
      <c r="AI1495" s="380">
        <f t="shared" ca="1" si="1189"/>
        <v>2789.6092470517801</v>
      </c>
      <c r="AJ1495" s="380">
        <f t="shared" ca="1" si="1189"/>
        <v>2824.9091802492762</v>
      </c>
      <c r="AK1495" s="380">
        <f t="shared" ca="1" si="1189"/>
        <v>2824.9091802492762</v>
      </c>
      <c r="AL1495" s="380">
        <f t="shared" ca="1" si="1189"/>
        <v>2824.9091802492762</v>
      </c>
      <c r="AM1495" s="322"/>
      <c r="AN1495" s="322"/>
      <c r="AO1495" s="322"/>
      <c r="AP1495" s="322"/>
      <c r="AQ1495" s="322"/>
      <c r="AR1495" s="322"/>
      <c r="AS1495" s="322"/>
      <c r="AT1495" s="322"/>
      <c r="AU1495" s="322"/>
      <c r="AV1495" s="322"/>
      <c r="AW1495" s="322"/>
      <c r="AX1495" s="322"/>
      <c r="AY1495" s="322"/>
      <c r="AZ1495" s="322"/>
      <c r="BA1495" s="322"/>
      <c r="BB1495" s="322"/>
    </row>
    <row r="1496" spans="3:54" s="83" customFormat="1">
      <c r="D1496" s="327" t="s">
        <v>56</v>
      </c>
      <c r="E1496" s="327"/>
      <c r="F1496" s="92"/>
      <c r="G1496" s="378">
        <v>61</v>
      </c>
      <c r="H1496" s="378">
        <v>59</v>
      </c>
      <c r="I1496" s="378">
        <v>25</v>
      </c>
      <c r="J1496" s="378">
        <v>199</v>
      </c>
      <c r="K1496" s="378">
        <v>268</v>
      </c>
      <c r="L1496" s="379">
        <v>284</v>
      </c>
      <c r="M1496" s="379">
        <v>144</v>
      </c>
      <c r="N1496" s="379">
        <v>132</v>
      </c>
      <c r="O1496" s="379">
        <v>151</v>
      </c>
      <c r="P1496" s="378">
        <v>151</v>
      </c>
      <c r="Q1496" s="379">
        <v>123</v>
      </c>
      <c r="R1496" s="379">
        <v>72</v>
      </c>
      <c r="S1496" s="379">
        <v>120</v>
      </c>
      <c r="T1496" s="379">
        <v>89</v>
      </c>
      <c r="U1496" s="378">
        <v>89</v>
      </c>
      <c r="V1496" s="379">
        <v>65</v>
      </c>
      <c r="W1496" s="379">
        <v>52</v>
      </c>
      <c r="X1496" s="379">
        <v>81</v>
      </c>
      <c r="Y1496" s="1124">
        <f>Z1496</f>
        <v>81</v>
      </c>
      <c r="Z1496" s="1052">
        <f>$X$1496</f>
        <v>81</v>
      </c>
      <c r="AA1496" s="1124">
        <f>AE1496</f>
        <v>81</v>
      </c>
      <c r="AB1496" s="1124">
        <f>AE1496</f>
        <v>81</v>
      </c>
      <c r="AC1496" s="1124">
        <f>AE1496</f>
        <v>81</v>
      </c>
      <c r="AD1496" s="1124">
        <f>AE1496</f>
        <v>81</v>
      </c>
      <c r="AE1496" s="231">
        <f>Z1496</f>
        <v>81</v>
      </c>
      <c r="AF1496" s="231">
        <f>AE1496</f>
        <v>81</v>
      </c>
      <c r="AG1496" s="231">
        <f t="shared" ref="AG1496:AL1496" si="1190">AF1496</f>
        <v>81</v>
      </c>
      <c r="AH1496" s="231">
        <f t="shared" si="1190"/>
        <v>81</v>
      </c>
      <c r="AI1496" s="231">
        <f t="shared" si="1190"/>
        <v>81</v>
      </c>
      <c r="AJ1496" s="231">
        <f t="shared" si="1190"/>
        <v>81</v>
      </c>
      <c r="AK1496" s="231">
        <f t="shared" si="1190"/>
        <v>81</v>
      </c>
      <c r="AL1496" s="231">
        <f t="shared" si="1190"/>
        <v>81</v>
      </c>
      <c r="AM1496" s="322"/>
      <c r="AN1496" s="322"/>
      <c r="AO1496" s="322"/>
      <c r="AP1496" s="322"/>
      <c r="AQ1496" s="322"/>
      <c r="AR1496" s="322"/>
      <c r="AS1496" s="322"/>
      <c r="AT1496" s="322"/>
      <c r="AU1496" s="322"/>
      <c r="AV1496" s="322"/>
      <c r="AW1496" s="322"/>
      <c r="AX1496" s="322"/>
      <c r="AY1496" s="322"/>
      <c r="AZ1496" s="322"/>
      <c r="BA1496" s="322"/>
      <c r="BB1496" s="322"/>
    </row>
    <row r="1497" spans="3:54" s="83" customFormat="1">
      <c r="D1497" s="327" t="s">
        <v>55</v>
      </c>
      <c r="E1497" s="327"/>
      <c r="F1497" s="92"/>
      <c r="G1497" s="378">
        <v>259</v>
      </c>
      <c r="H1497" s="378">
        <v>259</v>
      </c>
      <c r="I1497" s="90">
        <v>0</v>
      </c>
      <c r="J1497" s="90">
        <v>0</v>
      </c>
      <c r="K1497" s="90">
        <v>0</v>
      </c>
      <c r="L1497" s="91">
        <v>0</v>
      </c>
      <c r="M1497" s="91">
        <v>0</v>
      </c>
      <c r="N1497" s="91">
        <v>0</v>
      </c>
      <c r="O1497" s="91">
        <v>0</v>
      </c>
      <c r="P1497" s="90">
        <v>0</v>
      </c>
      <c r="Q1497" s="91">
        <v>0</v>
      </c>
      <c r="R1497" s="91">
        <v>0</v>
      </c>
      <c r="S1497" s="91">
        <v>0</v>
      </c>
      <c r="T1497" s="91"/>
      <c r="U1497" s="90"/>
      <c r="V1497" s="91"/>
      <c r="W1497" s="91"/>
      <c r="X1497" s="91"/>
      <c r="Y1497" s="149"/>
      <c r="Z1497" s="223"/>
      <c r="AA1497" s="149"/>
      <c r="AB1497" s="149"/>
      <c r="AC1497" s="149"/>
      <c r="AD1497" s="149"/>
      <c r="AE1497" s="223"/>
      <c r="AF1497" s="223"/>
      <c r="AG1497" s="223"/>
      <c r="AH1497" s="223"/>
      <c r="AI1497" s="223"/>
      <c r="AJ1497" s="223"/>
      <c r="AK1497" s="223"/>
      <c r="AL1497" s="322"/>
      <c r="AM1497" s="322"/>
      <c r="AN1497" s="322"/>
      <c r="AO1497" s="322"/>
      <c r="AP1497" s="322"/>
      <c r="AQ1497" s="322"/>
      <c r="AR1497" s="322"/>
      <c r="AS1497" s="322"/>
      <c r="AT1497" s="322"/>
      <c r="AU1497" s="322"/>
      <c r="AV1497" s="322"/>
      <c r="AW1497" s="322"/>
      <c r="AX1497" s="322"/>
      <c r="AY1497" s="322"/>
      <c r="AZ1497" s="322"/>
      <c r="BA1497" s="322"/>
      <c r="BB1497" s="322"/>
    </row>
    <row r="1498" spans="3:54" s="83" customFormat="1">
      <c r="D1498" s="327" t="s">
        <v>608</v>
      </c>
      <c r="E1498" s="327"/>
      <c r="F1498" s="92"/>
      <c r="G1498" s="378"/>
      <c r="H1498" s="378"/>
      <c r="I1498" s="90"/>
      <c r="J1498" s="90"/>
      <c r="K1498" s="90"/>
      <c r="L1498" s="91"/>
      <c r="M1498" s="91"/>
      <c r="N1498" s="91"/>
      <c r="O1498" s="91"/>
      <c r="P1498" s="90"/>
      <c r="Q1498" s="91"/>
      <c r="R1498" s="91"/>
      <c r="S1498" s="91"/>
      <c r="T1498" s="91">
        <v>160</v>
      </c>
      <c r="U1498" s="90">
        <v>160</v>
      </c>
      <c r="V1498" s="91">
        <v>163</v>
      </c>
      <c r="W1498" s="91">
        <v>151</v>
      </c>
      <c r="X1498" s="91">
        <v>143</v>
      </c>
      <c r="Y1498" s="1124">
        <f>Z1498</f>
        <v>143</v>
      </c>
      <c r="Z1498" s="1052">
        <f>X1498</f>
        <v>143</v>
      </c>
      <c r="AA1498" s="1124">
        <f>AE1498</f>
        <v>143</v>
      </c>
      <c r="AB1498" s="1124">
        <f>AE1498</f>
        <v>143</v>
      </c>
      <c r="AC1498" s="1124">
        <f>AE1498</f>
        <v>143</v>
      </c>
      <c r="AD1498" s="1124">
        <f>AE1498</f>
        <v>143</v>
      </c>
      <c r="AE1498" s="208">
        <f>Z1498</f>
        <v>143</v>
      </c>
      <c r="AF1498" s="208">
        <f>AE1498</f>
        <v>143</v>
      </c>
      <c r="AG1498" s="208">
        <f t="shared" ref="AG1498:AL1499" si="1191">AF1498</f>
        <v>143</v>
      </c>
      <c r="AH1498" s="208">
        <f t="shared" si="1191"/>
        <v>143</v>
      </c>
      <c r="AI1498" s="208">
        <f t="shared" si="1191"/>
        <v>143</v>
      </c>
      <c r="AJ1498" s="208">
        <f t="shared" si="1191"/>
        <v>143</v>
      </c>
      <c r="AK1498" s="208">
        <f t="shared" si="1191"/>
        <v>143</v>
      </c>
      <c r="AL1498" s="208">
        <f t="shared" si="1191"/>
        <v>143</v>
      </c>
      <c r="AM1498" s="322"/>
      <c r="AN1498" s="322"/>
      <c r="AO1498" s="322"/>
      <c r="AP1498" s="322"/>
      <c r="AQ1498" s="322"/>
      <c r="AR1498" s="322"/>
      <c r="AS1498" s="322"/>
      <c r="AT1498" s="322"/>
      <c r="AU1498" s="322"/>
      <c r="AV1498" s="322"/>
      <c r="AW1498" s="322"/>
      <c r="AX1498" s="322"/>
      <c r="AY1498" s="322"/>
      <c r="AZ1498" s="322"/>
      <c r="BA1498" s="322"/>
      <c r="BB1498" s="322"/>
    </row>
    <row r="1499" spans="3:54" s="83" customFormat="1">
      <c r="D1499" s="327" t="s">
        <v>57</v>
      </c>
      <c r="E1499" s="327"/>
      <c r="F1499" s="92"/>
      <c r="G1499" s="378">
        <v>59</v>
      </c>
      <c r="H1499" s="378">
        <v>428</v>
      </c>
      <c r="I1499" s="378">
        <v>28</v>
      </c>
      <c r="J1499" s="378">
        <v>99</v>
      </c>
      <c r="K1499" s="378">
        <v>55</v>
      </c>
      <c r="L1499" s="379">
        <v>28</v>
      </c>
      <c r="M1499" s="91">
        <v>29</v>
      </c>
      <c r="N1499" s="379">
        <v>32</v>
      </c>
      <c r="O1499" s="91">
        <v>32</v>
      </c>
      <c r="P1499" s="378">
        <v>32</v>
      </c>
      <c r="Q1499" s="379">
        <v>132</v>
      </c>
      <c r="R1499" s="379">
        <v>162</v>
      </c>
      <c r="S1499" s="379">
        <v>152</v>
      </c>
      <c r="T1499" s="379">
        <v>29</v>
      </c>
      <c r="U1499" s="378">
        <v>29</v>
      </c>
      <c r="V1499" s="379">
        <v>198</v>
      </c>
      <c r="W1499" s="379">
        <v>48</v>
      </c>
      <c r="X1499" s="379">
        <v>83</v>
      </c>
      <c r="Y1499" s="1124">
        <f>Z1499</f>
        <v>83</v>
      </c>
      <c r="Z1499" s="1052">
        <f>X1499</f>
        <v>83</v>
      </c>
      <c r="AA1499" s="1124">
        <f>AE1499</f>
        <v>83</v>
      </c>
      <c r="AB1499" s="1124">
        <f>AE1499</f>
        <v>83</v>
      </c>
      <c r="AC1499" s="1124">
        <f>AE1499</f>
        <v>83</v>
      </c>
      <c r="AD1499" s="1124">
        <f>AE1499</f>
        <v>83</v>
      </c>
      <c r="AE1499" s="1102">
        <f>Z1499</f>
        <v>83</v>
      </c>
      <c r="AF1499" s="208">
        <f>AE1499</f>
        <v>83</v>
      </c>
      <c r="AG1499" s="208">
        <f t="shared" si="1191"/>
        <v>83</v>
      </c>
      <c r="AH1499" s="208">
        <f t="shared" si="1191"/>
        <v>83</v>
      </c>
      <c r="AI1499" s="208">
        <f t="shared" si="1191"/>
        <v>83</v>
      </c>
      <c r="AJ1499" s="208">
        <f t="shared" si="1191"/>
        <v>83</v>
      </c>
      <c r="AK1499" s="208">
        <f t="shared" si="1191"/>
        <v>83</v>
      </c>
      <c r="AL1499" s="208">
        <f t="shared" si="1191"/>
        <v>83</v>
      </c>
      <c r="AM1499" s="322"/>
      <c r="AN1499" s="322"/>
      <c r="AO1499" s="322"/>
      <c r="AP1499" s="322"/>
      <c r="AQ1499" s="322"/>
      <c r="AR1499" s="322"/>
      <c r="AS1499" s="322"/>
      <c r="AT1499" s="322"/>
      <c r="AU1499" s="322"/>
      <c r="AV1499" s="322"/>
      <c r="AW1499" s="322"/>
      <c r="AX1499" s="322"/>
      <c r="AY1499" s="322"/>
      <c r="AZ1499" s="322"/>
      <c r="BA1499" s="322"/>
      <c r="BB1499" s="322"/>
    </row>
    <row r="1500" spans="3:54" s="83" customFormat="1">
      <c r="D1500" s="132" t="s">
        <v>275</v>
      </c>
      <c r="E1500" s="132"/>
      <c r="F1500" s="185"/>
      <c r="G1500" s="386">
        <f t="shared" ref="G1500:S1500" si="1192">G1495+G1496+G1497+G1499+G1498</f>
        <v>2163</v>
      </c>
      <c r="H1500" s="386">
        <f t="shared" si="1192"/>
        <v>2409</v>
      </c>
      <c r="I1500" s="386">
        <f t="shared" si="1192"/>
        <v>1726</v>
      </c>
      <c r="J1500" s="386">
        <f t="shared" si="1192"/>
        <v>2168</v>
      </c>
      <c r="K1500" s="386">
        <f t="shared" si="1192"/>
        <v>2613</v>
      </c>
      <c r="L1500" s="387">
        <f>L1495+L1496+L1497+L1499+L1498</f>
        <v>2368</v>
      </c>
      <c r="M1500" s="387">
        <f>M1495+M1496+M1497+M1499+M1498</f>
        <v>2317</v>
      </c>
      <c r="N1500" s="387">
        <v>2189</v>
      </c>
      <c r="O1500" s="387">
        <v>2516</v>
      </c>
      <c r="P1500" s="386">
        <f>P1495+P1496+P1497+P1499+P1498</f>
        <v>2516</v>
      </c>
      <c r="Q1500" s="387">
        <f t="shared" si="1192"/>
        <v>2301</v>
      </c>
      <c r="R1500" s="387">
        <f t="shared" si="1192"/>
        <v>2324</v>
      </c>
      <c r="S1500" s="387">
        <f t="shared" si="1192"/>
        <v>2599</v>
      </c>
      <c r="T1500" s="387">
        <v>2776</v>
      </c>
      <c r="U1500" s="386">
        <f t="shared" ref="U1500:Z1500" si="1193">U1495+U1496+U1497+U1499+U1498</f>
        <v>2776</v>
      </c>
      <c r="V1500" s="387">
        <f t="shared" si="1193"/>
        <v>2603</v>
      </c>
      <c r="W1500" s="387">
        <f t="shared" si="1193"/>
        <v>2246</v>
      </c>
      <c r="X1500" s="387">
        <f t="shared" si="1193"/>
        <v>2815</v>
      </c>
      <c r="Y1500" s="387">
        <f t="shared" ca="1" si="1193"/>
        <v>2540.4985210612058</v>
      </c>
      <c r="Z1500" s="386">
        <f t="shared" ca="1" si="1193"/>
        <v>2540.4985210612058</v>
      </c>
      <c r="AA1500" s="387">
        <f t="shared" ref="AA1500:AJ1500" ca="1" si="1194">AA1495+AA1496+AA1497+AA1499+AA1498</f>
        <v>2740.3970597682555</v>
      </c>
      <c r="AB1500" s="387">
        <f t="shared" ca="1" si="1194"/>
        <v>2740.3970597682555</v>
      </c>
      <c r="AC1500" s="387">
        <f t="shared" ca="1" si="1194"/>
        <v>2740.3970597682555</v>
      </c>
      <c r="AD1500" s="387">
        <f t="shared" ca="1" si="1194"/>
        <v>2740.3970597682555</v>
      </c>
      <c r="AE1500" s="386">
        <f t="shared" ca="1" si="1194"/>
        <v>2740.3970597682555</v>
      </c>
      <c r="AF1500" s="386">
        <f t="shared" ca="1" si="1194"/>
        <v>2803.9336579499973</v>
      </c>
      <c r="AG1500" s="386">
        <f t="shared" ca="1" si="1194"/>
        <v>2915.1478215504394</v>
      </c>
      <c r="AH1500" s="386">
        <f t="shared" ca="1" si="1194"/>
        <v>2994.2394407790421</v>
      </c>
      <c r="AI1500" s="386">
        <f t="shared" ca="1" si="1194"/>
        <v>3096.6092470517801</v>
      </c>
      <c r="AJ1500" s="386">
        <f t="shared" ca="1" si="1194"/>
        <v>3131.9091802492762</v>
      </c>
      <c r="AK1500" s="386">
        <f ca="1">AK1495+AK1496+AK1497+AK1499+AK1498</f>
        <v>3131.9091802492762</v>
      </c>
      <c r="AL1500" s="386">
        <f ca="1">AL1495+AL1496+AL1497+AL1499+AL1498</f>
        <v>3131.9091802492762</v>
      </c>
      <c r="AM1500" s="322"/>
      <c r="AN1500" s="322"/>
      <c r="AO1500" s="322"/>
      <c r="AP1500" s="322"/>
      <c r="AQ1500" s="322"/>
      <c r="AR1500" s="322"/>
      <c r="AS1500" s="322"/>
      <c r="AT1500" s="322"/>
      <c r="AU1500" s="322"/>
      <c r="AV1500" s="322"/>
      <c r="AW1500" s="322"/>
      <c r="AX1500" s="322"/>
      <c r="AY1500" s="322"/>
      <c r="AZ1500" s="322"/>
      <c r="BA1500" s="322"/>
      <c r="BB1500" s="322"/>
    </row>
    <row r="1501" spans="3:54" s="83" customFormat="1">
      <c r="D1501" s="343"/>
      <c r="E1501" s="343"/>
      <c r="F1501" s="92"/>
      <c r="G1501" s="392"/>
      <c r="H1501" s="392"/>
      <c r="I1501" s="392"/>
      <c r="J1501" s="392"/>
      <c r="K1501" s="392"/>
      <c r="L1501" s="393"/>
      <c r="M1501" s="393"/>
      <c r="N1501" s="393"/>
      <c r="O1501" s="393"/>
      <c r="P1501" s="392"/>
      <c r="Q1501" s="393"/>
      <c r="R1501" s="393"/>
      <c r="S1501" s="393"/>
      <c r="T1501" s="393"/>
      <c r="U1501" s="392"/>
      <c r="V1501" s="393"/>
      <c r="W1501" s="393"/>
      <c r="X1501" s="393"/>
      <c r="Y1501" s="149"/>
      <c r="Z1501" s="223"/>
      <c r="AA1501" s="149"/>
      <c r="AB1501" s="149"/>
      <c r="AC1501" s="149"/>
      <c r="AD1501" s="149"/>
      <c r="AE1501" s="223"/>
      <c r="AF1501" s="223"/>
      <c r="AG1501" s="223"/>
      <c r="AH1501" s="223"/>
      <c r="AI1501" s="223"/>
      <c r="AJ1501" s="223"/>
      <c r="AK1501" s="223"/>
      <c r="AL1501" s="322"/>
      <c r="AM1501" s="322"/>
      <c r="AN1501" s="322"/>
      <c r="AO1501" s="322"/>
      <c r="AP1501" s="322"/>
      <c r="AQ1501" s="322"/>
      <c r="AR1501" s="322"/>
      <c r="AS1501" s="322"/>
      <c r="AT1501" s="322"/>
      <c r="AU1501" s="322"/>
      <c r="AV1501" s="322"/>
      <c r="AW1501" s="322"/>
      <c r="AX1501" s="322"/>
      <c r="AY1501" s="322"/>
      <c r="AZ1501" s="322"/>
      <c r="BA1501" s="322"/>
      <c r="BB1501" s="322"/>
    </row>
    <row r="1502" spans="3:54" s="83" customFormat="1">
      <c r="D1502" s="343"/>
      <c r="E1502" s="343"/>
      <c r="F1502" s="92"/>
      <c r="G1502" s="392"/>
      <c r="H1502" s="392"/>
      <c r="I1502" s="392"/>
      <c r="J1502" s="392"/>
      <c r="K1502" s="392"/>
      <c r="L1502" s="393"/>
      <c r="M1502" s="393"/>
      <c r="N1502" s="393"/>
      <c r="O1502" s="393"/>
      <c r="P1502" s="392"/>
      <c r="Q1502" s="393"/>
      <c r="R1502" s="393"/>
      <c r="S1502" s="393"/>
      <c r="T1502" s="393"/>
      <c r="U1502" s="392"/>
      <c r="V1502" s="393"/>
      <c r="W1502" s="393"/>
      <c r="X1502" s="393"/>
      <c r="Y1502" s="149"/>
      <c r="Z1502" s="223"/>
      <c r="AA1502" s="149"/>
      <c r="AB1502" s="149"/>
      <c r="AC1502" s="149"/>
      <c r="AD1502" s="149"/>
      <c r="AE1502" s="223"/>
      <c r="AF1502" s="223"/>
      <c r="AG1502" s="223"/>
      <c r="AH1502" s="223"/>
      <c r="AI1502" s="223"/>
      <c r="AJ1502" s="223"/>
      <c r="AK1502" s="223"/>
      <c r="AL1502" s="322"/>
      <c r="AM1502" s="322"/>
      <c r="AN1502" s="322"/>
      <c r="AO1502" s="322"/>
      <c r="AP1502" s="322"/>
      <c r="AQ1502" s="322"/>
      <c r="AR1502" s="322"/>
      <c r="AS1502" s="322"/>
      <c r="AT1502" s="322"/>
      <c r="AU1502" s="322"/>
      <c r="AV1502" s="322"/>
      <c r="AW1502" s="322"/>
      <c r="AX1502" s="322"/>
      <c r="AY1502" s="322"/>
      <c r="AZ1502" s="322"/>
      <c r="BA1502" s="322"/>
      <c r="BB1502" s="322"/>
    </row>
    <row r="1503" spans="3:54" s="83" customFormat="1">
      <c r="D1503" s="327" t="s">
        <v>57</v>
      </c>
      <c r="E1503" s="343"/>
      <c r="F1503" s="92"/>
      <c r="G1503" s="392"/>
      <c r="H1503" s="392"/>
      <c r="I1503" s="392"/>
      <c r="J1503" s="392"/>
      <c r="K1503" s="392"/>
      <c r="L1503" s="393"/>
      <c r="M1503" s="393"/>
      <c r="N1503" s="393"/>
      <c r="O1503" s="393"/>
      <c r="P1503" s="392"/>
      <c r="Q1503" s="393"/>
      <c r="R1503" s="393"/>
      <c r="S1503" s="393"/>
      <c r="T1503" s="393">
        <v>4133</v>
      </c>
      <c r="U1503" s="392">
        <v>4133</v>
      </c>
      <c r="V1503" s="393">
        <v>4576</v>
      </c>
      <c r="W1503" s="393">
        <v>5383</v>
      </c>
      <c r="X1503" s="393">
        <v>5778</v>
      </c>
      <c r="Y1503" s="149"/>
      <c r="Z1503" s="223"/>
      <c r="AA1503" s="149"/>
      <c r="AB1503" s="149"/>
      <c r="AC1503" s="149"/>
      <c r="AD1503" s="149"/>
      <c r="AE1503" s="223"/>
      <c r="AF1503" s="223"/>
      <c r="AG1503" s="223"/>
      <c r="AH1503" s="223"/>
      <c r="AI1503" s="223"/>
      <c r="AJ1503" s="223"/>
      <c r="AK1503" s="223"/>
      <c r="AL1503" s="322"/>
      <c r="AM1503" s="322"/>
      <c r="AN1503" s="322"/>
      <c r="AO1503" s="322"/>
      <c r="AP1503" s="322"/>
      <c r="AQ1503" s="322"/>
      <c r="AR1503" s="322"/>
      <c r="AS1503" s="322"/>
      <c r="AT1503" s="322"/>
      <c r="AU1503" s="322"/>
      <c r="AV1503" s="322"/>
      <c r="AW1503" s="322"/>
      <c r="AX1503" s="322"/>
      <c r="AY1503" s="322"/>
      <c r="AZ1503" s="322"/>
      <c r="BA1503" s="322"/>
      <c r="BB1503" s="322"/>
    </row>
    <row r="1504" spans="3:54" s="83" customFormat="1">
      <c r="D1504" s="327" t="s">
        <v>609</v>
      </c>
      <c r="E1504" s="343"/>
      <c r="F1504" s="92"/>
      <c r="G1504" s="392"/>
      <c r="H1504" s="392"/>
      <c r="I1504" s="392"/>
      <c r="J1504" s="392"/>
      <c r="K1504" s="392"/>
      <c r="L1504" s="393"/>
      <c r="M1504" s="393"/>
      <c r="N1504" s="393"/>
      <c r="O1504" s="393"/>
      <c r="P1504" s="392"/>
      <c r="Q1504" s="393"/>
      <c r="R1504" s="393"/>
      <c r="S1504" s="393"/>
      <c r="T1504" s="393">
        <v>512</v>
      </c>
      <c r="U1504" s="392">
        <v>512</v>
      </c>
      <c r="V1504" s="393">
        <v>542</v>
      </c>
      <c r="W1504" s="393">
        <v>575</v>
      </c>
      <c r="X1504" s="393">
        <v>608</v>
      </c>
      <c r="Y1504" s="149"/>
      <c r="Z1504" s="223"/>
      <c r="AA1504" s="149"/>
      <c r="AB1504" s="149"/>
      <c r="AC1504" s="149"/>
      <c r="AD1504" s="149"/>
      <c r="AE1504" s="223"/>
      <c r="AF1504" s="223"/>
      <c r="AG1504" s="223"/>
      <c r="AH1504" s="223"/>
      <c r="AI1504" s="223"/>
      <c r="AJ1504" s="223"/>
      <c r="AK1504" s="223"/>
      <c r="AL1504" s="322"/>
      <c r="AM1504" s="322"/>
      <c r="AN1504" s="322"/>
      <c r="AO1504" s="322"/>
      <c r="AP1504" s="322"/>
      <c r="AQ1504" s="322"/>
      <c r="AR1504" s="322"/>
      <c r="AS1504" s="322"/>
      <c r="AT1504" s="322"/>
      <c r="AU1504" s="322"/>
      <c r="AV1504" s="322"/>
      <c r="AW1504" s="322"/>
      <c r="AX1504" s="322"/>
      <c r="AY1504" s="322"/>
      <c r="AZ1504" s="322"/>
      <c r="BA1504" s="322"/>
      <c r="BB1504" s="322"/>
    </row>
    <row r="1505" spans="2:54" s="83" customFormat="1">
      <c r="D1505" s="327" t="s">
        <v>349</v>
      </c>
      <c r="E1505" s="327"/>
      <c r="F1505" s="92"/>
      <c r="G1505" s="378">
        <v>7664</v>
      </c>
      <c r="H1505" s="378">
        <v>8013</v>
      </c>
      <c r="I1505" s="378">
        <v>9606</v>
      </c>
      <c r="J1505" s="378">
        <v>8244</v>
      </c>
      <c r="K1505" s="378">
        <v>6314</v>
      </c>
      <c r="L1505" s="379">
        <v>6475</v>
      </c>
      <c r="M1505" s="379">
        <v>6590</v>
      </c>
      <c r="N1505" s="379">
        <v>5203</v>
      </c>
      <c r="O1505" s="379">
        <v>5487</v>
      </c>
      <c r="P1505" s="378">
        <v>5487</v>
      </c>
      <c r="Q1505" s="379">
        <v>5620</v>
      </c>
      <c r="R1505" s="379">
        <v>4703</v>
      </c>
      <c r="S1505" s="379">
        <v>4777</v>
      </c>
      <c r="T1505" s="379">
        <v>4645</v>
      </c>
      <c r="U1505" s="378">
        <f>SUM(U1503:U1504)</f>
        <v>4645</v>
      </c>
      <c r="V1505" s="379">
        <f>SUM(V1503:V1504)</f>
        <v>5118</v>
      </c>
      <c r="W1505" s="379">
        <f>SUM(W1503:W1504)</f>
        <v>5958</v>
      </c>
      <c r="X1505" s="379">
        <v>6386</v>
      </c>
      <c r="Y1505" s="1124">
        <f>Z1505</f>
        <v>4645</v>
      </c>
      <c r="Z1505" s="370">
        <f>Z1437</f>
        <v>4645</v>
      </c>
      <c r="AA1505" s="1124">
        <f>AE1505</f>
        <v>4486</v>
      </c>
      <c r="AB1505" s="1124">
        <f>AE1505</f>
        <v>4486</v>
      </c>
      <c r="AC1505" s="1124">
        <f>AE1505</f>
        <v>4486</v>
      </c>
      <c r="AD1505" s="1124">
        <f>AE1505</f>
        <v>4486</v>
      </c>
      <c r="AE1505" s="1101">
        <f>AE1437</f>
        <v>4486</v>
      </c>
      <c r="AF1505" s="370">
        <f>AF1437</f>
        <v>4211</v>
      </c>
      <c r="AG1505" s="370">
        <f t="shared" ref="AG1505:AL1505" si="1195">AG1437</f>
        <v>3937</v>
      </c>
      <c r="AH1505" s="370">
        <f t="shared" si="1195"/>
        <v>3664</v>
      </c>
      <c r="AI1505" s="370">
        <f t="shared" si="1195"/>
        <v>3392</v>
      </c>
      <c r="AJ1505" s="370">
        <f t="shared" si="1195"/>
        <v>3121</v>
      </c>
      <c r="AK1505" s="370">
        <f t="shared" si="1195"/>
        <v>2851</v>
      </c>
      <c r="AL1505" s="370">
        <f t="shared" si="1195"/>
        <v>2582</v>
      </c>
      <c r="AM1505" s="322"/>
      <c r="AN1505" s="322"/>
      <c r="AO1505" s="322"/>
      <c r="AP1505" s="322"/>
      <c r="AQ1505" s="322"/>
      <c r="AR1505" s="322"/>
      <c r="AS1505" s="322"/>
      <c r="AT1505" s="322"/>
      <c r="AU1505" s="322"/>
      <c r="AV1505" s="322"/>
      <c r="AW1505" s="322"/>
      <c r="AX1505" s="322"/>
      <c r="AY1505" s="322"/>
      <c r="AZ1505" s="322"/>
      <c r="BA1505" s="322"/>
      <c r="BB1505" s="322"/>
    </row>
    <row r="1506" spans="2:54" s="83" customFormat="1">
      <c r="D1506" s="327" t="s">
        <v>58</v>
      </c>
      <c r="E1506" s="327"/>
      <c r="F1506" s="92"/>
      <c r="G1506" s="378">
        <v>5908</v>
      </c>
      <c r="H1506" s="378">
        <v>6091</v>
      </c>
      <c r="I1506" s="378">
        <v>4828</v>
      </c>
      <c r="J1506" s="378">
        <v>5086</v>
      </c>
      <c r="K1506" s="378">
        <v>5579</v>
      </c>
      <c r="L1506" s="379">
        <v>5820</v>
      </c>
      <c r="M1506" s="379">
        <v>5999</v>
      </c>
      <c r="N1506" s="379">
        <v>6128</v>
      </c>
      <c r="O1506" s="379">
        <v>6331</v>
      </c>
      <c r="P1506" s="378">
        <v>6331</v>
      </c>
      <c r="Q1506" s="379">
        <v>6502</v>
      </c>
      <c r="R1506" s="379">
        <v>6448</v>
      </c>
      <c r="S1506" s="379">
        <v>6433</v>
      </c>
      <c r="T1506" s="379">
        <v>5902</v>
      </c>
      <c r="U1506" s="378">
        <v>5902</v>
      </c>
      <c r="V1506" s="379">
        <v>5780</v>
      </c>
      <c r="W1506" s="379">
        <v>5664</v>
      </c>
      <c r="X1506" s="379">
        <v>5573</v>
      </c>
      <c r="Y1506" s="1124">
        <f>Z1506</f>
        <v>5902</v>
      </c>
      <c r="Z1506" s="380">
        <f>Z1429</f>
        <v>5902</v>
      </c>
      <c r="AA1506" s="1124">
        <f>AE1506</f>
        <v>5902</v>
      </c>
      <c r="AB1506" s="1124">
        <f>AE1506</f>
        <v>5902</v>
      </c>
      <c r="AC1506" s="1124">
        <f>AE1506</f>
        <v>5902</v>
      </c>
      <c r="AD1506" s="1124">
        <f>AE1506</f>
        <v>5902</v>
      </c>
      <c r="AE1506" s="380">
        <f>AE1429</f>
        <v>5902</v>
      </c>
      <c r="AF1506" s="380">
        <f>AF1429</f>
        <v>5902</v>
      </c>
      <c r="AG1506" s="380">
        <f t="shared" ref="AG1506:AL1506" si="1196">AG1429</f>
        <v>5902</v>
      </c>
      <c r="AH1506" s="380">
        <f t="shared" si="1196"/>
        <v>5902</v>
      </c>
      <c r="AI1506" s="380">
        <f t="shared" si="1196"/>
        <v>5902</v>
      </c>
      <c r="AJ1506" s="380">
        <f t="shared" si="1196"/>
        <v>5902</v>
      </c>
      <c r="AK1506" s="380">
        <f t="shared" si="1196"/>
        <v>5902</v>
      </c>
      <c r="AL1506" s="380">
        <f t="shared" si="1196"/>
        <v>5902</v>
      </c>
      <c r="AM1506" s="322"/>
      <c r="AN1506" s="322"/>
      <c r="AO1506" s="322"/>
      <c r="AP1506" s="322"/>
      <c r="AQ1506" s="322"/>
      <c r="AR1506" s="322"/>
      <c r="AS1506" s="322"/>
      <c r="AT1506" s="322"/>
      <c r="AU1506" s="322"/>
      <c r="AV1506" s="322"/>
      <c r="AW1506" s="322"/>
      <c r="AX1506" s="322"/>
      <c r="AY1506" s="322"/>
      <c r="AZ1506" s="322"/>
      <c r="BA1506" s="322"/>
      <c r="BB1506" s="322"/>
    </row>
    <row r="1507" spans="2:54" s="83" customFormat="1">
      <c r="D1507" s="327" t="s">
        <v>59</v>
      </c>
      <c r="E1507" s="327"/>
      <c r="F1507" s="92"/>
      <c r="G1507" s="90" t="s">
        <v>0</v>
      </c>
      <c r="H1507" s="90">
        <v>0</v>
      </c>
      <c r="I1507" s="90">
        <v>785</v>
      </c>
      <c r="J1507" s="90" t="s">
        <v>0</v>
      </c>
      <c r="K1507" s="90" t="s">
        <v>0</v>
      </c>
      <c r="L1507" s="91"/>
      <c r="M1507" s="91"/>
      <c r="N1507" s="91"/>
      <c r="O1507" s="91" t="s">
        <v>0</v>
      </c>
      <c r="P1507" s="90" t="s">
        <v>0</v>
      </c>
      <c r="Q1507" s="91">
        <v>0</v>
      </c>
      <c r="R1507" s="91">
        <v>0</v>
      </c>
      <c r="S1507" s="91">
        <v>0</v>
      </c>
      <c r="T1507" s="91"/>
      <c r="U1507" s="90"/>
      <c r="V1507" s="91"/>
      <c r="W1507" s="91"/>
      <c r="X1507" s="91"/>
      <c r="Y1507" s="149"/>
      <c r="Z1507" s="223"/>
      <c r="AA1507" s="1124"/>
      <c r="AB1507" s="1124"/>
      <c r="AC1507" s="1124"/>
      <c r="AD1507" s="1124"/>
      <c r="AE1507" s="223"/>
      <c r="AF1507" s="223"/>
      <c r="AG1507" s="223"/>
      <c r="AH1507" s="223"/>
      <c r="AI1507" s="223"/>
      <c r="AJ1507" s="223"/>
      <c r="AK1507" s="223"/>
      <c r="AL1507" s="322"/>
      <c r="AM1507" s="322"/>
      <c r="AN1507" s="322"/>
      <c r="AO1507" s="322"/>
      <c r="AP1507" s="322"/>
      <c r="AQ1507" s="322"/>
      <c r="AR1507" s="322"/>
      <c r="AS1507" s="322"/>
      <c r="AT1507" s="322"/>
      <c r="AU1507" s="322"/>
      <c r="AV1507" s="322"/>
      <c r="AW1507" s="322"/>
      <c r="AX1507" s="322"/>
      <c r="AY1507" s="322"/>
      <c r="AZ1507" s="322"/>
      <c r="BA1507" s="322"/>
      <c r="BB1507" s="322"/>
    </row>
    <row r="1508" spans="2:54" s="83" customFormat="1">
      <c r="D1508" s="327" t="s">
        <v>60</v>
      </c>
      <c r="E1508" s="327"/>
      <c r="F1508" s="92"/>
      <c r="G1508" s="378">
        <v>479</v>
      </c>
      <c r="H1508" s="378">
        <v>572</v>
      </c>
      <c r="I1508" s="378">
        <v>626</v>
      </c>
      <c r="J1508" s="378">
        <v>643</v>
      </c>
      <c r="K1508" s="378">
        <v>552</v>
      </c>
      <c r="L1508" s="379">
        <v>549</v>
      </c>
      <c r="M1508" s="379">
        <v>540</v>
      </c>
      <c r="N1508" s="379">
        <v>519</v>
      </c>
      <c r="O1508" s="379">
        <v>482</v>
      </c>
      <c r="P1508" s="378">
        <v>482</v>
      </c>
      <c r="Q1508" s="379">
        <v>522</v>
      </c>
      <c r="R1508" s="379">
        <v>502</v>
      </c>
      <c r="S1508" s="379">
        <v>508</v>
      </c>
      <c r="T1508" s="379">
        <v>505</v>
      </c>
      <c r="U1508" s="378">
        <v>505</v>
      </c>
      <c r="V1508" s="379">
        <v>481</v>
      </c>
      <c r="W1508" s="379">
        <v>562</v>
      </c>
      <c r="X1508" s="379">
        <v>556</v>
      </c>
      <c r="Y1508" s="1124">
        <f>Z1508</f>
        <v>556</v>
      </c>
      <c r="Z1508" s="1052">
        <f>X1508</f>
        <v>556</v>
      </c>
      <c r="AA1508" s="1124">
        <f>AE1508</f>
        <v>556</v>
      </c>
      <c r="AB1508" s="1124">
        <f>AE1508</f>
        <v>556</v>
      </c>
      <c r="AC1508" s="1124">
        <f>AE1508</f>
        <v>556</v>
      </c>
      <c r="AD1508" s="1124">
        <f>AE1508</f>
        <v>556</v>
      </c>
      <c r="AE1508" s="208">
        <f>Z1508</f>
        <v>556</v>
      </c>
      <c r="AF1508" s="208">
        <f>AE1508</f>
        <v>556</v>
      </c>
      <c r="AG1508" s="208">
        <f t="shared" ref="AG1508:AL1508" si="1197">AF1508</f>
        <v>556</v>
      </c>
      <c r="AH1508" s="208">
        <f t="shared" si="1197"/>
        <v>556</v>
      </c>
      <c r="AI1508" s="208">
        <f t="shared" si="1197"/>
        <v>556</v>
      </c>
      <c r="AJ1508" s="208">
        <f t="shared" si="1197"/>
        <v>556</v>
      </c>
      <c r="AK1508" s="208">
        <f t="shared" si="1197"/>
        <v>556</v>
      </c>
      <c r="AL1508" s="208">
        <f t="shared" si="1197"/>
        <v>556</v>
      </c>
      <c r="AM1508" s="322"/>
      <c r="AN1508" s="322"/>
      <c r="AO1508" s="322"/>
      <c r="AP1508" s="322"/>
      <c r="AQ1508" s="322"/>
      <c r="AR1508" s="322"/>
      <c r="AS1508" s="322"/>
      <c r="AT1508" s="322"/>
      <c r="AU1508" s="322"/>
      <c r="AV1508" s="322"/>
      <c r="AW1508" s="322"/>
      <c r="AX1508" s="322"/>
      <c r="AY1508" s="322"/>
      <c r="AZ1508" s="322"/>
      <c r="BA1508" s="322"/>
      <c r="BB1508" s="322"/>
    </row>
    <row r="1509" spans="2:54" s="83" customFormat="1">
      <c r="D1509" s="327" t="s">
        <v>61</v>
      </c>
      <c r="E1509" s="327"/>
      <c r="F1509" s="92"/>
      <c r="G1509" s="378">
        <v>1158</v>
      </c>
      <c r="H1509" s="378">
        <v>918</v>
      </c>
      <c r="I1509" s="378">
        <v>480</v>
      </c>
      <c r="J1509" s="378">
        <v>1322</v>
      </c>
      <c r="K1509" s="378">
        <v>1977</v>
      </c>
      <c r="L1509" s="379">
        <v>1864</v>
      </c>
      <c r="M1509" s="379">
        <v>1815</v>
      </c>
      <c r="N1509" s="379">
        <v>1868</v>
      </c>
      <c r="O1509" s="379">
        <v>1792</v>
      </c>
      <c r="P1509" s="378">
        <v>1792</v>
      </c>
      <c r="Q1509" s="379">
        <v>3142</v>
      </c>
      <c r="R1509" s="379">
        <v>3283</v>
      </c>
      <c r="S1509" s="379">
        <v>3284</v>
      </c>
      <c r="T1509" s="379">
        <v>2536</v>
      </c>
      <c r="U1509" s="378">
        <v>2536</v>
      </c>
      <c r="V1509" s="379">
        <v>1710</v>
      </c>
      <c r="W1509" s="379">
        <v>2228</v>
      </c>
      <c r="X1509" s="379">
        <v>2469</v>
      </c>
      <c r="Y1509" s="1124">
        <f>Z1509</f>
        <v>2469</v>
      </c>
      <c r="Z1509" s="1052">
        <f>X1509</f>
        <v>2469</v>
      </c>
      <c r="AA1509" s="1124">
        <f>AE1509</f>
        <v>2469</v>
      </c>
      <c r="AB1509" s="1124">
        <f>AE1509</f>
        <v>2469</v>
      </c>
      <c r="AC1509" s="1124">
        <f>AE1509</f>
        <v>2469</v>
      </c>
      <c r="AD1509" s="1124">
        <f>AE1509</f>
        <v>2469</v>
      </c>
      <c r="AE1509" s="208">
        <f>Z1509</f>
        <v>2469</v>
      </c>
      <c r="AF1509" s="208">
        <f>AE1509</f>
        <v>2469</v>
      </c>
      <c r="AG1509" s="208">
        <f t="shared" ref="AG1509:AL1509" si="1198">AF1509</f>
        <v>2469</v>
      </c>
      <c r="AH1509" s="208">
        <f t="shared" si="1198"/>
        <v>2469</v>
      </c>
      <c r="AI1509" s="208">
        <f t="shared" si="1198"/>
        <v>2469</v>
      </c>
      <c r="AJ1509" s="208">
        <f t="shared" si="1198"/>
        <v>2469</v>
      </c>
      <c r="AK1509" s="208">
        <f t="shared" si="1198"/>
        <v>2469</v>
      </c>
      <c r="AL1509" s="208">
        <f t="shared" si="1198"/>
        <v>2469</v>
      </c>
      <c r="AM1509" s="322"/>
      <c r="AN1509" s="322"/>
      <c r="AO1509" s="322"/>
      <c r="AP1509" s="322"/>
      <c r="AQ1509" s="322"/>
      <c r="AR1509" s="322"/>
      <c r="AS1509" s="322"/>
      <c r="AT1509" s="322"/>
      <c r="AU1509" s="322"/>
      <c r="AV1509" s="322"/>
      <c r="AW1509" s="322"/>
      <c r="AX1509" s="322"/>
      <c r="AY1509" s="322"/>
      <c r="AZ1509" s="322"/>
      <c r="BA1509" s="322"/>
      <c r="BB1509" s="322"/>
    </row>
    <row r="1510" spans="2:54" s="83" customFormat="1">
      <c r="D1510" s="327" t="s">
        <v>405</v>
      </c>
      <c r="E1510" s="327"/>
      <c r="F1510" s="92"/>
      <c r="G1510" s="378">
        <v>0</v>
      </c>
      <c r="H1510" s="378">
        <v>0</v>
      </c>
      <c r="I1510" s="378">
        <v>0</v>
      </c>
      <c r="J1510" s="378">
        <v>0</v>
      </c>
      <c r="K1510" s="378">
        <v>0</v>
      </c>
      <c r="L1510" s="379">
        <v>0</v>
      </c>
      <c r="M1510" s="379">
        <v>0</v>
      </c>
      <c r="N1510" s="379"/>
      <c r="O1510" s="379">
        <v>0</v>
      </c>
      <c r="P1510" s="378">
        <v>0</v>
      </c>
      <c r="Q1510" s="379">
        <v>0</v>
      </c>
      <c r="R1510" s="379">
        <v>0</v>
      </c>
      <c r="S1510" s="379">
        <v>0</v>
      </c>
      <c r="T1510" s="379">
        <v>0</v>
      </c>
      <c r="U1510" s="378">
        <v>0</v>
      </c>
      <c r="V1510" s="379">
        <v>0</v>
      </c>
      <c r="W1510" s="379">
        <v>0</v>
      </c>
      <c r="X1510" s="379">
        <v>0</v>
      </c>
      <c r="Y1510" s="181" t="e">
        <f ca="1">Z1510</f>
        <v>#VALUE!</v>
      </c>
      <c r="Z1510" s="1021" t="e">
        <f ca="1">Z1377</f>
        <v>#VALUE!</v>
      </c>
      <c r="AA1510" s="1124" t="e">
        <f ca="1">AE1510</f>
        <v>#VALUE!</v>
      </c>
      <c r="AB1510" s="1124" t="e">
        <f ca="1">AE1510</f>
        <v>#VALUE!</v>
      </c>
      <c r="AC1510" s="1124" t="e">
        <f ca="1">AE1510</f>
        <v>#VALUE!</v>
      </c>
      <c r="AD1510" s="1124" t="e">
        <f ca="1">AE1510</f>
        <v>#VALUE!</v>
      </c>
      <c r="AE1510" s="208" t="e">
        <f ca="1">Z1510-MIN(Z1510,AE1387)</f>
        <v>#VALUE!</v>
      </c>
      <c r="AF1510" s="208" t="e">
        <f ca="1">AE1510</f>
        <v>#VALUE!</v>
      </c>
      <c r="AG1510" s="208" t="e">
        <f t="shared" ref="AG1510:AL1510" ca="1" si="1199">AF1510</f>
        <v>#VALUE!</v>
      </c>
      <c r="AH1510" s="208" t="e">
        <f t="shared" ca="1" si="1199"/>
        <v>#VALUE!</v>
      </c>
      <c r="AI1510" s="208" t="e">
        <f t="shared" ca="1" si="1199"/>
        <v>#VALUE!</v>
      </c>
      <c r="AJ1510" s="208" t="e">
        <f t="shared" ca="1" si="1199"/>
        <v>#VALUE!</v>
      </c>
      <c r="AK1510" s="208" t="e">
        <f t="shared" ca="1" si="1199"/>
        <v>#VALUE!</v>
      </c>
      <c r="AL1510" s="208" t="e">
        <f t="shared" ca="1" si="1199"/>
        <v>#VALUE!</v>
      </c>
      <c r="AM1510" s="322"/>
      <c r="AN1510" s="322"/>
      <c r="AO1510" s="322"/>
      <c r="AP1510" s="322"/>
      <c r="AQ1510" s="322"/>
      <c r="AR1510" s="322"/>
      <c r="AS1510" s="322"/>
      <c r="AT1510" s="322"/>
      <c r="AU1510" s="322"/>
      <c r="AV1510" s="322"/>
      <c r="AW1510" s="322"/>
      <c r="AX1510" s="322"/>
      <c r="AY1510" s="322"/>
      <c r="AZ1510" s="322"/>
      <c r="BA1510" s="322"/>
      <c r="BB1510" s="322"/>
    </row>
    <row r="1511" spans="2:54" s="83" customFormat="1">
      <c r="D1511" s="327" t="s">
        <v>610</v>
      </c>
      <c r="E1511" s="327"/>
      <c r="F1511" s="92"/>
      <c r="G1511" s="378"/>
      <c r="H1511" s="378"/>
      <c r="I1511" s="378"/>
      <c r="J1511" s="378"/>
      <c r="K1511" s="378"/>
      <c r="L1511" s="379"/>
      <c r="M1511" s="379"/>
      <c r="N1511" s="379"/>
      <c r="O1511" s="379"/>
      <c r="P1511" s="378"/>
      <c r="Q1511" s="379"/>
      <c r="R1511" s="379"/>
      <c r="S1511" s="379"/>
      <c r="T1511" s="379">
        <v>912</v>
      </c>
      <c r="U1511" s="378">
        <v>912</v>
      </c>
      <c r="V1511" s="379">
        <v>997</v>
      </c>
      <c r="W1511" s="379">
        <v>982</v>
      </c>
      <c r="X1511" s="379">
        <v>962</v>
      </c>
      <c r="Y1511" s="1124">
        <f>Z1511</f>
        <v>962</v>
      </c>
      <c r="Z1511" s="1052">
        <f>X1511</f>
        <v>962</v>
      </c>
      <c r="AA1511" s="1124">
        <f>AE1511</f>
        <v>962</v>
      </c>
      <c r="AB1511" s="1124">
        <f>AE1511</f>
        <v>962</v>
      </c>
      <c r="AC1511" s="1124">
        <f>AE1511</f>
        <v>962</v>
      </c>
      <c r="AD1511" s="1124">
        <f>AE1511</f>
        <v>962</v>
      </c>
      <c r="AE1511" s="208">
        <f>Z1511</f>
        <v>962</v>
      </c>
      <c r="AF1511" s="208">
        <f>AE1511</f>
        <v>962</v>
      </c>
      <c r="AG1511" s="208">
        <f t="shared" ref="AG1511:AL1511" si="1200">AF1511</f>
        <v>962</v>
      </c>
      <c r="AH1511" s="208">
        <f t="shared" si="1200"/>
        <v>962</v>
      </c>
      <c r="AI1511" s="208">
        <f t="shared" si="1200"/>
        <v>962</v>
      </c>
      <c r="AJ1511" s="208">
        <f t="shared" si="1200"/>
        <v>962</v>
      </c>
      <c r="AK1511" s="208">
        <f t="shared" si="1200"/>
        <v>962</v>
      </c>
      <c r="AL1511" s="208">
        <f t="shared" si="1200"/>
        <v>962</v>
      </c>
      <c r="AM1511" s="322"/>
      <c r="AN1511" s="322"/>
      <c r="AO1511" s="322"/>
      <c r="AP1511" s="322"/>
      <c r="AQ1511" s="322"/>
      <c r="AR1511" s="322"/>
      <c r="AS1511" s="322"/>
      <c r="AT1511" s="322"/>
      <c r="AU1511" s="322"/>
      <c r="AV1511" s="322"/>
      <c r="AW1511" s="322"/>
      <c r="AX1511" s="322"/>
      <c r="AY1511" s="322"/>
      <c r="AZ1511" s="322"/>
      <c r="BA1511" s="322"/>
      <c r="BB1511" s="322"/>
    </row>
    <row r="1512" spans="2:54" s="83" customFormat="1">
      <c r="B1512" s="331"/>
      <c r="D1512" s="132" t="s">
        <v>278</v>
      </c>
      <c r="E1512" s="132"/>
      <c r="F1512" s="107"/>
      <c r="G1512" s="386">
        <f t="shared" ref="G1512:M1512" si="1201">SUM(G1505:G1510)</f>
        <v>15209</v>
      </c>
      <c r="H1512" s="386">
        <f t="shared" si="1201"/>
        <v>15594</v>
      </c>
      <c r="I1512" s="386">
        <f t="shared" si="1201"/>
        <v>16325</v>
      </c>
      <c r="J1512" s="386">
        <f t="shared" si="1201"/>
        <v>15295</v>
      </c>
      <c r="K1512" s="386">
        <f t="shared" si="1201"/>
        <v>14422</v>
      </c>
      <c r="L1512" s="387">
        <f t="shared" si="1201"/>
        <v>14708</v>
      </c>
      <c r="M1512" s="387">
        <f t="shared" si="1201"/>
        <v>14944</v>
      </c>
      <c r="N1512" s="387">
        <v>15907</v>
      </c>
      <c r="O1512" s="387">
        <v>14092</v>
      </c>
      <c r="P1512" s="386">
        <f>SUM(P1505:P1510)</f>
        <v>14092</v>
      </c>
      <c r="Q1512" s="387">
        <f>SUM(Q1505:Q1510)</f>
        <v>15786</v>
      </c>
      <c r="R1512" s="387">
        <f>SUM(R1505:R1510)</f>
        <v>14936</v>
      </c>
      <c r="S1512" s="387">
        <f>SUM(S1505:S1510)</f>
        <v>15002</v>
      </c>
      <c r="T1512" s="387">
        <v>14500</v>
      </c>
      <c r="U1512" s="386">
        <f>SUM(U1505:U1511)</f>
        <v>14500</v>
      </c>
      <c r="V1512" s="387">
        <f>SUM(V1505:V1511)</f>
        <v>14086</v>
      </c>
      <c r="W1512" s="387">
        <f>SUM(W1505:W1509)+W1511+W1510</f>
        <v>15394</v>
      </c>
      <c r="X1512" s="387">
        <f t="shared" ref="X1512:AE1512" si="1202">SUM(X1505:X1509)+X1511+X1510</f>
        <v>15946</v>
      </c>
      <c r="Y1512" s="387" t="e">
        <f t="shared" ca="1" si="1202"/>
        <v>#VALUE!</v>
      </c>
      <c r="Z1512" s="386" t="e">
        <f t="shared" ca="1" si="1202"/>
        <v>#VALUE!</v>
      </c>
      <c r="AA1512" s="387" t="e">
        <f t="shared" ca="1" si="1202"/>
        <v>#VALUE!</v>
      </c>
      <c r="AB1512" s="387" t="e">
        <f t="shared" ca="1" si="1202"/>
        <v>#VALUE!</v>
      </c>
      <c r="AC1512" s="387" t="e">
        <f t="shared" ca="1" si="1202"/>
        <v>#VALUE!</v>
      </c>
      <c r="AD1512" s="387" t="e">
        <f t="shared" ca="1" si="1202"/>
        <v>#VALUE!</v>
      </c>
      <c r="AE1512" s="386" t="e">
        <f t="shared" ca="1" si="1202"/>
        <v>#VALUE!</v>
      </c>
      <c r="AF1512" s="386">
        <f t="shared" ref="AF1512:AL1512" si="1203">SUM(AF1505:AF1509)+AF1511</f>
        <v>14100</v>
      </c>
      <c r="AG1512" s="386">
        <f t="shared" si="1203"/>
        <v>13826</v>
      </c>
      <c r="AH1512" s="386">
        <f t="shared" si="1203"/>
        <v>13553</v>
      </c>
      <c r="AI1512" s="386">
        <f t="shared" si="1203"/>
        <v>13281</v>
      </c>
      <c r="AJ1512" s="386">
        <f t="shared" si="1203"/>
        <v>13010</v>
      </c>
      <c r="AK1512" s="386">
        <f t="shared" si="1203"/>
        <v>12740</v>
      </c>
      <c r="AL1512" s="386">
        <f t="shared" si="1203"/>
        <v>12471</v>
      </c>
      <c r="AM1512" s="322"/>
      <c r="AN1512" s="322"/>
      <c r="AO1512" s="322"/>
      <c r="AP1512" s="322"/>
      <c r="AQ1512" s="322"/>
      <c r="AR1512" s="322"/>
      <c r="AS1512" s="322"/>
      <c r="AT1512" s="322"/>
      <c r="AU1512" s="322"/>
      <c r="AV1512" s="322"/>
      <c r="AW1512" s="322"/>
      <c r="AX1512" s="322"/>
      <c r="AY1512" s="322"/>
      <c r="AZ1512" s="322"/>
      <c r="BA1512" s="322"/>
      <c r="BB1512" s="322"/>
    </row>
    <row r="1513" spans="2:54" s="83" customFormat="1" ht="16" thickBot="1">
      <c r="D1513" s="388" t="s">
        <v>277</v>
      </c>
      <c r="E1513" s="388"/>
      <c r="F1513" s="389"/>
      <c r="G1513" s="390">
        <v>17372</v>
      </c>
      <c r="H1513" s="390">
        <v>18003</v>
      </c>
      <c r="I1513" s="390">
        <v>18051</v>
      </c>
      <c r="J1513" s="390">
        <v>17463</v>
      </c>
      <c r="K1513" s="390">
        <v>17035</v>
      </c>
      <c r="L1513" s="391">
        <f>L1512+L1500</f>
        <v>17076</v>
      </c>
      <c r="M1513" s="391">
        <f>M1512+M1500</f>
        <v>17261</v>
      </c>
      <c r="N1513" s="391">
        <f>N1512+N1500</f>
        <v>18096</v>
      </c>
      <c r="O1513" s="391">
        <v>16608</v>
      </c>
      <c r="P1513" s="390">
        <v>16608</v>
      </c>
      <c r="Q1513" s="391">
        <f>Q1512+Q1500</f>
        <v>18087</v>
      </c>
      <c r="R1513" s="391">
        <f>R1512+R1500</f>
        <v>17260</v>
      </c>
      <c r="S1513" s="391">
        <f>S1512+S1500</f>
        <v>17601</v>
      </c>
      <c r="T1513" s="391">
        <v>17276</v>
      </c>
      <c r="U1513" s="390">
        <f t="shared" ref="U1513:AD1513" si="1204">U1512+U1500</f>
        <v>17276</v>
      </c>
      <c r="V1513" s="391">
        <f t="shared" si="1204"/>
        <v>16689</v>
      </c>
      <c r="W1513" s="391">
        <f t="shared" si="1204"/>
        <v>17640</v>
      </c>
      <c r="X1513" s="391">
        <f t="shared" si="1204"/>
        <v>18761</v>
      </c>
      <c r="Y1513" s="391">
        <f t="shared" ca="1" si="1204"/>
        <v>17441.947653627096</v>
      </c>
      <c r="Z1513" s="390">
        <f t="shared" ca="1" si="1204"/>
        <v>17441.947653627096</v>
      </c>
      <c r="AA1513" s="391">
        <f t="shared" ca="1" si="1204"/>
        <v>17115.397059768256</v>
      </c>
      <c r="AB1513" s="391">
        <f t="shared" ca="1" si="1204"/>
        <v>17115.397059768256</v>
      </c>
      <c r="AC1513" s="391">
        <f t="shared" ca="1" si="1204"/>
        <v>17115.397059768256</v>
      </c>
      <c r="AD1513" s="391">
        <f t="shared" ca="1" si="1204"/>
        <v>17115.397059768256</v>
      </c>
      <c r="AE1513" s="390">
        <f t="shared" ref="AE1513:AL1513" ca="1" si="1205">AE1512+AE1500</f>
        <v>17115.397059768256</v>
      </c>
      <c r="AF1513" s="390">
        <f t="shared" ca="1" si="1205"/>
        <v>16903.933657949998</v>
      </c>
      <c r="AG1513" s="390">
        <f t="shared" ca="1" si="1205"/>
        <v>16741.147821550439</v>
      </c>
      <c r="AH1513" s="390">
        <f t="shared" ca="1" si="1205"/>
        <v>16547.239440779042</v>
      </c>
      <c r="AI1513" s="390">
        <f t="shared" ca="1" si="1205"/>
        <v>16377.60924705178</v>
      </c>
      <c r="AJ1513" s="390">
        <f t="shared" ca="1" si="1205"/>
        <v>16141.909180249277</v>
      </c>
      <c r="AK1513" s="390">
        <f t="shared" ca="1" si="1205"/>
        <v>15871.909180249277</v>
      </c>
      <c r="AL1513" s="390">
        <f t="shared" ca="1" si="1205"/>
        <v>15602.909180249277</v>
      </c>
      <c r="AM1513" s="322"/>
      <c r="AN1513" s="322"/>
      <c r="AO1513" s="322"/>
      <c r="AP1513" s="322"/>
      <c r="AQ1513" s="322"/>
      <c r="AR1513" s="322"/>
      <c r="AS1513" s="322"/>
      <c r="AT1513" s="322"/>
      <c r="AU1513" s="322"/>
      <c r="AV1513" s="322"/>
      <c r="AW1513" s="322"/>
      <c r="AX1513" s="322"/>
      <c r="AY1513" s="322"/>
      <c r="AZ1513" s="322"/>
      <c r="BA1513" s="322"/>
      <c r="BB1513" s="322"/>
    </row>
    <row r="1514" spans="2:54" s="83" customFormat="1" ht="16" thickTop="1">
      <c r="D1514" s="343"/>
      <c r="E1514" s="343"/>
      <c r="F1514" s="92"/>
      <c r="G1514" s="395"/>
      <c r="H1514" s="395"/>
      <c r="I1514" s="395"/>
      <c r="J1514" s="395"/>
      <c r="K1514" s="395"/>
      <c r="L1514" s="396"/>
      <c r="M1514" s="396"/>
      <c r="N1514" s="396"/>
      <c r="O1514" s="396"/>
      <c r="P1514" s="395"/>
      <c r="Q1514" s="396"/>
      <c r="R1514" s="396"/>
      <c r="S1514" s="396"/>
      <c r="T1514" s="396"/>
      <c r="U1514" s="395"/>
      <c r="V1514" s="396"/>
      <c r="W1514" s="396"/>
      <c r="X1514" s="396"/>
      <c r="Y1514" s="149"/>
      <c r="Z1514" s="223"/>
      <c r="AA1514" s="149"/>
      <c r="AB1514" s="149"/>
      <c r="AC1514" s="149"/>
      <c r="AD1514" s="149"/>
      <c r="AE1514" s="223"/>
      <c r="AF1514" s="223"/>
      <c r="AG1514" s="223"/>
      <c r="AH1514" s="223"/>
      <c r="AI1514" s="223"/>
      <c r="AJ1514" s="223"/>
      <c r="AK1514" s="223"/>
      <c r="AL1514" s="322"/>
      <c r="AM1514" s="322"/>
      <c r="AN1514" s="322"/>
      <c r="AO1514" s="322"/>
      <c r="AP1514" s="322"/>
      <c r="AQ1514" s="322"/>
      <c r="AR1514" s="322"/>
      <c r="AS1514" s="322"/>
      <c r="AT1514" s="322"/>
      <c r="AU1514" s="322"/>
      <c r="AV1514" s="322"/>
      <c r="AW1514" s="322"/>
      <c r="AX1514" s="322"/>
      <c r="AY1514" s="322"/>
      <c r="AZ1514" s="322"/>
      <c r="BA1514" s="322"/>
      <c r="BB1514" s="322"/>
    </row>
    <row r="1515" spans="2:54" s="83" customFormat="1">
      <c r="D1515" s="343"/>
      <c r="E1515" s="343"/>
      <c r="F1515" s="92"/>
      <c r="G1515" s="362" t="s">
        <v>0</v>
      </c>
      <c r="H1515" s="362" t="s">
        <v>0</v>
      </c>
      <c r="I1515" s="362" t="s">
        <v>0</v>
      </c>
      <c r="J1515" s="362" t="s">
        <v>0</v>
      </c>
      <c r="K1515" s="362" t="s">
        <v>0</v>
      </c>
      <c r="L1515" s="397"/>
      <c r="M1515" s="397"/>
      <c r="N1515" s="397"/>
      <c r="O1515" s="397" t="s">
        <v>0</v>
      </c>
      <c r="P1515" s="362" t="s">
        <v>0</v>
      </c>
      <c r="Q1515" s="397"/>
      <c r="R1515" s="397"/>
      <c r="S1515" s="397"/>
      <c r="T1515" s="397"/>
      <c r="U1515" s="362"/>
      <c r="V1515" s="397"/>
      <c r="W1515" s="397"/>
      <c r="X1515" s="397"/>
      <c r="Y1515" s="149"/>
      <c r="Z1515" s="223"/>
      <c r="AA1515" s="149"/>
      <c r="AB1515" s="149"/>
      <c r="AC1515" s="149"/>
      <c r="AD1515" s="149"/>
      <c r="AE1515" s="223"/>
      <c r="AF1515" s="223"/>
      <c r="AG1515" s="223"/>
      <c r="AH1515" s="223"/>
      <c r="AI1515" s="223"/>
      <c r="AJ1515" s="223"/>
      <c r="AK1515" s="223"/>
      <c r="AL1515" s="322"/>
      <c r="AM1515" s="322"/>
      <c r="AN1515" s="322"/>
      <c r="AO1515" s="322"/>
      <c r="AP1515" s="322"/>
      <c r="AQ1515" s="322"/>
      <c r="AR1515" s="322"/>
      <c r="AS1515" s="322"/>
      <c r="AT1515" s="322"/>
      <c r="AU1515" s="322"/>
      <c r="AV1515" s="322"/>
      <c r="AW1515" s="322"/>
      <c r="AX1515" s="322"/>
      <c r="AY1515" s="322"/>
      <c r="AZ1515" s="322"/>
      <c r="BA1515" s="322"/>
      <c r="BB1515" s="322"/>
    </row>
    <row r="1516" spans="2:54" s="83" customFormat="1">
      <c r="D1516" s="398" t="s">
        <v>404</v>
      </c>
      <c r="E1516" s="398"/>
      <c r="F1516" s="92"/>
      <c r="G1516" s="378">
        <v>6640</v>
      </c>
      <c r="H1516" s="378">
        <v>6509</v>
      </c>
      <c r="I1516" s="378">
        <v>6634</v>
      </c>
      <c r="J1516" s="378">
        <v>6644</v>
      </c>
      <c r="K1516" s="378">
        <v>6609</v>
      </c>
      <c r="L1516" s="379">
        <v>6824</v>
      </c>
      <c r="M1516" s="379">
        <v>6846</v>
      </c>
      <c r="N1516" s="379">
        <v>6653</v>
      </c>
      <c r="O1516" s="379">
        <v>6601</v>
      </c>
      <c r="P1516" s="378">
        <v>6601</v>
      </c>
      <c r="Q1516" s="379">
        <v>6542</v>
      </c>
      <c r="R1516" s="379">
        <v>6484</v>
      </c>
      <c r="S1516" s="379">
        <v>6410</v>
      </c>
      <c r="T1516" s="379">
        <v>6329</v>
      </c>
      <c r="U1516" s="378">
        <v>6329</v>
      </c>
      <c r="V1516" s="379">
        <v>6363</v>
      </c>
      <c r="W1516" s="379">
        <v>6139</v>
      </c>
      <c r="X1516" s="379">
        <v>6375</v>
      </c>
      <c r="Y1516" s="1124">
        <f ca="1">Z1516</f>
        <v>6666.3813600000003</v>
      </c>
      <c r="Z1516" s="380">
        <f ca="1">Z1459</f>
        <v>6666.3813600000003</v>
      </c>
      <c r="AA1516" s="1124">
        <f ca="1">AE1516</f>
        <v>6737.0752149103937</v>
      </c>
      <c r="AB1516" s="1124">
        <f ca="1">AE1516</f>
        <v>6737.0752149103937</v>
      </c>
      <c r="AC1516" s="1124">
        <f ca="1">AE1516</f>
        <v>6737.0752149103937</v>
      </c>
      <c r="AD1516" s="1124">
        <f ca="1">AE1516</f>
        <v>6737.0752149103937</v>
      </c>
      <c r="AE1516" s="380">
        <f ca="1">AE1459</f>
        <v>6737.0752149103937</v>
      </c>
      <c r="AF1516" s="380">
        <f ca="1">AF1459</f>
        <v>6809.4576157033498</v>
      </c>
      <c r="AG1516" s="380">
        <f t="shared" ref="AG1516:AL1516" ca="1" si="1206">AG1459</f>
        <v>6882.8576392933137</v>
      </c>
      <c r="AH1516" s="380">
        <f t="shared" ca="1" si="1206"/>
        <v>6958.3595983317527</v>
      </c>
      <c r="AI1516" s="380">
        <f t="shared" ca="1" si="1206"/>
        <v>7036.5821329097598</v>
      </c>
      <c r="AJ1516" s="380">
        <f t="shared" ca="1" si="1206"/>
        <v>7115.7427969841692</v>
      </c>
      <c r="AK1516" s="380">
        <f t="shared" ca="1" si="1206"/>
        <v>7196.8414610585787</v>
      </c>
      <c r="AL1516" s="380">
        <f t="shared" ca="1" si="1206"/>
        <v>7277.9401251329882</v>
      </c>
      <c r="AM1516" s="322"/>
      <c r="AN1516" s="322"/>
      <c r="AO1516" s="322"/>
      <c r="AP1516" s="322"/>
      <c r="AQ1516" s="322"/>
      <c r="AR1516" s="322"/>
      <c r="AS1516" s="322"/>
      <c r="AT1516" s="322"/>
      <c r="AU1516" s="322"/>
      <c r="AV1516" s="322"/>
      <c r="AW1516" s="322"/>
      <c r="AX1516" s="322"/>
      <c r="AY1516" s="322"/>
      <c r="AZ1516" s="322"/>
      <c r="BA1516" s="322"/>
      <c r="BB1516" s="322"/>
    </row>
    <row r="1517" spans="2:54" s="399" customFormat="1">
      <c r="D1517" s="398" t="s">
        <v>381</v>
      </c>
      <c r="E1517" s="398"/>
      <c r="G1517" s="378">
        <v>11853</v>
      </c>
      <c r="H1517" s="1056">
        <v>11723</v>
      </c>
      <c r="I1517" s="378">
        <v>9174</v>
      </c>
      <c r="J1517" s="378">
        <v>10183</v>
      </c>
      <c r="K1517" s="378">
        <v>12796</v>
      </c>
      <c r="L1517" s="379">
        <v>13542</v>
      </c>
      <c r="M1517" s="379">
        <v>14044</v>
      </c>
      <c r="N1517" s="379">
        <v>15200</v>
      </c>
      <c r="O1517" s="1057">
        <v>15495</v>
      </c>
      <c r="P1517" s="378">
        <v>15495</v>
      </c>
      <c r="Q1517" s="379">
        <v>15991</v>
      </c>
      <c r="R1517" s="379">
        <v>16107</v>
      </c>
      <c r="S1517" s="379">
        <v>16357</v>
      </c>
      <c r="T1517" s="379">
        <v>14447</v>
      </c>
      <c r="U1517" s="378">
        <v>14447</v>
      </c>
      <c r="V1517" s="379">
        <v>14053</v>
      </c>
      <c r="W1517" s="379">
        <v>13853</v>
      </c>
      <c r="X1517" s="379">
        <v>13916</v>
      </c>
      <c r="Y1517" s="1124" t="e">
        <f ca="1">Z1517</f>
        <v>#VALUE!</v>
      </c>
      <c r="Z1517" s="380" t="e">
        <f ca="1">Z1470</f>
        <v>#VALUE!</v>
      </c>
      <c r="AA1517" s="1124" t="e">
        <f ca="1">AE1517</f>
        <v>#VALUE!</v>
      </c>
      <c r="AB1517" s="1124" t="e">
        <f ca="1">AE1517</f>
        <v>#VALUE!</v>
      </c>
      <c r="AC1517" s="1124" t="e">
        <f ca="1">AE1517</f>
        <v>#VALUE!</v>
      </c>
      <c r="AD1517" s="1124" t="e">
        <f ca="1">AE1517</f>
        <v>#VALUE!</v>
      </c>
      <c r="AE1517" s="380" t="e">
        <f ca="1">AE1470</f>
        <v>#VALUE!</v>
      </c>
      <c r="AF1517" s="380" t="e">
        <f ca="1">AF1470</f>
        <v>#VALUE!</v>
      </c>
      <c r="AG1517" s="380" t="e">
        <f t="shared" ref="AG1517:AL1517" ca="1" si="1207">AG1470</f>
        <v>#VALUE!</v>
      </c>
      <c r="AH1517" s="380" t="e">
        <f t="shared" ca="1" si="1207"/>
        <v>#VALUE!</v>
      </c>
      <c r="AI1517" s="380" t="e">
        <f t="shared" ca="1" si="1207"/>
        <v>#VALUE!</v>
      </c>
      <c r="AJ1517" s="380" t="e">
        <f t="shared" ca="1" si="1207"/>
        <v>#VALUE!</v>
      </c>
      <c r="AK1517" s="380" t="e">
        <f t="shared" ca="1" si="1207"/>
        <v>#VALUE!</v>
      </c>
      <c r="AL1517" s="380" t="e">
        <f t="shared" ca="1" si="1207"/>
        <v>#VALUE!</v>
      </c>
      <c r="AM1517" s="400"/>
      <c r="AN1517" s="400"/>
      <c r="AO1517" s="400"/>
      <c r="AP1517" s="400"/>
      <c r="AQ1517" s="400"/>
      <c r="AR1517" s="400"/>
      <c r="AS1517" s="400"/>
      <c r="AT1517" s="400"/>
      <c r="AU1517" s="400"/>
      <c r="AV1517" s="400"/>
      <c r="AW1517" s="400"/>
      <c r="AX1517" s="400"/>
      <c r="AY1517" s="400"/>
      <c r="AZ1517" s="400"/>
      <c r="BA1517" s="400"/>
      <c r="BB1517" s="400"/>
    </row>
    <row r="1518" spans="2:54" s="399" customFormat="1">
      <c r="D1518" s="398" t="s">
        <v>406</v>
      </c>
      <c r="E1518" s="398"/>
      <c r="G1518" s="378">
        <v>104</v>
      </c>
      <c r="H1518" s="378">
        <v>374</v>
      </c>
      <c r="I1518" s="378">
        <v>599</v>
      </c>
      <c r="J1518" s="378">
        <v>615</v>
      </c>
      <c r="K1518" s="378">
        <v>446</v>
      </c>
      <c r="L1518" s="379">
        <v>312</v>
      </c>
      <c r="M1518" s="379">
        <v>388</v>
      </c>
      <c r="N1518" s="379">
        <v>285</v>
      </c>
      <c r="O1518" s="1057">
        <v>788</v>
      </c>
      <c r="P1518" s="378">
        <v>788</v>
      </c>
      <c r="Q1518" s="379">
        <v>465</v>
      </c>
      <c r="R1518" s="379">
        <v>335</v>
      </c>
      <c r="S1518" s="379">
        <v>420</v>
      </c>
      <c r="T1518" s="1057">
        <v>528</v>
      </c>
      <c r="U1518" s="378">
        <v>528</v>
      </c>
      <c r="V1518" s="379">
        <v>807</v>
      </c>
      <c r="W1518" s="379">
        <v>592</v>
      </c>
      <c r="X1518" s="379">
        <v>487</v>
      </c>
      <c r="Y1518" s="1124">
        <f>Z1518</f>
        <v>487</v>
      </c>
      <c r="Z1518" s="1052">
        <f>X1518</f>
        <v>487</v>
      </c>
      <c r="AA1518" s="1124">
        <f>AE1518</f>
        <v>487</v>
      </c>
      <c r="AB1518" s="1124">
        <f>AE1518</f>
        <v>487</v>
      </c>
      <c r="AC1518" s="1124">
        <f>AE1518</f>
        <v>487</v>
      </c>
      <c r="AD1518" s="1124">
        <f>AE1518</f>
        <v>487</v>
      </c>
      <c r="AE1518" s="380">
        <f>Z1518</f>
        <v>487</v>
      </c>
      <c r="AF1518" s="380">
        <f>AE1518</f>
        <v>487</v>
      </c>
      <c r="AG1518" s="380">
        <f t="shared" ref="AG1518:AL1518" si="1208">AF1518</f>
        <v>487</v>
      </c>
      <c r="AH1518" s="380">
        <f t="shared" si="1208"/>
        <v>487</v>
      </c>
      <c r="AI1518" s="380">
        <f t="shared" si="1208"/>
        <v>487</v>
      </c>
      <c r="AJ1518" s="380">
        <f t="shared" si="1208"/>
        <v>487</v>
      </c>
      <c r="AK1518" s="380">
        <f t="shared" si="1208"/>
        <v>487</v>
      </c>
      <c r="AL1518" s="380">
        <f t="shared" si="1208"/>
        <v>487</v>
      </c>
      <c r="AM1518" s="400"/>
      <c r="AN1518" s="400"/>
      <c r="AO1518" s="400"/>
      <c r="AP1518" s="400"/>
      <c r="AQ1518" s="400"/>
      <c r="AR1518" s="400"/>
      <c r="AS1518" s="400"/>
      <c r="AT1518" s="400"/>
      <c r="AU1518" s="400"/>
      <c r="AV1518" s="400"/>
      <c r="AW1518" s="400"/>
      <c r="AX1518" s="400"/>
      <c r="AY1518" s="400"/>
      <c r="AZ1518" s="400"/>
      <c r="BA1518" s="400"/>
      <c r="BB1518" s="400"/>
    </row>
    <row r="1519" spans="2:54" s="83" customFormat="1">
      <c r="D1519" s="327" t="s">
        <v>62</v>
      </c>
      <c r="E1519" s="327"/>
      <c r="F1519" s="92"/>
      <c r="G1519" s="378">
        <v>18597</v>
      </c>
      <c r="H1519" s="378">
        <v>18606</v>
      </c>
      <c r="I1519" s="378">
        <v>16407</v>
      </c>
      <c r="J1519" s="378">
        <v>18007</v>
      </c>
      <c r="K1519" s="378">
        <v>19851</v>
      </c>
      <c r="L1519" s="379">
        <v>20678</v>
      </c>
      <c r="M1519" s="379">
        <v>21245</v>
      </c>
      <c r="N1519" s="379">
        <v>22339</v>
      </c>
      <c r="O1519" s="379">
        <v>22884</v>
      </c>
      <c r="P1519" s="378">
        <v>22884</v>
      </c>
      <c r="Q1519" s="379">
        <v>23204</v>
      </c>
      <c r="R1519" s="379">
        <v>23136</v>
      </c>
      <c r="S1519" s="379">
        <v>23402</v>
      </c>
      <c r="T1519" s="379">
        <v>21304</v>
      </c>
      <c r="U1519" s="378">
        <v>21304</v>
      </c>
      <c r="V1519" s="379">
        <v>21223</v>
      </c>
      <c r="W1519" s="379">
        <v>20814</v>
      </c>
      <c r="X1519" s="379">
        <v>20778</v>
      </c>
      <c r="Y1519" s="1124">
        <f ca="1">Z1519</f>
        <v>21143.158670002937</v>
      </c>
      <c r="Z1519" s="208">
        <f ca="1">Z1516+Z1517+Z1518</f>
        <v>21143.158670002937</v>
      </c>
      <c r="AA1519" s="1124">
        <f ca="1">AE1519</f>
        <v>23335.447596421069</v>
      </c>
      <c r="AB1519" s="1124">
        <f ca="1">AE1519</f>
        <v>23335.447596421069</v>
      </c>
      <c r="AC1519" s="1124">
        <f ca="1">AE1519</f>
        <v>23335.447596421069</v>
      </c>
      <c r="AD1519" s="1124">
        <f ca="1">AE1519</f>
        <v>23335.447596421069</v>
      </c>
      <c r="AE1519" s="208">
        <f ca="1">AE1516+AE1517+AE1518</f>
        <v>23335.447596421069</v>
      </c>
      <c r="AF1519" s="208">
        <f ca="1">AF1516+AF1517+AF1518</f>
        <v>25397.357956011627</v>
      </c>
      <c r="AG1519" s="208">
        <f t="shared" ref="AG1519:AL1519" ca="1" si="1209">AG1516+AG1517+AG1518</f>
        <v>27610.000545140112</v>
      </c>
      <c r="AH1519" s="208">
        <f t="shared" ca="1" si="1209"/>
        <v>29996.369823909212</v>
      </c>
      <c r="AI1519" s="208">
        <f t="shared" ca="1" si="1209"/>
        <v>32571.269555117178</v>
      </c>
      <c r="AJ1519" s="208">
        <f t="shared" ca="1" si="1209"/>
        <v>35211.610890614415</v>
      </c>
      <c r="AK1519" s="208">
        <f t="shared" ca="1" si="1209"/>
        <v>37639.875726111655</v>
      </c>
      <c r="AL1519" s="208">
        <f t="shared" ca="1" si="1209"/>
        <v>40068.798561608892</v>
      </c>
      <c r="AM1519" s="322"/>
      <c r="AN1519" s="322"/>
      <c r="AO1519" s="322"/>
      <c r="AP1519" s="322"/>
      <c r="AQ1519" s="322"/>
      <c r="AR1519" s="322"/>
      <c r="AS1519" s="322"/>
      <c r="AT1519" s="322"/>
      <c r="AU1519" s="322"/>
      <c r="AV1519" s="322"/>
      <c r="AW1519" s="322"/>
      <c r="AX1519" s="322"/>
      <c r="AY1519" s="322"/>
      <c r="AZ1519" s="322"/>
      <c r="BA1519" s="322"/>
      <c r="BB1519" s="322"/>
    </row>
    <row r="1520" spans="2:54" s="83" customFormat="1">
      <c r="D1520" s="327" t="s">
        <v>63</v>
      </c>
      <c r="E1520" s="327"/>
      <c r="F1520" s="92"/>
      <c r="G1520" s="378">
        <v>214</v>
      </c>
      <c r="H1520" s="378">
        <v>230</v>
      </c>
      <c r="I1520" s="378">
        <v>230</v>
      </c>
      <c r="J1520" s="378">
        <v>159</v>
      </c>
      <c r="K1520" s="378">
        <v>142</v>
      </c>
      <c r="L1520" s="379">
        <v>140</v>
      </c>
      <c r="M1520" s="379">
        <v>128</v>
      </c>
      <c r="N1520" s="379">
        <v>127</v>
      </c>
      <c r="O1520" s="379">
        <v>134</v>
      </c>
      <c r="P1520" s="378">
        <v>134</v>
      </c>
      <c r="Q1520" s="379">
        <v>815</v>
      </c>
      <c r="R1520" s="379">
        <v>819</v>
      </c>
      <c r="S1520" s="379">
        <v>814</v>
      </c>
      <c r="T1520" s="379">
        <v>770</v>
      </c>
      <c r="U1520" s="378">
        <v>770</v>
      </c>
      <c r="V1520" s="379">
        <v>862</v>
      </c>
      <c r="W1520" s="379">
        <v>784</v>
      </c>
      <c r="X1520" s="379">
        <v>728</v>
      </c>
      <c r="Y1520" s="1124">
        <f>Z1520</f>
        <v>728</v>
      </c>
      <c r="Z1520" s="1052">
        <f>X1520</f>
        <v>728</v>
      </c>
      <c r="AA1520" s="1124">
        <f>AE1520</f>
        <v>728</v>
      </c>
      <c r="AB1520" s="1124">
        <f>AE1520</f>
        <v>728</v>
      </c>
      <c r="AC1520" s="1124">
        <f>AE1520</f>
        <v>728</v>
      </c>
      <c r="AD1520" s="1124">
        <f>AE1520</f>
        <v>728</v>
      </c>
      <c r="AE1520" s="208">
        <f>Z1520</f>
        <v>728</v>
      </c>
      <c r="AF1520" s="208">
        <f>AE1520</f>
        <v>728</v>
      </c>
      <c r="AG1520" s="208">
        <f t="shared" ref="AG1520:AL1520" si="1210">AF1520</f>
        <v>728</v>
      </c>
      <c r="AH1520" s="208">
        <f t="shared" si="1210"/>
        <v>728</v>
      </c>
      <c r="AI1520" s="208">
        <f t="shared" si="1210"/>
        <v>728</v>
      </c>
      <c r="AJ1520" s="208">
        <f t="shared" si="1210"/>
        <v>728</v>
      </c>
      <c r="AK1520" s="208">
        <f t="shared" si="1210"/>
        <v>728</v>
      </c>
      <c r="AL1520" s="208">
        <f t="shared" si="1210"/>
        <v>728</v>
      </c>
      <c r="AM1520" s="322"/>
      <c r="AN1520" s="322"/>
      <c r="AO1520" s="322"/>
      <c r="AP1520" s="322"/>
      <c r="AQ1520" s="322"/>
      <c r="AR1520" s="322"/>
      <c r="AS1520" s="322"/>
      <c r="AT1520" s="322"/>
      <c r="AU1520" s="322"/>
      <c r="AV1520" s="322"/>
      <c r="AW1520" s="322"/>
      <c r="AX1520" s="322"/>
      <c r="AY1520" s="322"/>
      <c r="AZ1520" s="322"/>
      <c r="BA1520" s="322"/>
      <c r="BB1520" s="322"/>
    </row>
    <row r="1521" spans="4:54" s="83" customFormat="1">
      <c r="D1521" s="132" t="s">
        <v>279</v>
      </c>
      <c r="E1521" s="132"/>
      <c r="F1521" s="107"/>
      <c r="G1521" s="386">
        <v>18811</v>
      </c>
      <c r="H1521" s="386">
        <v>18836</v>
      </c>
      <c r="I1521" s="386">
        <v>16637</v>
      </c>
      <c r="J1521" s="386">
        <v>18166</v>
      </c>
      <c r="K1521" s="386">
        <v>19993</v>
      </c>
      <c r="L1521" s="387">
        <f>SUM(L1519:L1520)</f>
        <v>20818</v>
      </c>
      <c r="M1521" s="387">
        <f>SUM(M1519:M1520)</f>
        <v>21373</v>
      </c>
      <c r="N1521" s="387">
        <f>SUM(N1519:N1520)</f>
        <v>22466</v>
      </c>
      <c r="O1521" s="387">
        <v>23018</v>
      </c>
      <c r="P1521" s="386">
        <v>23018</v>
      </c>
      <c r="Q1521" s="387">
        <f>SUM(Q1519:Q1520)</f>
        <v>24019</v>
      </c>
      <c r="R1521" s="387">
        <f>SUM(R1519:R1520)</f>
        <v>23955</v>
      </c>
      <c r="S1521" s="387">
        <f>SUM(S1519:S1520)</f>
        <v>24216</v>
      </c>
      <c r="T1521" s="387">
        <v>22074</v>
      </c>
      <c r="U1521" s="386">
        <f t="shared" ref="U1521:AF1521" si="1211">SUM(U1519:U1520)</f>
        <v>22074</v>
      </c>
      <c r="V1521" s="387">
        <f t="shared" si="1211"/>
        <v>22085</v>
      </c>
      <c r="W1521" s="387">
        <f t="shared" si="1211"/>
        <v>21598</v>
      </c>
      <c r="X1521" s="387">
        <f>SUM(X1519:X1520)</f>
        <v>21506</v>
      </c>
      <c r="Y1521" s="387">
        <f t="shared" ca="1" si="1211"/>
        <v>21871.158670002937</v>
      </c>
      <c r="Z1521" s="386">
        <f t="shared" ca="1" si="1211"/>
        <v>21871.158670002937</v>
      </c>
      <c r="AA1521" s="387">
        <f t="shared" ca="1" si="1211"/>
        <v>24063.447596421069</v>
      </c>
      <c r="AB1521" s="387">
        <f t="shared" ca="1" si="1211"/>
        <v>24063.447596421069</v>
      </c>
      <c r="AC1521" s="387">
        <f t="shared" ca="1" si="1211"/>
        <v>24063.447596421069</v>
      </c>
      <c r="AD1521" s="387">
        <f t="shared" ca="1" si="1211"/>
        <v>24063.447596421069</v>
      </c>
      <c r="AE1521" s="1061">
        <f t="shared" ca="1" si="1211"/>
        <v>24063.447596421069</v>
      </c>
      <c r="AF1521" s="1061">
        <f t="shared" ca="1" si="1211"/>
        <v>26125.357956011627</v>
      </c>
      <c r="AG1521" s="1061">
        <f t="shared" ref="AG1521:AL1521" ca="1" si="1212">SUM(AG1519:AG1520)</f>
        <v>28338.000545140112</v>
      </c>
      <c r="AH1521" s="1061">
        <f t="shared" ca="1" si="1212"/>
        <v>30724.369823909212</v>
      </c>
      <c r="AI1521" s="1061">
        <f t="shared" ca="1" si="1212"/>
        <v>33299.269555117178</v>
      </c>
      <c r="AJ1521" s="1061">
        <f t="shared" ca="1" si="1212"/>
        <v>35939.610890614415</v>
      </c>
      <c r="AK1521" s="1061">
        <f t="shared" ca="1" si="1212"/>
        <v>38367.875726111655</v>
      </c>
      <c r="AL1521" s="1061">
        <f t="shared" ca="1" si="1212"/>
        <v>40796.798561608892</v>
      </c>
      <c r="AM1521" s="322"/>
      <c r="AN1521" s="322"/>
      <c r="AO1521" s="322"/>
      <c r="AP1521" s="322"/>
      <c r="AQ1521" s="322"/>
      <c r="AR1521" s="322"/>
      <c r="AS1521" s="322"/>
      <c r="AT1521" s="322"/>
      <c r="AU1521" s="322"/>
      <c r="AV1521" s="322"/>
      <c r="AW1521" s="322"/>
      <c r="AX1521" s="322"/>
      <c r="AY1521" s="322"/>
      <c r="AZ1521" s="322"/>
      <c r="BA1521" s="322"/>
      <c r="BB1521" s="322"/>
    </row>
    <row r="1522" spans="4:54" s="83" customFormat="1" ht="16" thickBot="1">
      <c r="D1522" s="388" t="s">
        <v>280</v>
      </c>
      <c r="E1522" s="388"/>
      <c r="F1522" s="389"/>
      <c r="G1522" s="390">
        <f>G1521+G1513</f>
        <v>36183</v>
      </c>
      <c r="H1522" s="390">
        <f t="shared" ref="H1522:Q1522" si="1213">H1521+H1513</f>
        <v>36839</v>
      </c>
      <c r="I1522" s="390">
        <f t="shared" si="1213"/>
        <v>34688</v>
      </c>
      <c r="J1522" s="390">
        <f t="shared" si="1213"/>
        <v>35629</v>
      </c>
      <c r="K1522" s="390">
        <f t="shared" si="1213"/>
        <v>37028</v>
      </c>
      <c r="L1522" s="391">
        <f t="shared" si="1213"/>
        <v>37894</v>
      </c>
      <c r="M1522" s="391">
        <f>M1521+M1513</f>
        <v>38634</v>
      </c>
      <c r="N1522" s="391">
        <f t="shared" si="1213"/>
        <v>40562</v>
      </c>
      <c r="O1522" s="391">
        <v>39626</v>
      </c>
      <c r="P1522" s="390">
        <f t="shared" si="1213"/>
        <v>39626</v>
      </c>
      <c r="Q1522" s="391">
        <f t="shared" si="1213"/>
        <v>42106</v>
      </c>
      <c r="R1522" s="391">
        <f>R1521+R1513</f>
        <v>41215</v>
      </c>
      <c r="S1522" s="391">
        <f>S1521+S1513</f>
        <v>41817</v>
      </c>
      <c r="T1522" s="391">
        <v>39350</v>
      </c>
      <c r="U1522" s="390">
        <f t="shared" ref="U1522:AF1522" si="1214">U1521+U1513</f>
        <v>39350</v>
      </c>
      <c r="V1522" s="391">
        <f t="shared" si="1214"/>
        <v>38774</v>
      </c>
      <c r="W1522" s="391">
        <f t="shared" si="1214"/>
        <v>39238</v>
      </c>
      <c r="X1522" s="391">
        <f t="shared" si="1214"/>
        <v>40267</v>
      </c>
      <c r="Y1522" s="391">
        <f t="shared" ca="1" si="1214"/>
        <v>39313.106323630032</v>
      </c>
      <c r="Z1522" s="390">
        <f t="shared" ca="1" si="1214"/>
        <v>39313.106323630032</v>
      </c>
      <c r="AA1522" s="391">
        <f t="shared" ca="1" si="1214"/>
        <v>41178.844656189322</v>
      </c>
      <c r="AB1522" s="391">
        <f t="shared" ca="1" si="1214"/>
        <v>41178.844656189322</v>
      </c>
      <c r="AC1522" s="391">
        <f t="shared" ca="1" si="1214"/>
        <v>41178.844656189322</v>
      </c>
      <c r="AD1522" s="391">
        <f t="shared" ca="1" si="1214"/>
        <v>41178.844656189322</v>
      </c>
      <c r="AE1522" s="390">
        <f t="shared" ca="1" si="1214"/>
        <v>41178.844656189322</v>
      </c>
      <c r="AF1522" s="390">
        <f t="shared" ca="1" si="1214"/>
        <v>43029.291613961628</v>
      </c>
      <c r="AG1522" s="390">
        <f t="shared" ref="AG1522:AL1522" ca="1" si="1215">AG1521+AG1513</f>
        <v>45079.148366690555</v>
      </c>
      <c r="AH1522" s="390">
        <f t="shared" ca="1" si="1215"/>
        <v>47271.609264688253</v>
      </c>
      <c r="AI1522" s="390">
        <f t="shared" ca="1" si="1215"/>
        <v>49676.878802168954</v>
      </c>
      <c r="AJ1522" s="390">
        <f t="shared" ca="1" si="1215"/>
        <v>52081.520070863691</v>
      </c>
      <c r="AK1522" s="390">
        <f t="shared" ca="1" si="1215"/>
        <v>54239.784906360932</v>
      </c>
      <c r="AL1522" s="390">
        <f t="shared" ca="1" si="1215"/>
        <v>56399.707741858168</v>
      </c>
      <c r="AM1522" s="322"/>
      <c r="AN1522" s="322"/>
      <c r="AO1522" s="322"/>
      <c r="AP1522" s="322"/>
      <c r="AQ1522" s="322"/>
      <c r="AR1522" s="322"/>
      <c r="AS1522" s="322"/>
      <c r="AT1522" s="322"/>
      <c r="AU1522" s="322"/>
      <c r="AV1522" s="322"/>
      <c r="AW1522" s="322"/>
      <c r="AX1522" s="322"/>
      <c r="AY1522" s="322"/>
      <c r="AZ1522" s="322"/>
      <c r="BA1522" s="322"/>
      <c r="BB1522" s="322"/>
    </row>
    <row r="1523" spans="4:54" s="83" customFormat="1" ht="16" thickTop="1">
      <c r="F1523" s="92"/>
      <c r="G1523" s="92"/>
      <c r="H1523" s="92"/>
      <c r="I1523" s="92"/>
      <c r="J1523" s="92"/>
      <c r="K1523" s="92"/>
      <c r="L1523" s="99"/>
      <c r="M1523" s="99"/>
      <c r="N1523" s="99"/>
      <c r="O1523" s="99"/>
      <c r="P1523" s="223"/>
      <c r="Q1523" s="99"/>
      <c r="R1523" s="99"/>
      <c r="S1523" s="99"/>
      <c r="T1523" s="99"/>
      <c r="U1523" s="223"/>
      <c r="V1523" s="99"/>
      <c r="W1523" s="149"/>
      <c r="X1523" s="149"/>
      <c r="Y1523" s="149"/>
      <c r="Z1523" s="223"/>
      <c r="AA1523" s="149"/>
      <c r="AB1523" s="149"/>
      <c r="AC1523" s="149"/>
      <c r="AD1523" s="149"/>
      <c r="AE1523" s="223"/>
      <c r="AF1523" s="223"/>
      <c r="AG1523" s="223"/>
      <c r="AH1523" s="223"/>
      <c r="AI1523" s="223"/>
      <c r="AJ1523" s="223"/>
      <c r="AK1523" s="223"/>
      <c r="AL1523" s="322"/>
      <c r="AM1523" s="322"/>
      <c r="AN1523" s="322"/>
      <c r="AO1523" s="322"/>
      <c r="AP1523" s="322"/>
      <c r="AQ1523" s="322"/>
      <c r="AR1523" s="322"/>
      <c r="AS1523" s="322"/>
      <c r="AT1523" s="322"/>
      <c r="AU1523" s="322"/>
      <c r="AV1523" s="322"/>
      <c r="AW1523" s="322"/>
      <c r="AX1523" s="322"/>
      <c r="AY1523" s="322"/>
      <c r="AZ1523" s="322"/>
      <c r="BA1523" s="322"/>
      <c r="BB1523" s="322"/>
    </row>
    <row r="1524" spans="4:54" s="83" customFormat="1">
      <c r="D1524" s="83" t="s">
        <v>384</v>
      </c>
      <c r="F1524" s="92"/>
      <c r="G1524" s="92"/>
      <c r="H1524" s="92"/>
      <c r="I1524" s="92"/>
      <c r="J1524" s="92"/>
      <c r="K1524" s="92"/>
      <c r="L1524" s="99"/>
      <c r="M1524" s="99"/>
      <c r="N1524" s="99"/>
      <c r="O1524" s="99"/>
      <c r="P1524" s="223"/>
      <c r="Q1524" s="99"/>
      <c r="R1524" s="99"/>
      <c r="S1524" s="99">
        <f t="shared" ref="S1524:AL1524" si="1216">S1493-S1513-S1521</f>
        <v>0</v>
      </c>
      <c r="T1524" s="99">
        <f t="shared" si="1216"/>
        <v>0</v>
      </c>
      <c r="U1524" s="380">
        <f t="shared" si="1216"/>
        <v>0</v>
      </c>
      <c r="V1524" s="99">
        <f t="shared" si="1216"/>
        <v>0</v>
      </c>
      <c r="W1524" s="335">
        <f t="shared" si="1216"/>
        <v>0</v>
      </c>
      <c r="X1524" s="335">
        <f t="shared" si="1216"/>
        <v>0</v>
      </c>
      <c r="Y1524" s="335">
        <f ca="1">Y1493-Y1513-Y1521</f>
        <v>801.6186400000006</v>
      </c>
      <c r="Z1524" s="1086">
        <f t="shared" ca="1" si="1216"/>
        <v>801.6186400000006</v>
      </c>
      <c r="AA1524" s="776">
        <f t="shared" ca="1" si="1216"/>
        <v>4158.3739176554918</v>
      </c>
      <c r="AB1524" s="776">
        <f t="shared" ca="1" si="1216"/>
        <v>4158.3739176554918</v>
      </c>
      <c r="AC1524" s="776">
        <f t="shared" ca="1" si="1216"/>
        <v>4158.3739176554918</v>
      </c>
      <c r="AD1524" s="776">
        <f t="shared" ca="1" si="1216"/>
        <v>4158.3739176554918</v>
      </c>
      <c r="AE1524" s="380">
        <f t="shared" ca="1" si="1216"/>
        <v>4158.3739176554918</v>
      </c>
      <c r="AF1524" s="380">
        <f t="shared" ca="1" si="1216"/>
        <v>6809.9915168625375</v>
      </c>
      <c r="AG1524" s="380">
        <f t="shared" ca="1" si="1216"/>
        <v>9459.8414932725755</v>
      </c>
      <c r="AH1524" s="380">
        <f t="shared" ca="1" si="1216"/>
        <v>4085.0579918904405</v>
      </c>
      <c r="AI1524" s="380">
        <f t="shared" ca="1" si="1216"/>
        <v>2148.1106578210311</v>
      </c>
      <c r="AJ1524" s="380">
        <f t="shared" ca="1" si="1216"/>
        <v>-18.035447750044113</v>
      </c>
      <c r="AK1524" s="380">
        <f t="shared" ca="1" si="1216"/>
        <v>1364.8667918149367</v>
      </c>
      <c r="AL1524" s="380">
        <f t="shared" ca="1" si="1216"/>
        <v>3878.0979912194962</v>
      </c>
      <c r="AM1524" s="322"/>
      <c r="AN1524" s="322"/>
      <c r="AO1524" s="322"/>
      <c r="AP1524" s="322"/>
      <c r="AQ1524" s="322"/>
      <c r="AR1524" s="322"/>
      <c r="AS1524" s="322"/>
      <c r="AT1524" s="322"/>
      <c r="AU1524" s="322"/>
      <c r="AV1524" s="322"/>
      <c r="AW1524" s="322"/>
      <c r="AX1524" s="322"/>
      <c r="AY1524" s="322"/>
      <c r="AZ1524" s="322"/>
      <c r="BA1524" s="322"/>
      <c r="BB1524" s="322"/>
    </row>
    <row r="1525" spans="4:54" s="83" customFormat="1">
      <c r="F1525" s="92"/>
      <c r="G1525" s="92"/>
      <c r="H1525" s="92"/>
      <c r="I1525" s="92"/>
      <c r="J1525" s="92"/>
      <c r="K1525" s="92"/>
      <c r="L1525" s="99"/>
      <c r="M1525" s="99"/>
      <c r="N1525" s="99"/>
      <c r="O1525" s="99"/>
      <c r="P1525" s="223"/>
      <c r="Q1525" s="99"/>
      <c r="R1525" s="99"/>
      <c r="S1525" s="99"/>
      <c r="T1525" s="99"/>
      <c r="U1525" s="223"/>
      <c r="V1525" s="99"/>
      <c r="W1525" s="149"/>
      <c r="X1525" s="149"/>
      <c r="Y1525" s="149"/>
      <c r="Z1525" s="231"/>
      <c r="AA1525" s="232"/>
      <c r="AB1525" s="232"/>
      <c r="AC1525" s="232"/>
      <c r="AD1525" s="232"/>
      <c r="AE1525" s="223"/>
      <c r="AF1525" s="223"/>
      <c r="AG1525" s="223"/>
      <c r="AH1525" s="223"/>
      <c r="AI1525" s="223"/>
      <c r="AJ1525" s="223"/>
      <c r="AK1525" s="223"/>
      <c r="AL1525" s="322"/>
      <c r="AM1525" s="322"/>
      <c r="AN1525" s="322"/>
      <c r="AO1525" s="322"/>
      <c r="AP1525" s="322"/>
      <c r="AQ1525" s="322"/>
      <c r="AR1525" s="322"/>
      <c r="AS1525" s="322"/>
      <c r="AT1525" s="322"/>
      <c r="AU1525" s="322"/>
      <c r="AV1525" s="322"/>
      <c r="AW1525" s="322"/>
      <c r="AX1525" s="322"/>
      <c r="AY1525" s="322"/>
      <c r="AZ1525" s="322"/>
      <c r="BA1525" s="322"/>
      <c r="BB1525" s="322"/>
    </row>
    <row r="1526" spans="4:54" s="83" customFormat="1">
      <c r="D1526" s="119" t="s">
        <v>314</v>
      </c>
      <c r="E1526" s="119"/>
      <c r="F1526" s="92"/>
      <c r="G1526" s="92"/>
      <c r="H1526" s="92"/>
      <c r="I1526" s="92"/>
      <c r="J1526" s="92"/>
      <c r="K1526" s="92"/>
      <c r="L1526" s="99"/>
      <c r="M1526" s="99"/>
      <c r="N1526" s="99"/>
      <c r="O1526" s="99"/>
      <c r="P1526" s="223"/>
      <c r="Q1526" s="99"/>
      <c r="R1526" s="99"/>
      <c r="S1526" s="99"/>
      <c r="T1526" s="99"/>
      <c r="U1526" s="223"/>
      <c r="V1526" s="99"/>
      <c r="W1526" s="149"/>
      <c r="X1526" s="149"/>
      <c r="Y1526" s="149"/>
      <c r="Z1526" s="223"/>
      <c r="AA1526" s="149"/>
      <c r="AB1526" s="149"/>
      <c r="AC1526" s="149"/>
      <c r="AD1526" s="149"/>
      <c r="AE1526" s="223"/>
      <c r="AF1526" s="223"/>
      <c r="AG1526" s="223"/>
      <c r="AH1526" s="223"/>
      <c r="AI1526" s="223"/>
      <c r="AJ1526" s="223"/>
      <c r="AK1526" s="223"/>
      <c r="AL1526" s="322"/>
      <c r="AM1526" s="322"/>
      <c r="AN1526" s="322"/>
      <c r="AO1526" s="322"/>
      <c r="AP1526" s="322"/>
      <c r="AQ1526" s="322"/>
      <c r="AR1526" s="322"/>
      <c r="AS1526" s="322"/>
      <c r="AT1526" s="322"/>
      <c r="AU1526" s="322"/>
      <c r="AV1526" s="322"/>
      <c r="AW1526" s="322"/>
      <c r="AX1526" s="322"/>
      <c r="AY1526" s="322"/>
      <c r="AZ1526" s="322"/>
      <c r="BA1526" s="322"/>
      <c r="BB1526" s="322"/>
    </row>
    <row r="1527" spans="4:54" s="83" customFormat="1">
      <c r="D1527" s="83" t="s">
        <v>315</v>
      </c>
      <c r="F1527" s="92"/>
      <c r="G1527" s="100">
        <f>G1505+G1499-G1478</f>
        <v>4951</v>
      </c>
      <c r="H1527" s="100">
        <f t="shared" ref="H1527:S1527" si="1217">H1505+H1499-H1478</f>
        <v>6412</v>
      </c>
      <c r="I1527" s="100">
        <f t="shared" si="1217"/>
        <v>7747</v>
      </c>
      <c r="J1527" s="100">
        <f t="shared" si="1217"/>
        <v>6936</v>
      </c>
      <c r="K1527" s="100">
        <f t="shared" si="1217"/>
        <v>5417</v>
      </c>
      <c r="L1527" s="401">
        <f>L1505+L1499-L1478</f>
        <v>5294</v>
      </c>
      <c r="M1527" s="401">
        <f>M1505+M1499-M1478</f>
        <v>4988</v>
      </c>
      <c r="N1527" s="401">
        <f>N1505+N1499-N1478</f>
        <v>3752</v>
      </c>
      <c r="O1527" s="401">
        <f>O1505+O1499-O1478</f>
        <v>3785</v>
      </c>
      <c r="P1527" s="100">
        <f>P1505+P1499-P1478</f>
        <v>3785</v>
      </c>
      <c r="Q1527" s="401">
        <f t="shared" si="1217"/>
        <v>3306</v>
      </c>
      <c r="R1527" s="401">
        <f t="shared" si="1217"/>
        <v>3336</v>
      </c>
      <c r="S1527" s="401">
        <f t="shared" si="1217"/>
        <v>3310</v>
      </c>
      <c r="T1527" s="401">
        <f t="shared" ref="T1527:Z1527" si="1218">T1505+T1499-T1478</f>
        <v>3648</v>
      </c>
      <c r="U1527" s="100">
        <f t="shared" si="1218"/>
        <v>3648</v>
      </c>
      <c r="V1527" s="401">
        <f t="shared" si="1218"/>
        <v>5097</v>
      </c>
      <c r="W1527" s="401">
        <f t="shared" si="1218"/>
        <v>5670</v>
      </c>
      <c r="X1527" s="401">
        <f t="shared" si="1218"/>
        <v>6066</v>
      </c>
      <c r="Y1527" s="401">
        <f t="shared" si="1218"/>
        <v>4728</v>
      </c>
      <c r="Z1527" s="100" t="e">
        <f t="shared" ca="1" si="1218"/>
        <v>#VALUE!</v>
      </c>
      <c r="AA1527" s="401"/>
      <c r="AB1527" s="401"/>
      <c r="AC1527" s="401"/>
      <c r="AD1527" s="401"/>
      <c r="AE1527" s="100">
        <f ca="1">AE1505+AE1499-AE1478</f>
        <v>2295.8755120186597</v>
      </c>
      <c r="AF1527" s="100">
        <f t="shared" ref="AF1527:AL1527" ca="1" si="1219">AF1505+AF1499-AF1478</f>
        <v>-1635.7487016353571</v>
      </c>
      <c r="AG1527" s="100">
        <f t="shared" ca="1" si="1219"/>
        <v>-6275.6560303250335</v>
      </c>
      <c r="AH1527" s="100">
        <f t="shared" ca="1" si="1219"/>
        <v>-3108.0992874727417</v>
      </c>
      <c r="AI1527" s="100">
        <f t="shared" ca="1" si="1219"/>
        <v>-3608.3599294780088</v>
      </c>
      <c r="AJ1527" s="100">
        <f t="shared" ca="1" si="1219"/>
        <v>-3985.7477979959649</v>
      </c>
      <c r="AK1527" s="100">
        <f t="shared" ca="1" si="1219"/>
        <v>-7491.3261668460673</v>
      </c>
      <c r="AL1527" s="100">
        <f t="shared" ca="1" si="1219"/>
        <v>-12127.891495535745</v>
      </c>
      <c r="AM1527" s="322"/>
      <c r="AN1527" s="322"/>
      <c r="AO1527" s="322"/>
      <c r="AP1527" s="322"/>
      <c r="AQ1527" s="322"/>
      <c r="AR1527" s="322"/>
      <c r="AS1527" s="322"/>
      <c r="AT1527" s="322"/>
      <c r="AU1527" s="322"/>
      <c r="AV1527" s="322"/>
      <c r="AW1527" s="322"/>
      <c r="AX1527" s="322"/>
      <c r="AY1527" s="322"/>
      <c r="AZ1527" s="322"/>
      <c r="BA1527" s="322"/>
      <c r="BB1527" s="322"/>
    </row>
    <row r="1528" spans="4:54" s="83" customFormat="1">
      <c r="D1528" s="83" t="s">
        <v>316</v>
      </c>
      <c r="F1528" s="92"/>
      <c r="G1528" s="142">
        <f t="shared" ref="G1528:Z1528" si="1220">G1253/G1493</f>
        <v>0.25929303816709504</v>
      </c>
      <c r="H1528" s="142">
        <f t="shared" si="1220"/>
        <v>0.23342110263579358</v>
      </c>
      <c r="I1528" s="142">
        <f t="shared" si="1220"/>
        <v>0.23809386531365315</v>
      </c>
      <c r="J1528" s="142">
        <f t="shared" si="1220"/>
        <v>0.26102332369698839</v>
      </c>
      <c r="K1528" s="142">
        <f t="shared" si="1220"/>
        <v>0.32164848222966402</v>
      </c>
      <c r="L1528" s="143">
        <f t="shared" si="1220"/>
        <v>8.1596031033936769E-2</v>
      </c>
      <c r="M1528" s="143">
        <f t="shared" si="1220"/>
        <v>7.8065952270021222E-2</v>
      </c>
      <c r="N1528" s="143">
        <f t="shared" si="1220"/>
        <v>7.3914545663941039E-2</v>
      </c>
      <c r="O1528" s="143">
        <f t="shared" si="1220"/>
        <v>8.1941149750164033E-2</v>
      </c>
      <c r="P1528" s="142">
        <f t="shared" si="1220"/>
        <v>0.31706455357593499</v>
      </c>
      <c r="Q1528" s="143">
        <f t="shared" si="1220"/>
        <v>7.3766209091340906E-2</v>
      </c>
      <c r="R1528" s="143">
        <f t="shared" si="1220"/>
        <v>7.6137328642484528E-2</v>
      </c>
      <c r="S1528" s="143">
        <f t="shared" si="1220"/>
        <v>7.2578138077815241E-2</v>
      </c>
      <c r="T1528" s="143">
        <f t="shared" si="1220"/>
        <v>6.7471410419313857E-2</v>
      </c>
      <c r="U1528" s="142">
        <f t="shared" si="1220"/>
        <v>0.30327827191867851</v>
      </c>
      <c r="V1528" s="143">
        <f t="shared" si="1220"/>
        <v>6.1303966575540311E-2</v>
      </c>
      <c r="W1528" s="143">
        <f t="shared" si="1220"/>
        <v>4.3835057852082165E-2</v>
      </c>
      <c r="X1528" s="143">
        <f t="shared" si="1220"/>
        <v>5.6895224377281645E-2</v>
      </c>
      <c r="Y1528" s="143">
        <f t="shared" ca="1" si="1220"/>
        <v>6.6019882446686121E-2</v>
      </c>
      <c r="Z1528" s="142">
        <f t="shared" ca="1" si="1220"/>
        <v>0.2252631529861619</v>
      </c>
      <c r="AA1528" s="143"/>
      <c r="AB1528" s="143"/>
      <c r="AC1528" s="143"/>
      <c r="AD1528" s="143"/>
      <c r="AE1528" s="142">
        <f ca="1">AE1253/AE1493</f>
        <v>0.26777170710698539</v>
      </c>
      <c r="AF1528" s="142">
        <f ca="1">AF1253/AF1493</f>
        <v>0.2522846469680558</v>
      </c>
      <c r="AG1528" s="223"/>
      <c r="AH1528" s="223"/>
      <c r="AI1528" s="223"/>
      <c r="AJ1528" s="223"/>
      <c r="AK1528" s="223"/>
      <c r="AL1528" s="322"/>
      <c r="AM1528" s="322"/>
      <c r="AN1528" s="322"/>
      <c r="AO1528" s="322"/>
      <c r="AP1528" s="322"/>
      <c r="AQ1528" s="322"/>
      <c r="AR1528" s="322"/>
      <c r="AS1528" s="322"/>
      <c r="AT1528" s="322"/>
      <c r="AU1528" s="322"/>
      <c r="AV1528" s="322"/>
      <c r="AW1528" s="322"/>
      <c r="AX1528" s="322"/>
      <c r="AY1528" s="322"/>
      <c r="AZ1528" s="322"/>
      <c r="BA1528" s="322"/>
      <c r="BB1528" s="322"/>
    </row>
    <row r="1529" spans="4:54" s="83" customFormat="1">
      <c r="D1529" s="83" t="s">
        <v>317</v>
      </c>
      <c r="F1529" s="92"/>
      <c r="G1529" s="120">
        <f t="shared" ref="G1529:Z1529" si="1221">G1286/G1493</f>
        <v>2.8162396705635244E-2</v>
      </c>
      <c r="H1529" s="120">
        <f t="shared" si="1221"/>
        <v>1.0776622601047803E-2</v>
      </c>
      <c r="I1529" s="120">
        <f t="shared" si="1221"/>
        <v>-1.5250230627306273E-2</v>
      </c>
      <c r="J1529" s="120">
        <f t="shared" si="1221"/>
        <v>3.7469477111341881E-2</v>
      </c>
      <c r="K1529" s="120">
        <f t="shared" si="1221"/>
        <v>6.2115156098087931E-2</v>
      </c>
      <c r="L1529" s="121">
        <f t="shared" si="1221"/>
        <v>2.0055945532274237E-2</v>
      </c>
      <c r="M1529" s="121">
        <f t="shared" si="1221"/>
        <v>1.6410415696019049E-2</v>
      </c>
      <c r="N1529" s="121">
        <f t="shared" si="1221"/>
        <v>2.9482897616031324E-2</v>
      </c>
      <c r="O1529" s="121">
        <f t="shared" si="1221"/>
        <v>1.1835663453288245E-2</v>
      </c>
      <c r="P1529" s="120">
        <f t="shared" si="1221"/>
        <v>7.9291374350174124E-2</v>
      </c>
      <c r="Q1529" s="121">
        <f t="shared" si="1221"/>
        <v>1.5484729017242198E-2</v>
      </c>
      <c r="R1529" s="121">
        <f t="shared" si="1221"/>
        <v>1.0497796109830562E-2</v>
      </c>
      <c r="S1529" s="121">
        <f t="shared" si="1221"/>
        <v>9.039385895688359E-3</v>
      </c>
      <c r="T1529" s="121">
        <f t="shared" si="1221"/>
        <v>5.1805514829657145E-3</v>
      </c>
      <c r="U1529" s="120">
        <f t="shared" si="1221"/>
        <v>5.2986022871664547E-2</v>
      </c>
      <c r="V1529" s="121">
        <f t="shared" si="1221"/>
        <v>8.6656006602362414E-3</v>
      </c>
      <c r="W1529" s="121">
        <f t="shared" si="1221"/>
        <v>-3.7973393139303737E-3</v>
      </c>
      <c r="X1529" s="121">
        <f t="shared" ca="1" si="1221"/>
        <v>1.5148881217870714E-3</v>
      </c>
      <c r="Y1529" s="121">
        <f t="shared" ca="1" si="1221"/>
        <v>8.9657750081069965E-3</v>
      </c>
      <c r="Z1529" s="120">
        <f t="shared" ca="1" si="1221"/>
        <v>1.5148043494924466E-2</v>
      </c>
      <c r="AA1529" s="121"/>
      <c r="AB1529" s="121"/>
      <c r="AC1529" s="121"/>
      <c r="AD1529" s="121"/>
      <c r="AE1529" s="120">
        <f ca="1">AE1286/AE1493</f>
        <v>4.4147057261160243E-2</v>
      </c>
      <c r="AF1529" s="120" t="e">
        <f ca="1">#REF!/AF1493</f>
        <v>#REF!</v>
      </c>
      <c r="AG1529" s="223"/>
      <c r="AH1529" s="223"/>
      <c r="AI1529" s="223"/>
      <c r="AJ1529" s="223"/>
      <c r="AK1529" s="223"/>
      <c r="AL1529" s="322"/>
      <c r="AM1529" s="322"/>
      <c r="AN1529" s="322"/>
      <c r="AO1529" s="322"/>
      <c r="AP1529" s="322"/>
      <c r="AQ1529" s="322"/>
      <c r="AR1529" s="322"/>
      <c r="AS1529" s="322"/>
      <c r="AT1529" s="322"/>
      <c r="AU1529" s="322"/>
      <c r="AV1529" s="322"/>
      <c r="AW1529" s="322"/>
      <c r="AX1529" s="322"/>
      <c r="AY1529" s="322"/>
      <c r="AZ1529" s="322"/>
      <c r="BA1529" s="322"/>
      <c r="BB1529" s="322"/>
    </row>
    <row r="1530" spans="4:54" s="83" customFormat="1">
      <c r="D1530" s="83" t="s">
        <v>318</v>
      </c>
      <c r="F1530" s="92"/>
      <c r="G1530" s="142">
        <f t="shared" ref="G1530:Z1530" si="1222">G1286/G1521</f>
        <v>5.4170432193929086E-2</v>
      </c>
      <c r="H1530" s="142">
        <f t="shared" si="1222"/>
        <v>2.1076661711616054E-2</v>
      </c>
      <c r="I1530" s="142">
        <f t="shared" si="1222"/>
        <v>-3.1796597944340928E-2</v>
      </c>
      <c r="J1530" s="142">
        <f t="shared" si="1222"/>
        <v>7.3488935373775183E-2</v>
      </c>
      <c r="K1530" s="142">
        <f t="shared" si="1222"/>
        <v>0.11504026409243236</v>
      </c>
      <c r="L1530" s="143">
        <f t="shared" si="1222"/>
        <v>3.650686905562494E-2</v>
      </c>
      <c r="M1530" s="143">
        <f t="shared" si="1222"/>
        <v>2.9663594254433163E-2</v>
      </c>
      <c r="N1530" s="143">
        <f t="shared" si="1222"/>
        <v>5.6974984420902694E-2</v>
      </c>
      <c r="O1530" s="143">
        <f t="shared" si="1222"/>
        <v>2.0375358415153359E-2</v>
      </c>
      <c r="P1530" s="142">
        <f t="shared" si="1222"/>
        <v>0.13650186810322357</v>
      </c>
      <c r="Q1530" s="143">
        <f t="shared" si="1222"/>
        <v>2.7145176735084726E-2</v>
      </c>
      <c r="R1530" s="143">
        <f t="shared" si="1222"/>
        <v>1.8061643359076045E-2</v>
      </c>
      <c r="S1530" s="143">
        <f t="shared" si="1222"/>
        <v>1.5609514370664029E-2</v>
      </c>
      <c r="T1530" s="143">
        <f t="shared" si="1222"/>
        <v>9.235059384556531E-3</v>
      </c>
      <c r="U1530" s="142">
        <f t="shared" si="1222"/>
        <v>9.4455014949714602E-2</v>
      </c>
      <c r="V1530" s="143">
        <f t="shared" si="1222"/>
        <v>1.5213946117274169E-2</v>
      </c>
      <c r="W1530" s="143">
        <f t="shared" si="1222"/>
        <v>-6.8987869247152511E-3</v>
      </c>
      <c r="X1530" s="143">
        <f t="shared" ca="1" si="1222"/>
        <v>2.8364177438854271E-3</v>
      </c>
      <c r="Y1530" s="143">
        <f t="shared" ca="1" si="1222"/>
        <v>1.6444469356316535E-2</v>
      </c>
      <c r="Z1530" s="142">
        <f t="shared" ca="1" si="1222"/>
        <v>2.7783603406865979E-2</v>
      </c>
      <c r="AA1530" s="143"/>
      <c r="AB1530" s="143"/>
      <c r="AC1530" s="143"/>
      <c r="AD1530" s="143"/>
      <c r="AE1530" s="142">
        <f ca="1">AE1286/AE1521</f>
        <v>8.3176144084148043E-2</v>
      </c>
      <c r="AF1530" s="142" t="e">
        <f ca="1">#REF!/AF1521</f>
        <v>#REF!</v>
      </c>
      <c r="AG1530" s="223"/>
      <c r="AH1530" s="223"/>
      <c r="AI1530" s="223"/>
      <c r="AJ1530" s="223"/>
      <c r="AK1530" s="223"/>
      <c r="AL1530" s="322"/>
      <c r="AM1530" s="322"/>
      <c r="AN1530" s="322"/>
      <c r="AO1530" s="322"/>
      <c r="AP1530" s="322"/>
      <c r="AQ1530" s="322"/>
      <c r="AR1530" s="322"/>
      <c r="AS1530" s="322"/>
      <c r="AT1530" s="322"/>
      <c r="AU1530" s="322"/>
      <c r="AV1530" s="322"/>
      <c r="AW1530" s="322"/>
      <c r="AX1530" s="322"/>
      <c r="AY1530" s="322"/>
      <c r="AZ1530" s="322"/>
      <c r="BA1530" s="322"/>
      <c r="BB1530" s="322"/>
    </row>
    <row r="1531" spans="4:54" s="83" customFormat="1">
      <c r="D1531" s="83" t="s">
        <v>319</v>
      </c>
      <c r="F1531" s="92"/>
      <c r="G1531" s="92"/>
      <c r="H1531" s="142">
        <f>H1488/G1488-1</f>
        <v>4.0056092912876151E-2</v>
      </c>
      <c r="I1531" s="142">
        <f>I1488/H1488-1</f>
        <v>-7.3777009507346558E-2</v>
      </c>
      <c r="J1531" s="142">
        <f>J1488/I1488-1</f>
        <v>3.0010078011272423E-2</v>
      </c>
      <c r="K1531" s="142">
        <f>K1488/J1488-1</f>
        <v>5.2545751041855437E-2</v>
      </c>
      <c r="L1531" s="143"/>
      <c r="M1531" s="143"/>
      <c r="N1531" s="143"/>
      <c r="O1531" s="143"/>
      <c r="P1531" s="142">
        <f>P1488/K1488-1</f>
        <v>6.9030814253744133E-2</v>
      </c>
      <c r="Q1531" s="143"/>
      <c r="R1531" s="143"/>
      <c r="S1531" s="143"/>
      <c r="T1531" s="143"/>
      <c r="U1531" s="142">
        <f>U1488/P1488-1</f>
        <v>9.8228663446053854E-3</v>
      </c>
      <c r="V1531" s="143"/>
      <c r="W1531" s="143"/>
      <c r="X1531" s="143"/>
      <c r="Y1531" s="143"/>
      <c r="Z1531" s="142">
        <f ca="1">Z1488/U1488-1</f>
        <v>6.7995535002391971E-2</v>
      </c>
      <c r="AA1531" s="143"/>
      <c r="AB1531" s="143"/>
      <c r="AC1531" s="143"/>
      <c r="AD1531" s="143"/>
      <c r="AE1531" s="142">
        <f ca="1">AE1488/Z1488-1</f>
        <v>7.1593546808465192E-2</v>
      </c>
      <c r="AF1531" s="142">
        <f ca="1">AF1488/AE1488-1</f>
        <v>2.0603287732097852E-2</v>
      </c>
      <c r="AG1531" s="223"/>
      <c r="AH1531" s="223"/>
      <c r="AI1531" s="223"/>
      <c r="AJ1531" s="223"/>
      <c r="AK1531" s="223"/>
      <c r="AL1531" s="322"/>
      <c r="AM1531" s="322"/>
      <c r="AN1531" s="322"/>
      <c r="AO1531" s="322"/>
      <c r="AP1531" s="322"/>
      <c r="AQ1531" s="322"/>
      <c r="AR1531" s="322"/>
      <c r="AS1531" s="322"/>
      <c r="AT1531" s="322"/>
      <c r="AU1531" s="322"/>
      <c r="AV1531" s="322"/>
      <c r="AW1531" s="322"/>
      <c r="AX1531" s="322"/>
      <c r="AY1531" s="322"/>
      <c r="AZ1531" s="322"/>
      <c r="BA1531" s="322"/>
      <c r="BB1531" s="322"/>
    </row>
    <row r="1532" spans="4:54" s="83" customFormat="1">
      <c r="D1532" s="83" t="s">
        <v>331</v>
      </c>
      <c r="F1532" s="92"/>
      <c r="G1532" s="142">
        <f t="shared" ref="G1532:Z1532" si="1223">(G1505+G1499)/G1521</f>
        <v>0.41055765243740366</v>
      </c>
      <c r="H1532" s="142">
        <f t="shared" si="1223"/>
        <v>0.44813123805478872</v>
      </c>
      <c r="I1532" s="142">
        <f t="shared" si="1223"/>
        <v>0.57907074592775143</v>
      </c>
      <c r="J1532" s="142">
        <f t="shared" si="1223"/>
        <v>0.45926456016734557</v>
      </c>
      <c r="K1532" s="142">
        <f t="shared" si="1223"/>
        <v>0.31856149652378335</v>
      </c>
      <c r="L1532" s="143">
        <f t="shared" si="1223"/>
        <v>0.31237390719569602</v>
      </c>
      <c r="M1532" s="143">
        <f t="shared" si="1223"/>
        <v>0.30968979553642445</v>
      </c>
      <c r="N1532" s="143">
        <f t="shared" si="1223"/>
        <v>0.23301878394017628</v>
      </c>
      <c r="O1532" s="143">
        <f t="shared" si="1223"/>
        <v>0.23976887653141021</v>
      </c>
      <c r="P1532" s="142">
        <f t="shared" si="1223"/>
        <v>0.23976887653141021</v>
      </c>
      <c r="Q1532" s="143">
        <f t="shared" si="1223"/>
        <v>0.23947708064448978</v>
      </c>
      <c r="R1532" s="143">
        <f t="shared" si="1223"/>
        <v>0.20308912544353996</v>
      </c>
      <c r="S1532" s="143">
        <f t="shared" si="1223"/>
        <v>0.20354311199207137</v>
      </c>
      <c r="T1532" s="143">
        <f t="shared" si="1223"/>
        <v>0.21174232128295734</v>
      </c>
      <c r="U1532" s="142">
        <f t="shared" si="1223"/>
        <v>0.21174232128295734</v>
      </c>
      <c r="V1532" s="143">
        <f t="shared" si="1223"/>
        <v>0.2407063617840163</v>
      </c>
      <c r="W1532" s="143">
        <f t="shared" si="1223"/>
        <v>0.27808130382442819</v>
      </c>
      <c r="X1532" s="143">
        <f t="shared" si="1223"/>
        <v>0.30079977680647263</v>
      </c>
      <c r="Y1532" s="143">
        <f t="shared" ca="1" si="1223"/>
        <v>0.21617510399595877</v>
      </c>
      <c r="Z1532" s="142">
        <f t="shared" ca="1" si="1223"/>
        <v>0.21617510399595877</v>
      </c>
      <c r="AA1532" s="143"/>
      <c r="AB1532" s="143"/>
      <c r="AC1532" s="143"/>
      <c r="AD1532" s="143"/>
      <c r="AE1532" s="142">
        <f ca="1">(AE1505+AE1499)/AE1521</f>
        <v>0.1898730421604069</v>
      </c>
      <c r="AF1532" s="142">
        <f ca="1">(AF1505+AF1499)/AF1521</f>
        <v>0.16436138433892428</v>
      </c>
      <c r="AG1532" s="223"/>
      <c r="AH1532" s="223"/>
      <c r="AI1532" s="223"/>
      <c r="AJ1532" s="223"/>
      <c r="AK1532" s="223"/>
      <c r="AL1532" s="322"/>
      <c r="AM1532" s="322"/>
      <c r="AN1532" s="322"/>
      <c r="AO1532" s="322"/>
      <c r="AP1532" s="322"/>
      <c r="AQ1532" s="322"/>
      <c r="AR1532" s="322"/>
      <c r="AS1532" s="322"/>
      <c r="AT1532" s="322"/>
      <c r="AU1532" s="322"/>
      <c r="AV1532" s="322"/>
      <c r="AW1532" s="322"/>
      <c r="AX1532" s="322"/>
      <c r="AY1532" s="322"/>
      <c r="AZ1532" s="322"/>
      <c r="BA1532" s="322"/>
      <c r="BB1532" s="322"/>
    </row>
    <row r="1533" spans="4:54" s="83" customFormat="1">
      <c r="F1533" s="92"/>
      <c r="G1533" s="92"/>
      <c r="H1533" s="92"/>
      <c r="I1533" s="92"/>
      <c r="J1533" s="92"/>
      <c r="K1533" s="92"/>
      <c r="L1533" s="99"/>
      <c r="M1533" s="99"/>
      <c r="N1533" s="99"/>
      <c r="O1533" s="99"/>
      <c r="P1533" s="223"/>
      <c r="Q1533" s="99"/>
      <c r="R1533" s="99"/>
      <c r="S1533" s="99"/>
      <c r="T1533" s="99"/>
      <c r="U1533" s="223"/>
      <c r="V1533" s="99"/>
      <c r="W1533" s="149"/>
      <c r="X1533" s="149"/>
      <c r="Y1533" s="149"/>
      <c r="Z1533" s="223"/>
      <c r="AA1533" s="149"/>
      <c r="AB1533" s="149"/>
      <c r="AC1533" s="149"/>
      <c r="AD1533" s="149"/>
      <c r="AE1533" s="223"/>
      <c r="AF1533" s="223"/>
      <c r="AG1533" s="223"/>
      <c r="AH1533" s="223"/>
      <c r="AI1533" s="223"/>
      <c r="AJ1533" s="223"/>
      <c r="AK1533" s="223"/>
      <c r="AL1533" s="322"/>
      <c r="AM1533" s="322"/>
      <c r="AN1533" s="322"/>
      <c r="AO1533" s="322"/>
      <c r="AP1533" s="322"/>
      <c r="AQ1533" s="322"/>
      <c r="AR1533" s="322"/>
      <c r="AS1533" s="322"/>
      <c r="AT1533" s="322"/>
      <c r="AU1533" s="322"/>
      <c r="AV1533" s="322"/>
      <c r="AW1533" s="322"/>
      <c r="AX1533" s="322"/>
      <c r="AY1533" s="322"/>
      <c r="AZ1533" s="322"/>
      <c r="BA1533" s="322"/>
      <c r="BB1533" s="322"/>
    </row>
    <row r="1534" spans="4:54" s="83" customFormat="1">
      <c r="F1534" s="92"/>
      <c r="G1534" s="92"/>
      <c r="H1534" s="92"/>
      <c r="I1534" s="92"/>
      <c r="J1534" s="92"/>
      <c r="K1534" s="92"/>
      <c r="L1534" s="99"/>
      <c r="M1534" s="99"/>
      <c r="N1534" s="99"/>
      <c r="O1534" s="99"/>
      <c r="P1534" s="223"/>
      <c r="Q1534" s="99"/>
      <c r="R1534" s="99"/>
      <c r="S1534" s="99"/>
      <c r="T1534" s="99"/>
      <c r="U1534" s="223"/>
      <c r="V1534" s="99"/>
      <c r="W1534" s="149"/>
      <c r="X1534" s="149"/>
      <c r="Y1534" s="149"/>
      <c r="Z1534" s="223"/>
      <c r="AA1534" s="149"/>
      <c r="AB1534" s="149"/>
      <c r="AC1534" s="149"/>
      <c r="AD1534" s="149"/>
      <c r="AE1534" s="223"/>
      <c r="AF1534" s="223"/>
      <c r="AG1534" s="223"/>
      <c r="AH1534" s="223"/>
      <c r="AI1534" s="223"/>
      <c r="AJ1534" s="223"/>
      <c r="AK1534" s="223"/>
      <c r="AL1534" s="322"/>
      <c r="AM1534" s="322"/>
      <c r="AN1534" s="322"/>
      <c r="AO1534" s="322"/>
      <c r="AP1534" s="322"/>
      <c r="AQ1534" s="322"/>
      <c r="AR1534" s="322"/>
      <c r="AS1534" s="322"/>
      <c r="AT1534" s="322"/>
      <c r="AU1534" s="322"/>
      <c r="AV1534" s="322"/>
      <c r="AW1534" s="322"/>
      <c r="AX1534" s="322"/>
      <c r="AY1534" s="322"/>
      <c r="AZ1534" s="322"/>
      <c r="BA1534" s="322"/>
      <c r="BB1534" s="322"/>
    </row>
    <row r="1535" spans="4:54" s="83" customFormat="1">
      <c r="F1535" s="92"/>
      <c r="G1535" s="92"/>
      <c r="H1535" s="100"/>
      <c r="I1535" s="92"/>
      <c r="J1535" s="92"/>
      <c r="K1535" s="92"/>
      <c r="L1535" s="99"/>
      <c r="M1535" s="99"/>
      <c r="N1535" s="99"/>
      <c r="O1535" s="99"/>
      <c r="P1535" s="223"/>
      <c r="Q1535" s="99"/>
      <c r="R1535" s="99"/>
      <c r="S1535" s="99"/>
      <c r="T1535" s="99"/>
      <c r="U1535" s="223"/>
      <c r="V1535" s="99"/>
      <c r="W1535" s="149"/>
      <c r="X1535" s="149"/>
      <c r="Y1535" s="149"/>
      <c r="Z1535" s="223"/>
      <c r="AA1535" s="149"/>
      <c r="AB1535" s="149"/>
      <c r="AC1535" s="149"/>
      <c r="AD1535" s="149"/>
      <c r="AE1535" s="223"/>
      <c r="AF1535" s="223"/>
      <c r="AG1535" s="223"/>
      <c r="AH1535" s="223"/>
      <c r="AI1535" s="223"/>
      <c r="AJ1535" s="223"/>
      <c r="AK1535" s="223"/>
      <c r="AL1535" s="322"/>
      <c r="AM1535" s="322"/>
      <c r="AN1535" s="322"/>
      <c r="AO1535" s="322"/>
      <c r="AP1535" s="322"/>
      <c r="AQ1535" s="322"/>
      <c r="AR1535" s="322"/>
      <c r="AS1535" s="322"/>
      <c r="AT1535" s="322"/>
      <c r="AU1535" s="322"/>
      <c r="AV1535" s="322"/>
      <c r="AW1535" s="322"/>
      <c r="AX1535" s="322"/>
      <c r="AY1535" s="322"/>
      <c r="AZ1535" s="322"/>
      <c r="BA1535" s="322"/>
      <c r="BB1535" s="322"/>
    </row>
    <row r="1536" spans="4:54" s="83" customFormat="1">
      <c r="F1536" s="92"/>
      <c r="G1536" s="92"/>
      <c r="H1536" s="92"/>
      <c r="I1536" s="92"/>
      <c r="J1536" s="92"/>
      <c r="K1536" s="92"/>
      <c r="L1536" s="99"/>
      <c r="M1536" s="99"/>
      <c r="N1536" s="99"/>
      <c r="O1536" s="99"/>
      <c r="P1536" s="223"/>
      <c r="Q1536" s="99"/>
      <c r="R1536" s="99"/>
      <c r="S1536" s="99"/>
      <c r="T1536" s="99"/>
      <c r="U1536" s="223"/>
      <c r="V1536" s="99"/>
      <c r="W1536" s="149"/>
      <c r="X1536" s="149"/>
      <c r="Y1536" s="149"/>
      <c r="Z1536" s="223"/>
      <c r="AA1536" s="149"/>
      <c r="AB1536" s="149"/>
      <c r="AC1536" s="149"/>
      <c r="AD1536" s="149"/>
      <c r="AE1536" s="223"/>
      <c r="AF1536" s="223"/>
      <c r="AG1536" s="223"/>
      <c r="AH1536" s="223"/>
      <c r="AI1536" s="223"/>
      <c r="AJ1536" s="223"/>
      <c r="AK1536" s="223"/>
      <c r="AL1536" s="322"/>
      <c r="AM1536" s="322"/>
      <c r="AN1536" s="322"/>
      <c r="AO1536" s="322"/>
      <c r="AP1536" s="322"/>
      <c r="AQ1536" s="322"/>
      <c r="AR1536" s="322"/>
      <c r="AS1536" s="322"/>
      <c r="AT1536" s="322"/>
      <c r="AU1536" s="322"/>
      <c r="AV1536" s="322"/>
      <c r="AW1536" s="322"/>
      <c r="AX1536" s="322"/>
      <c r="AY1536" s="322"/>
      <c r="AZ1536" s="322"/>
      <c r="BA1536" s="322"/>
      <c r="BB1536" s="322"/>
    </row>
    <row r="1537" spans="1:54" s="83" customFormat="1">
      <c r="F1537" s="92"/>
      <c r="G1537" s="92"/>
      <c r="H1537" s="92"/>
      <c r="I1537" s="92"/>
      <c r="J1537" s="92"/>
      <c r="K1537" s="92"/>
      <c r="L1537" s="99"/>
      <c r="M1537" s="99"/>
      <c r="N1537" s="99"/>
      <c r="O1537" s="99"/>
      <c r="P1537" s="223"/>
      <c r="Q1537" s="99"/>
      <c r="R1537" s="99"/>
      <c r="S1537" s="99"/>
      <c r="T1537" s="99"/>
      <c r="U1537" s="223"/>
      <c r="V1537" s="99"/>
      <c r="W1537" s="149"/>
      <c r="X1537" s="149"/>
      <c r="Y1537" s="149"/>
      <c r="Z1537" s="223"/>
      <c r="AA1537" s="149"/>
      <c r="AB1537" s="149"/>
      <c r="AC1537" s="149"/>
      <c r="AD1537" s="149"/>
      <c r="AE1537" s="223"/>
      <c r="AF1537" s="223"/>
      <c r="AG1537" s="223"/>
      <c r="AH1537" s="223"/>
      <c r="AI1537" s="223"/>
      <c r="AJ1537" s="223"/>
      <c r="AK1537" s="223"/>
      <c r="AL1537" s="322"/>
      <c r="AM1537" s="322"/>
      <c r="AN1537" s="322"/>
      <c r="AO1537" s="322"/>
      <c r="AP1537" s="322"/>
      <c r="AQ1537" s="322"/>
      <c r="AR1537" s="322"/>
      <c r="AS1537" s="322"/>
      <c r="AT1537" s="322"/>
      <c r="AU1537" s="322"/>
      <c r="AV1537" s="322"/>
      <c r="AW1537" s="322"/>
      <c r="AX1537" s="322"/>
      <c r="AY1537" s="322"/>
      <c r="AZ1537" s="322"/>
      <c r="BA1537" s="322"/>
      <c r="BB1537" s="322"/>
    </row>
    <row r="1538" spans="1:54" s="83" customFormat="1">
      <c r="F1538" s="92"/>
      <c r="G1538" s="92"/>
      <c r="H1538" s="92"/>
      <c r="I1538" s="92"/>
      <c r="J1538" s="92"/>
      <c r="K1538" s="92"/>
      <c r="L1538" s="99"/>
      <c r="M1538" s="99"/>
      <c r="N1538" s="99"/>
      <c r="O1538" s="99"/>
      <c r="P1538" s="223"/>
      <c r="Q1538" s="99"/>
      <c r="R1538" s="99"/>
      <c r="S1538" s="99"/>
      <c r="T1538" s="99"/>
      <c r="U1538" s="223"/>
      <c r="V1538" s="99"/>
      <c r="W1538" s="149"/>
      <c r="X1538" s="149"/>
      <c r="Y1538" s="149"/>
      <c r="Z1538" s="223"/>
      <c r="AA1538" s="149"/>
      <c r="AB1538" s="149"/>
      <c r="AC1538" s="149"/>
      <c r="AD1538" s="149"/>
      <c r="AE1538" s="223"/>
      <c r="AF1538" s="223"/>
      <c r="AG1538" s="223"/>
      <c r="AH1538" s="223"/>
      <c r="AI1538" s="223"/>
      <c r="AJ1538" s="223"/>
      <c r="AK1538" s="223"/>
      <c r="AL1538" s="322"/>
      <c r="AM1538" s="322"/>
      <c r="AN1538" s="322"/>
      <c r="AO1538" s="322"/>
      <c r="AP1538" s="322"/>
      <c r="AQ1538" s="322"/>
      <c r="AR1538" s="322"/>
      <c r="AS1538" s="322"/>
      <c r="AT1538" s="322"/>
      <c r="AU1538" s="322"/>
      <c r="AV1538" s="322"/>
      <c r="AW1538" s="322"/>
      <c r="AX1538" s="322"/>
      <c r="AY1538" s="322"/>
      <c r="AZ1538" s="322"/>
      <c r="BA1538" s="322"/>
      <c r="BB1538" s="322"/>
    </row>
    <row r="1539" spans="1:54" s="83" customFormat="1">
      <c r="F1539" s="92"/>
      <c r="G1539" s="92"/>
      <c r="H1539" s="92"/>
      <c r="I1539" s="92"/>
      <c r="J1539" s="92"/>
      <c r="K1539" s="92"/>
      <c r="L1539" s="99"/>
      <c r="M1539" s="99"/>
      <c r="N1539" s="99"/>
      <c r="O1539" s="99"/>
      <c r="P1539" s="223"/>
      <c r="Q1539" s="99"/>
      <c r="R1539" s="99"/>
      <c r="S1539" s="99"/>
      <c r="T1539" s="99"/>
      <c r="U1539" s="223"/>
      <c r="V1539" s="99"/>
      <c r="W1539" s="149"/>
      <c r="X1539" s="149"/>
      <c r="Y1539" s="149"/>
      <c r="Z1539" s="223"/>
      <c r="AA1539" s="149"/>
      <c r="AB1539" s="149"/>
      <c r="AC1539" s="149"/>
      <c r="AD1539" s="149"/>
      <c r="AE1539" s="223"/>
      <c r="AF1539" s="223"/>
      <c r="AG1539" s="223"/>
      <c r="AH1539" s="223"/>
      <c r="AI1539" s="223"/>
      <c r="AJ1539" s="223"/>
      <c r="AK1539" s="223"/>
      <c r="AL1539" s="322"/>
      <c r="AM1539" s="322"/>
      <c r="AN1539" s="322"/>
      <c r="AO1539" s="322"/>
      <c r="AP1539" s="322"/>
      <c r="AQ1539" s="322"/>
      <c r="AR1539" s="322"/>
      <c r="AS1539" s="322"/>
      <c r="AT1539" s="322"/>
      <c r="AU1539" s="322"/>
      <c r="AV1539" s="322"/>
      <c r="AW1539" s="322"/>
      <c r="AX1539" s="322"/>
      <c r="AY1539" s="322"/>
      <c r="AZ1539" s="322"/>
      <c r="BA1539" s="322"/>
      <c r="BB1539" s="322"/>
    </row>
    <row r="1540" spans="1:54" s="83" customFormat="1">
      <c r="F1540" s="92"/>
      <c r="G1540" s="92"/>
      <c r="H1540" s="92"/>
      <c r="I1540" s="92"/>
      <c r="J1540" s="92"/>
      <c r="K1540" s="92"/>
      <c r="L1540" s="99"/>
      <c r="M1540" s="99"/>
      <c r="N1540" s="99"/>
      <c r="O1540" s="99"/>
      <c r="P1540" s="223"/>
      <c r="Q1540" s="99"/>
      <c r="R1540" s="99"/>
      <c r="S1540" s="99"/>
      <c r="T1540" s="99"/>
      <c r="U1540" s="223"/>
      <c r="V1540" s="99"/>
      <c r="W1540" s="149"/>
      <c r="X1540" s="149"/>
      <c r="Y1540" s="149"/>
      <c r="Z1540" s="223"/>
      <c r="AA1540" s="149"/>
      <c r="AB1540" s="149"/>
      <c r="AC1540" s="149"/>
      <c r="AD1540" s="149"/>
      <c r="AE1540" s="223"/>
      <c r="AF1540" s="223"/>
      <c r="AG1540" s="223"/>
      <c r="AH1540" s="223"/>
      <c r="AI1540" s="223"/>
      <c r="AJ1540" s="223"/>
      <c r="AK1540" s="223"/>
      <c r="AL1540" s="322"/>
      <c r="AM1540" s="322"/>
      <c r="AN1540" s="322"/>
      <c r="AO1540" s="322"/>
      <c r="AP1540" s="322"/>
      <c r="AQ1540" s="322"/>
      <c r="AR1540" s="322"/>
      <c r="AS1540" s="322"/>
      <c r="AT1540" s="322"/>
      <c r="AU1540" s="322"/>
      <c r="AV1540" s="322"/>
      <c r="AW1540" s="322"/>
      <c r="AX1540" s="322"/>
      <c r="AY1540" s="322"/>
      <c r="AZ1540" s="322"/>
      <c r="BA1540" s="322"/>
      <c r="BB1540" s="322"/>
    </row>
    <row r="1541" spans="1:54" s="83" customFormat="1">
      <c r="A1541" s="79" t="s">
        <v>40</v>
      </c>
      <c r="B1541" s="79"/>
      <c r="C1541" s="79"/>
      <c r="D1541" s="81" t="s">
        <v>258</v>
      </c>
      <c r="E1541" s="81"/>
      <c r="F1541" s="81"/>
      <c r="G1541" s="81"/>
      <c r="H1541" s="81"/>
      <c r="I1541" s="81"/>
      <c r="J1541" s="81"/>
      <c r="K1541" s="81"/>
      <c r="L1541" s="81"/>
      <c r="M1541" s="81"/>
      <c r="N1541" s="81"/>
      <c r="O1541" s="81"/>
      <c r="P1541" s="340"/>
      <c r="Q1541" s="81"/>
      <c r="R1541" s="81"/>
      <c r="S1541" s="81"/>
      <c r="T1541" s="81"/>
      <c r="U1541" s="340"/>
      <c r="V1541" s="81"/>
      <c r="W1541" s="340"/>
      <c r="X1541" s="340"/>
      <c r="Y1541" s="340"/>
      <c r="Z1541" s="340"/>
      <c r="AA1541" s="340"/>
      <c r="AB1541" s="340"/>
      <c r="AC1541" s="340"/>
      <c r="AD1541" s="340"/>
      <c r="AE1541" s="340"/>
      <c r="AF1541" s="340"/>
      <c r="AG1541" s="340"/>
      <c r="AH1541" s="340"/>
      <c r="AI1541" s="340"/>
      <c r="AJ1541" s="340"/>
      <c r="AK1541" s="340"/>
      <c r="AL1541" s="340"/>
      <c r="AM1541" s="322"/>
      <c r="AN1541" s="322"/>
      <c r="AO1541" s="322"/>
      <c r="AP1541" s="322"/>
      <c r="AQ1541" s="322"/>
      <c r="AR1541" s="322"/>
      <c r="AS1541" s="322"/>
      <c r="AT1541" s="322"/>
      <c r="AU1541" s="322"/>
      <c r="AV1541" s="322"/>
      <c r="AW1541" s="322"/>
      <c r="AX1541" s="322"/>
      <c r="AY1541" s="322"/>
      <c r="AZ1541" s="322"/>
      <c r="BA1541" s="322"/>
      <c r="BB1541" s="322"/>
    </row>
    <row r="1542" spans="1:54" s="83" customFormat="1">
      <c r="G1542" s="92"/>
      <c r="H1542" s="92"/>
      <c r="I1542" s="92"/>
      <c r="J1542" s="92"/>
      <c r="K1542" s="92"/>
      <c r="L1542" s="99"/>
      <c r="M1542" s="99"/>
      <c r="N1542" s="99"/>
      <c r="O1542" s="99"/>
      <c r="P1542" s="223"/>
      <c r="Q1542" s="99"/>
      <c r="R1542" s="99"/>
      <c r="S1542" s="99"/>
      <c r="T1542" s="99"/>
      <c r="U1542" s="223"/>
      <c r="V1542" s="99"/>
      <c r="W1542" s="149"/>
      <c r="X1542" s="149"/>
      <c r="Y1542" s="149"/>
      <c r="Z1542" s="223"/>
      <c r="AA1542" s="149"/>
      <c r="AB1542" s="149"/>
      <c r="AC1542" s="149"/>
      <c r="AD1542" s="149"/>
      <c r="AE1542" s="223"/>
      <c r="AF1542" s="223"/>
      <c r="AG1542" s="223"/>
      <c r="AH1542" s="223"/>
      <c r="AI1542" s="223"/>
      <c r="AJ1542" s="223"/>
      <c r="AK1542" s="223"/>
      <c r="AL1542" s="322"/>
      <c r="AM1542" s="322"/>
      <c r="AN1542" s="322"/>
      <c r="AO1542" s="322"/>
      <c r="AP1542" s="322"/>
      <c r="AQ1542" s="322"/>
      <c r="AR1542" s="322"/>
      <c r="AS1542" s="322"/>
      <c r="AT1542" s="322"/>
      <c r="AU1542" s="322"/>
      <c r="AV1542" s="322"/>
      <c r="AW1542" s="322"/>
      <c r="AX1542" s="322"/>
      <c r="AY1542" s="322"/>
      <c r="AZ1542" s="322"/>
      <c r="BA1542" s="322"/>
      <c r="BB1542" s="322"/>
    </row>
    <row r="1543" spans="1:54" s="83" customFormat="1">
      <c r="G1543" s="92"/>
      <c r="H1543" s="92"/>
      <c r="I1543" s="92"/>
      <c r="J1543" s="92"/>
      <c r="K1543" s="92"/>
      <c r="L1543" s="99"/>
      <c r="M1543" s="99"/>
      <c r="N1543" s="99"/>
      <c r="O1543" s="99"/>
      <c r="P1543" s="223"/>
      <c r="Q1543" s="99"/>
      <c r="R1543" s="99"/>
      <c r="S1543" s="99"/>
      <c r="T1543" s="99"/>
      <c r="U1543" s="223"/>
      <c r="V1543" s="99"/>
      <c r="W1543" s="149"/>
      <c r="X1543" s="149"/>
      <c r="Y1543" s="149"/>
      <c r="Z1543" s="380">
        <f>Z1545-Z1544</f>
        <v>1643</v>
      </c>
      <c r="AA1543" s="149"/>
      <c r="AB1543" s="149"/>
      <c r="AC1543" s="149"/>
      <c r="AD1543" s="149"/>
      <c r="AE1543" s="223"/>
      <c r="AF1543" s="223"/>
      <c r="AG1543" s="223"/>
      <c r="AH1543" s="223"/>
      <c r="AI1543" s="223"/>
      <c r="AJ1543" s="223"/>
      <c r="AK1543" s="223"/>
      <c r="AL1543" s="322"/>
      <c r="AM1543" s="322"/>
      <c r="AN1543" s="322"/>
      <c r="AO1543" s="322"/>
      <c r="AP1543" s="322"/>
      <c r="AQ1543" s="322"/>
      <c r="AR1543" s="322"/>
      <c r="AS1543" s="322"/>
      <c r="AT1543" s="322"/>
      <c r="AU1543" s="322"/>
      <c r="AV1543" s="322"/>
      <c r="AW1543" s="322"/>
      <c r="AX1543" s="322"/>
      <c r="AY1543" s="322"/>
      <c r="AZ1543" s="322"/>
      <c r="BA1543" s="322"/>
      <c r="BB1543" s="322"/>
    </row>
    <row r="1544" spans="1:54" s="83" customFormat="1">
      <c r="D1544" s="83" t="s">
        <v>961</v>
      </c>
      <c r="G1544" s="92"/>
      <c r="H1544" s="92"/>
      <c r="I1544" s="92"/>
      <c r="J1544" s="92"/>
      <c r="K1544" s="92"/>
      <c r="L1544" s="99"/>
      <c r="M1544" s="99"/>
      <c r="N1544" s="99"/>
      <c r="O1544" s="99"/>
      <c r="P1544" s="223"/>
      <c r="Q1544" s="99"/>
      <c r="R1544" s="99"/>
      <c r="S1544" s="99"/>
      <c r="T1544" s="99"/>
      <c r="U1544" s="223"/>
      <c r="V1544" s="99"/>
      <c r="W1544" s="149"/>
      <c r="X1544" s="149"/>
      <c r="Y1544" s="149"/>
      <c r="Z1544" s="380">
        <f>Z1545-Z545</f>
        <v>1480</v>
      </c>
      <c r="AA1544" s="1125">
        <f t="shared" ref="AA1544:AE1544" si="1224">AA1545-AA545</f>
        <v>317.5</v>
      </c>
      <c r="AB1544" s="1125">
        <f t="shared" si="1224"/>
        <v>452.5</v>
      </c>
      <c r="AC1544" s="1125">
        <f t="shared" si="1224"/>
        <v>271</v>
      </c>
      <c r="AD1544" s="1125">
        <f t="shared" si="1224"/>
        <v>271</v>
      </c>
      <c r="AE1544" s="223">
        <f t="shared" si="1224"/>
        <v>1312</v>
      </c>
      <c r="AF1544" s="223"/>
      <c r="AG1544" s="223"/>
      <c r="AH1544" s="223"/>
      <c r="AI1544" s="223"/>
      <c r="AJ1544" s="223"/>
      <c r="AK1544" s="223"/>
      <c r="AL1544" s="322"/>
      <c r="AM1544" s="322"/>
      <c r="AN1544" s="322"/>
      <c r="AO1544" s="322"/>
      <c r="AP1544" s="322"/>
      <c r="AQ1544" s="322"/>
      <c r="AR1544" s="322"/>
      <c r="AS1544" s="322"/>
      <c r="AT1544" s="322"/>
      <c r="AU1544" s="322"/>
      <c r="AV1544" s="322"/>
      <c r="AW1544" s="322"/>
      <c r="AX1544" s="322"/>
      <c r="AY1544" s="322"/>
      <c r="AZ1544" s="322"/>
      <c r="BA1544" s="322"/>
      <c r="BB1544" s="322"/>
    </row>
    <row r="1545" spans="1:54" s="83" customFormat="1">
      <c r="D1545" s="83" t="s">
        <v>259</v>
      </c>
      <c r="F1545" s="141"/>
      <c r="G1545" s="380">
        <f t="shared" ref="G1545:U1545" si="1225">G100+G546+G1004+G1133+G1239</f>
        <v>1858</v>
      </c>
      <c r="H1545" s="380">
        <f t="shared" si="1225"/>
        <v>1498</v>
      </c>
      <c r="I1545" s="380">
        <f t="shared" si="1225"/>
        <v>1581</v>
      </c>
      <c r="J1545" s="380">
        <f t="shared" si="1225"/>
        <v>1416</v>
      </c>
      <c r="K1545" s="380">
        <f t="shared" si="1225"/>
        <v>1621</v>
      </c>
      <c r="L1545" s="401">
        <f t="shared" si="1225"/>
        <v>460</v>
      </c>
      <c r="M1545" s="401">
        <f t="shared" si="1225"/>
        <v>346</v>
      </c>
      <c r="N1545" s="401">
        <f t="shared" si="1225"/>
        <v>423</v>
      </c>
      <c r="O1545" s="401">
        <f t="shared" si="1225"/>
        <v>680</v>
      </c>
      <c r="P1545" s="380">
        <f t="shared" si="1225"/>
        <v>1906</v>
      </c>
      <c r="Q1545" s="401">
        <f t="shared" si="1225"/>
        <v>482</v>
      </c>
      <c r="R1545" s="401">
        <f t="shared" si="1225"/>
        <v>599</v>
      </c>
      <c r="S1545" s="181">
        <f t="shared" si="1225"/>
        <v>825</v>
      </c>
      <c r="T1545" s="181">
        <f t="shared" si="1225"/>
        <v>876</v>
      </c>
      <c r="U1545" s="380">
        <f t="shared" si="1225"/>
        <v>2782</v>
      </c>
      <c r="V1545" s="401">
        <v>818</v>
      </c>
      <c r="W1545" s="987">
        <f t="shared" ref="W1545:AL1545" si="1226">W100+W546+W1004+W1133+W1239</f>
        <v>779.66666666666663</v>
      </c>
      <c r="X1545" s="987">
        <f t="shared" si="1226"/>
        <v>720.16666666666663</v>
      </c>
      <c r="Y1545" s="987">
        <f t="shared" si="1226"/>
        <v>831.16666666666663</v>
      </c>
      <c r="Z1545" s="380">
        <f t="shared" si="1226"/>
        <v>3123</v>
      </c>
      <c r="AA1545" s="987">
        <f t="shared" si="1226"/>
        <v>840.5</v>
      </c>
      <c r="AB1545" s="987">
        <f t="shared" si="1226"/>
        <v>1115.5</v>
      </c>
      <c r="AC1545" s="987">
        <f t="shared" si="1226"/>
        <v>728</v>
      </c>
      <c r="AD1545" s="987">
        <f t="shared" si="1226"/>
        <v>728</v>
      </c>
      <c r="AE1545" s="380">
        <f t="shared" si="1226"/>
        <v>3412</v>
      </c>
      <c r="AF1545" s="380">
        <f t="shared" si="1226"/>
        <v>1882</v>
      </c>
      <c r="AG1545" s="380">
        <f t="shared" si="1226"/>
        <v>1382</v>
      </c>
      <c r="AH1545" s="380">
        <f t="shared" si="1226"/>
        <v>1382</v>
      </c>
      <c r="AI1545" s="380">
        <f t="shared" si="1226"/>
        <v>1382</v>
      </c>
      <c r="AJ1545" s="380">
        <f t="shared" si="1226"/>
        <v>1382</v>
      </c>
      <c r="AK1545" s="380">
        <f>AK100+AK546+AK1004+AK1133+AK1239</f>
        <v>1603.2192688015966</v>
      </c>
      <c r="AL1545" s="380">
        <f t="shared" si="1226"/>
        <v>1603.2192688015966</v>
      </c>
      <c r="AM1545" s="322"/>
      <c r="AN1545" s="322"/>
      <c r="AO1545" s="322"/>
      <c r="AP1545" s="322"/>
      <c r="AQ1545" s="322"/>
      <c r="AR1545" s="322"/>
      <c r="AS1545" s="322"/>
      <c r="AT1545" s="322"/>
      <c r="AU1545" s="322"/>
      <c r="AV1545" s="322"/>
      <c r="AW1545" s="322"/>
      <c r="AX1545" s="322"/>
      <c r="AY1545" s="322"/>
      <c r="AZ1545" s="322"/>
      <c r="BA1545" s="322"/>
      <c r="BB1545" s="322"/>
    </row>
    <row r="1546" spans="1:54" s="83" customFormat="1">
      <c r="D1546" s="83" t="s">
        <v>260</v>
      </c>
      <c r="G1546" s="380">
        <f t="shared" ref="G1546:AL1546" si="1227">G102+G548+G1006+G1133+G1239</f>
        <v>2602</v>
      </c>
      <c r="H1546" s="380">
        <f t="shared" si="1227"/>
        <v>2213</v>
      </c>
      <c r="I1546" s="380">
        <f t="shared" si="1227"/>
        <v>2244</v>
      </c>
      <c r="J1546" s="380">
        <f t="shared" si="1227"/>
        <v>1893</v>
      </c>
      <c r="K1546" s="380">
        <f t="shared" si="1227"/>
        <v>2299</v>
      </c>
      <c r="L1546" s="401">
        <f t="shared" si="1227"/>
        <v>657</v>
      </c>
      <c r="M1546" s="401">
        <f t="shared" si="1227"/>
        <v>521</v>
      </c>
      <c r="N1546" s="401">
        <f t="shared" si="1227"/>
        <v>585</v>
      </c>
      <c r="O1546" s="401">
        <f t="shared" si="1227"/>
        <v>853</v>
      </c>
      <c r="P1546" s="380">
        <f t="shared" si="1227"/>
        <v>2613</v>
      </c>
      <c r="Q1546" s="401">
        <f t="shared" si="1227"/>
        <v>681</v>
      </c>
      <c r="R1546" s="401">
        <f t="shared" si="1227"/>
        <v>769</v>
      </c>
      <c r="S1546" s="181">
        <f t="shared" si="1227"/>
        <v>984</v>
      </c>
      <c r="T1546" s="181">
        <f t="shared" si="1227"/>
        <v>1032</v>
      </c>
      <c r="U1546" s="380">
        <f t="shared" si="1227"/>
        <v>3462</v>
      </c>
      <c r="V1546" s="401">
        <f t="shared" si="1227"/>
        <v>990</v>
      </c>
      <c r="W1546" s="987">
        <f t="shared" si="1227"/>
        <v>876.66666666666663</v>
      </c>
      <c r="X1546" s="987">
        <f t="shared" si="1227"/>
        <v>828.16666666666663</v>
      </c>
      <c r="Y1546" s="987">
        <f t="shared" si="1227"/>
        <v>913.16666666666663</v>
      </c>
      <c r="Z1546" s="380">
        <f t="shared" si="1227"/>
        <v>3622</v>
      </c>
      <c r="AA1546" s="987">
        <f t="shared" si="1227"/>
        <v>978.5</v>
      </c>
      <c r="AB1546" s="987">
        <f t="shared" si="1227"/>
        <v>1294.5</v>
      </c>
      <c r="AC1546" s="987">
        <f t="shared" si="1227"/>
        <v>829.17175318745615</v>
      </c>
      <c r="AD1546" s="987">
        <f t="shared" si="1227"/>
        <v>827.05450732035229</v>
      </c>
      <c r="AE1546" s="380">
        <f t="shared" si="1227"/>
        <v>3904</v>
      </c>
      <c r="AF1546" s="380">
        <f t="shared" si="1227"/>
        <v>2381</v>
      </c>
      <c r="AG1546" s="380">
        <f t="shared" si="1227"/>
        <v>1881</v>
      </c>
      <c r="AH1546" s="380">
        <f t="shared" si="1227"/>
        <v>1881</v>
      </c>
      <c r="AI1546" s="380">
        <f t="shared" si="1227"/>
        <v>1881</v>
      </c>
      <c r="AJ1546" s="380">
        <f t="shared" si="1227"/>
        <v>1881</v>
      </c>
      <c r="AK1546" s="380">
        <f t="shared" si="1227"/>
        <v>2102.2192688015966</v>
      </c>
      <c r="AL1546" s="380">
        <f t="shared" si="1227"/>
        <v>2102.2192688015966</v>
      </c>
      <c r="AM1546" s="322"/>
      <c r="AN1546" s="322"/>
      <c r="AO1546" s="322"/>
      <c r="AP1546" s="322"/>
      <c r="AQ1546" s="322"/>
      <c r="AR1546" s="322"/>
      <c r="AS1546" s="322"/>
      <c r="AT1546" s="322"/>
      <c r="AU1546" s="322"/>
      <c r="AV1546" s="322"/>
      <c r="AW1546" s="322"/>
      <c r="AX1546" s="322"/>
      <c r="AY1546" s="322"/>
      <c r="AZ1546" s="322"/>
      <c r="BA1546" s="322"/>
      <c r="BB1546" s="322"/>
    </row>
    <row r="1547" spans="1:54" s="83" customFormat="1">
      <c r="D1547" s="83" t="s">
        <v>261</v>
      </c>
      <c r="G1547" s="100">
        <f t="shared" ref="G1547:U1547" si="1228">G1546-G1545</f>
        <v>744</v>
      </c>
      <c r="H1547" s="100">
        <f t="shared" si="1228"/>
        <v>715</v>
      </c>
      <c r="I1547" s="100">
        <f t="shared" si="1228"/>
        <v>663</v>
      </c>
      <c r="J1547" s="100">
        <f t="shared" si="1228"/>
        <v>477</v>
      </c>
      <c r="K1547" s="100">
        <f t="shared" si="1228"/>
        <v>678</v>
      </c>
      <c r="L1547" s="401">
        <f t="shared" si="1228"/>
        <v>197</v>
      </c>
      <c r="M1547" s="401">
        <f t="shared" si="1228"/>
        <v>175</v>
      </c>
      <c r="N1547" s="401">
        <f>N1546-N1545</f>
        <v>162</v>
      </c>
      <c r="O1547" s="401">
        <f>O1546-O1545</f>
        <v>173</v>
      </c>
      <c r="P1547" s="100">
        <f t="shared" si="1228"/>
        <v>707</v>
      </c>
      <c r="Q1547" s="401">
        <f t="shared" si="1228"/>
        <v>199</v>
      </c>
      <c r="R1547" s="401">
        <f t="shared" si="1228"/>
        <v>170</v>
      </c>
      <c r="S1547" s="402">
        <f t="shared" si="1228"/>
        <v>159</v>
      </c>
      <c r="T1547" s="402">
        <f t="shared" si="1228"/>
        <v>156</v>
      </c>
      <c r="U1547" s="100">
        <f t="shared" si="1228"/>
        <v>680</v>
      </c>
      <c r="V1547" s="401">
        <v>172</v>
      </c>
      <c r="W1547" s="401">
        <f t="shared" ref="W1547:AF1547" si="1229">W1546-W1545</f>
        <v>97</v>
      </c>
      <c r="X1547" s="401">
        <f t="shared" si="1229"/>
        <v>108</v>
      </c>
      <c r="Y1547" s="401">
        <f t="shared" si="1229"/>
        <v>82</v>
      </c>
      <c r="Z1547" s="100">
        <f t="shared" si="1229"/>
        <v>499</v>
      </c>
      <c r="AA1547" s="401">
        <f t="shared" si="1229"/>
        <v>138</v>
      </c>
      <c r="AB1547" s="401">
        <f t="shared" si="1229"/>
        <v>179</v>
      </c>
      <c r="AC1547" s="401">
        <f t="shared" si="1229"/>
        <v>101.17175318745615</v>
      </c>
      <c r="AD1547" s="401">
        <f t="shared" si="1229"/>
        <v>99.054507320352286</v>
      </c>
      <c r="AE1547" s="100">
        <f t="shared" si="1229"/>
        <v>492</v>
      </c>
      <c r="AF1547" s="100">
        <f t="shared" si="1229"/>
        <v>499</v>
      </c>
      <c r="AG1547" s="100">
        <f t="shared" ref="AG1547:AL1547" si="1230">AG1546-AG1545</f>
        <v>499</v>
      </c>
      <c r="AH1547" s="100">
        <f t="shared" si="1230"/>
        <v>499</v>
      </c>
      <c r="AI1547" s="100">
        <f t="shared" si="1230"/>
        <v>499</v>
      </c>
      <c r="AJ1547" s="100">
        <f t="shared" si="1230"/>
        <v>499</v>
      </c>
      <c r="AK1547" s="100">
        <f t="shared" si="1230"/>
        <v>499</v>
      </c>
      <c r="AL1547" s="100">
        <f t="shared" si="1230"/>
        <v>499</v>
      </c>
      <c r="AM1547" s="322"/>
      <c r="AN1547" s="322"/>
      <c r="AO1547" s="322"/>
      <c r="AP1547" s="322"/>
      <c r="AQ1547" s="322"/>
      <c r="AR1547" s="322"/>
      <c r="AS1547" s="322"/>
      <c r="AT1547" s="322"/>
      <c r="AU1547" s="322"/>
      <c r="AV1547" s="322"/>
      <c r="AW1547" s="322"/>
      <c r="AX1547" s="322"/>
      <c r="AY1547" s="322"/>
      <c r="AZ1547" s="322"/>
      <c r="BA1547" s="322"/>
      <c r="BB1547" s="322"/>
    </row>
    <row r="1548" spans="1:54" s="83" customFormat="1">
      <c r="G1548" s="92"/>
      <c r="H1548" s="92"/>
      <c r="I1548" s="92"/>
      <c r="J1548" s="92"/>
      <c r="K1548" s="223"/>
      <c r="L1548" s="149"/>
      <c r="M1548" s="149"/>
      <c r="N1548" s="149"/>
      <c r="O1548" s="149"/>
      <c r="P1548" s="223"/>
      <c r="Q1548" s="149"/>
      <c r="R1548" s="149"/>
      <c r="S1548" s="149"/>
      <c r="T1548" s="149"/>
      <c r="U1548" s="223"/>
      <c r="V1548" s="149"/>
      <c r="W1548" s="149"/>
      <c r="X1548" s="149"/>
      <c r="Y1548" s="149"/>
      <c r="Z1548" s="223"/>
      <c r="AA1548" s="1125"/>
      <c r="AB1548" s="1125"/>
      <c r="AC1548" s="1125"/>
      <c r="AD1548" s="1125"/>
      <c r="AE1548" s="223"/>
      <c r="AF1548" s="223"/>
      <c r="AG1548" s="223"/>
      <c r="AH1548" s="223"/>
      <c r="AI1548" s="223"/>
      <c r="AJ1548" s="223"/>
      <c r="AK1548" s="223"/>
      <c r="AL1548" s="322"/>
      <c r="AM1548" s="322"/>
      <c r="AN1548" s="322"/>
      <c r="AO1548" s="322"/>
      <c r="AP1548" s="322"/>
      <c r="AQ1548" s="322"/>
      <c r="AR1548" s="322"/>
      <c r="AS1548" s="322"/>
      <c r="AT1548" s="322"/>
      <c r="AU1548" s="322"/>
      <c r="AV1548" s="322"/>
      <c r="AW1548" s="322"/>
      <c r="AX1548" s="322"/>
      <c r="AY1548" s="322"/>
      <c r="AZ1548" s="322"/>
      <c r="BA1548" s="322"/>
      <c r="BB1548" s="322"/>
    </row>
    <row r="1549" spans="1:54" s="83" customFormat="1">
      <c r="D1549" s="83" t="s">
        <v>305</v>
      </c>
      <c r="G1549" s="92"/>
      <c r="H1549" s="100"/>
      <c r="I1549" s="92"/>
      <c r="J1549" s="92"/>
      <c r="K1549" s="92"/>
      <c r="L1549" s="99"/>
      <c r="M1549" s="99"/>
      <c r="N1549" s="99"/>
      <c r="O1549" s="99"/>
      <c r="P1549" s="223"/>
      <c r="Q1549" s="99"/>
      <c r="R1549" s="99"/>
      <c r="S1549" s="99"/>
      <c r="T1549" s="99"/>
      <c r="U1549" s="223"/>
      <c r="V1549" s="99"/>
      <c r="W1549" s="149"/>
      <c r="X1549" s="149"/>
      <c r="Y1549" s="149"/>
      <c r="Z1549" s="223"/>
      <c r="AA1549" s="149"/>
      <c r="AB1549" s="149"/>
      <c r="AC1549" s="149"/>
      <c r="AD1549" s="149"/>
      <c r="AE1549" s="223"/>
      <c r="AF1549" s="223"/>
      <c r="AG1549" s="223"/>
      <c r="AH1549" s="223"/>
      <c r="AI1549" s="223"/>
      <c r="AJ1549" s="223"/>
      <c r="AK1549" s="223"/>
      <c r="AL1549" s="322"/>
      <c r="AM1549" s="322"/>
      <c r="AN1549" s="322"/>
      <c r="AO1549" s="322"/>
      <c r="AP1549" s="322"/>
      <c r="AQ1549" s="322"/>
      <c r="AR1549" s="322"/>
      <c r="AS1549" s="322"/>
      <c r="AT1549" s="322"/>
      <c r="AU1549" s="322"/>
      <c r="AV1549" s="322"/>
      <c r="AW1549" s="322"/>
      <c r="AX1549" s="322"/>
      <c r="AY1549" s="322"/>
      <c r="AZ1549" s="322"/>
      <c r="BA1549" s="322"/>
      <c r="BB1549" s="322"/>
    </row>
    <row r="1550" spans="1:54" s="83" customFormat="1">
      <c r="G1550" s="92"/>
      <c r="H1550" s="100"/>
      <c r="I1550" s="92"/>
      <c r="J1550" s="92"/>
      <c r="K1550" s="92"/>
      <c r="L1550" s="99"/>
      <c r="M1550" s="99"/>
      <c r="N1550" s="99"/>
      <c r="O1550" s="99"/>
      <c r="P1550" s="223"/>
      <c r="Q1550" s="99"/>
      <c r="R1550" s="99"/>
      <c r="S1550" s="99"/>
      <c r="T1550" s="99"/>
      <c r="U1550" s="223"/>
      <c r="V1550" s="99"/>
      <c r="W1550" s="149"/>
      <c r="X1550" s="149"/>
      <c r="Y1550" s="149"/>
      <c r="Z1550" s="223"/>
      <c r="AA1550" s="149"/>
      <c r="AB1550" s="149"/>
      <c r="AC1550" s="149"/>
      <c r="AD1550" s="149"/>
      <c r="AE1550" s="223"/>
      <c r="AF1550" s="223"/>
      <c r="AG1550" s="223"/>
      <c r="AH1550" s="223"/>
      <c r="AI1550" s="223"/>
      <c r="AJ1550" s="223"/>
      <c r="AK1550" s="223"/>
      <c r="AL1550" s="322"/>
      <c r="AM1550" s="322"/>
      <c r="AN1550" s="322"/>
      <c r="AO1550" s="322"/>
      <c r="AP1550" s="322"/>
      <c r="AQ1550" s="322"/>
      <c r="AR1550" s="322"/>
      <c r="AS1550" s="322"/>
      <c r="AT1550" s="322"/>
      <c r="AU1550" s="322"/>
      <c r="AV1550" s="322"/>
      <c r="AW1550" s="322"/>
      <c r="AX1550" s="322"/>
      <c r="AY1550" s="322"/>
      <c r="AZ1550" s="322"/>
      <c r="BA1550" s="322"/>
      <c r="BB1550" s="322"/>
    </row>
    <row r="1551" spans="1:54" s="83" customFormat="1">
      <c r="G1551" s="92"/>
      <c r="H1551" s="100"/>
      <c r="I1551" s="92"/>
      <c r="J1551" s="92"/>
      <c r="K1551" s="92"/>
      <c r="L1551" s="99"/>
      <c r="M1551" s="99"/>
      <c r="N1551" s="99"/>
      <c r="O1551" s="99"/>
      <c r="P1551" s="223"/>
      <c r="Q1551" s="99"/>
      <c r="R1551" s="99"/>
      <c r="S1551" s="99"/>
      <c r="T1551" s="99"/>
      <c r="U1551" s="223"/>
      <c r="V1551" s="99"/>
      <c r="W1551" s="149"/>
      <c r="X1551" s="149"/>
      <c r="Y1551" s="149"/>
      <c r="Z1551" s="223"/>
      <c r="AA1551" s="149"/>
      <c r="AB1551" s="149"/>
      <c r="AC1551" s="149"/>
      <c r="AD1551" s="149"/>
      <c r="AE1551" s="223"/>
      <c r="AF1551" s="223"/>
      <c r="AG1551" s="223"/>
      <c r="AH1551" s="223"/>
      <c r="AI1551" s="223"/>
      <c r="AJ1551" s="223"/>
      <c r="AK1551" s="223"/>
      <c r="AL1551" s="322"/>
      <c r="AM1551" s="322"/>
      <c r="AN1551" s="322"/>
      <c r="AO1551" s="322"/>
      <c r="AP1551" s="322"/>
      <c r="AQ1551" s="322"/>
      <c r="AR1551" s="322"/>
      <c r="AS1551" s="322"/>
      <c r="AT1551" s="322"/>
      <c r="AU1551" s="322"/>
      <c r="AV1551" s="322"/>
      <c r="AW1551" s="322"/>
      <c r="AX1551" s="322"/>
      <c r="AY1551" s="322"/>
      <c r="AZ1551" s="322"/>
      <c r="BA1551" s="322"/>
      <c r="BB1551" s="322"/>
    </row>
    <row r="1552" spans="1:54" s="83" customFormat="1">
      <c r="G1552" s="92"/>
      <c r="H1552" s="100"/>
      <c r="I1552" s="92"/>
      <c r="J1552" s="92"/>
      <c r="K1552" s="92"/>
      <c r="L1552" s="99"/>
      <c r="M1552" s="99"/>
      <c r="N1552" s="99"/>
      <c r="O1552" s="99"/>
      <c r="P1552" s="223"/>
      <c r="Q1552" s="99"/>
      <c r="R1552" s="99"/>
      <c r="S1552" s="99"/>
      <c r="T1552" s="99"/>
      <c r="U1552" s="223"/>
      <c r="V1552" s="99"/>
      <c r="W1552" s="149"/>
      <c r="X1552" s="149"/>
      <c r="Y1552" s="149"/>
      <c r="Z1552" s="223"/>
      <c r="AA1552" s="149"/>
      <c r="AB1552" s="149"/>
      <c r="AC1552" s="149"/>
      <c r="AD1552" s="149"/>
      <c r="AE1552" s="223"/>
      <c r="AF1552" s="223"/>
      <c r="AG1552" s="223"/>
      <c r="AH1552" s="223"/>
      <c r="AI1552" s="223"/>
      <c r="AJ1552" s="223"/>
      <c r="AK1552" s="223"/>
      <c r="AL1552" s="322"/>
      <c r="AM1552" s="322"/>
      <c r="AN1552" s="322"/>
      <c r="AO1552" s="322"/>
      <c r="AP1552" s="322"/>
      <c r="AQ1552" s="322"/>
      <c r="AR1552" s="322"/>
      <c r="AS1552" s="322"/>
      <c r="AT1552" s="322"/>
      <c r="AU1552" s="322"/>
      <c r="AV1552" s="322"/>
      <c r="AW1552" s="322"/>
      <c r="AX1552" s="322"/>
      <c r="AY1552" s="322"/>
      <c r="AZ1552" s="322"/>
      <c r="BA1552" s="322"/>
      <c r="BB1552" s="322"/>
    </row>
    <row r="1553" spans="1:54" s="83" customFormat="1">
      <c r="G1553" s="92"/>
      <c r="H1553" s="92"/>
      <c r="I1553" s="92"/>
      <c r="J1553" s="92"/>
      <c r="K1553" s="92"/>
      <c r="L1553" s="99"/>
      <c r="M1553" s="99"/>
      <c r="N1553" s="99"/>
      <c r="O1553" s="99"/>
      <c r="P1553" s="223"/>
      <c r="Q1553" s="99"/>
      <c r="R1553" s="99"/>
      <c r="S1553" s="99"/>
      <c r="T1553" s="99"/>
      <c r="U1553" s="223"/>
      <c r="V1553" s="99"/>
      <c r="W1553" s="149"/>
      <c r="X1553" s="149"/>
      <c r="Y1553" s="149"/>
      <c r="Z1553" s="223"/>
      <c r="AA1553" s="149"/>
      <c r="AB1553" s="149"/>
      <c r="AC1553" s="149"/>
      <c r="AD1553" s="149"/>
      <c r="AE1553" s="223"/>
      <c r="AF1553" s="223"/>
      <c r="AG1553" s="223"/>
      <c r="AH1553" s="223"/>
      <c r="AI1553" s="223"/>
      <c r="AJ1553" s="223"/>
      <c r="AK1553" s="223"/>
      <c r="AL1553" s="322"/>
      <c r="AM1553" s="322"/>
      <c r="AN1553" s="322"/>
      <c r="AO1553" s="322"/>
      <c r="AP1553" s="322"/>
      <c r="AQ1553" s="322"/>
      <c r="AR1553" s="322"/>
      <c r="AS1553" s="322"/>
      <c r="AT1553" s="322"/>
      <c r="AU1553" s="322"/>
      <c r="AV1553" s="322"/>
      <c r="AW1553" s="322"/>
      <c r="AX1553" s="322"/>
      <c r="AY1553" s="322"/>
      <c r="AZ1553" s="322"/>
      <c r="BA1553" s="322"/>
      <c r="BB1553" s="322"/>
    </row>
    <row r="1554" spans="1:54" s="83" customFormat="1">
      <c r="G1554" s="92"/>
      <c r="H1554" s="92"/>
      <c r="I1554" s="92"/>
      <c r="J1554" s="92"/>
      <c r="K1554" s="92"/>
      <c r="L1554" s="99"/>
      <c r="M1554" s="99"/>
      <c r="N1554" s="99"/>
      <c r="O1554" s="99"/>
      <c r="P1554" s="223"/>
      <c r="Q1554" s="99"/>
      <c r="R1554" s="99"/>
      <c r="S1554" s="99"/>
      <c r="T1554" s="99"/>
      <c r="U1554" s="223"/>
      <c r="V1554" s="99"/>
      <c r="W1554" s="149"/>
      <c r="X1554" s="149"/>
      <c r="Y1554" s="149"/>
      <c r="Z1554" s="223"/>
      <c r="AA1554" s="149"/>
      <c r="AB1554" s="149"/>
      <c r="AC1554" s="149"/>
      <c r="AD1554" s="149"/>
      <c r="AE1554" s="223"/>
      <c r="AF1554" s="223"/>
      <c r="AG1554" s="223"/>
      <c r="AH1554" s="223"/>
      <c r="AI1554" s="223"/>
      <c r="AJ1554" s="223"/>
      <c r="AK1554" s="223"/>
      <c r="AL1554" s="322"/>
      <c r="AM1554" s="322"/>
      <c r="AN1554" s="322"/>
      <c r="AO1554" s="322"/>
      <c r="AP1554" s="322"/>
      <c r="AQ1554" s="322"/>
      <c r="AR1554" s="322"/>
      <c r="AS1554" s="322"/>
      <c r="AT1554" s="322"/>
      <c r="AU1554" s="322"/>
      <c r="AV1554" s="322"/>
      <c r="AW1554" s="322"/>
      <c r="AX1554" s="322"/>
      <c r="AY1554" s="322"/>
      <c r="AZ1554" s="322"/>
      <c r="BA1554" s="322"/>
      <c r="BB1554" s="322"/>
    </row>
    <row r="1555" spans="1:54" s="83" customFormat="1">
      <c r="A1555" s="79" t="s">
        <v>40</v>
      </c>
      <c r="B1555" s="79"/>
      <c r="C1555" s="79"/>
      <c r="D1555" s="81" t="s">
        <v>893</v>
      </c>
      <c r="E1555" s="81"/>
      <c r="F1555" s="80" t="s">
        <v>0</v>
      </c>
      <c r="G1555" s="80" t="s">
        <v>0</v>
      </c>
      <c r="H1555" s="80" t="s">
        <v>0</v>
      </c>
      <c r="I1555" s="80" t="s">
        <v>0</v>
      </c>
      <c r="J1555" s="319" t="s">
        <v>0</v>
      </c>
      <c r="K1555" s="319" t="s">
        <v>0</v>
      </c>
      <c r="L1555" s="319"/>
      <c r="M1555" s="319"/>
      <c r="N1555" s="319"/>
      <c r="O1555" s="319"/>
      <c r="P1555" s="403" t="s">
        <v>0</v>
      </c>
      <c r="Q1555" s="319"/>
      <c r="R1555" s="319"/>
      <c r="S1555" s="319"/>
      <c r="T1555" s="319"/>
      <c r="U1555" s="340"/>
      <c r="V1555" s="340"/>
      <c r="W1555" s="340"/>
      <c r="X1555" s="340"/>
      <c r="Y1555" s="340"/>
      <c r="Z1555" s="340"/>
      <c r="AA1555" s="340"/>
      <c r="AB1555" s="340"/>
      <c r="AC1555" s="340"/>
      <c r="AD1555" s="340"/>
      <c r="AE1555" s="340"/>
      <c r="AF1555" s="340"/>
      <c r="AG1555" s="340"/>
      <c r="AH1555" s="340"/>
      <c r="AI1555" s="340"/>
      <c r="AJ1555" s="340"/>
      <c r="AK1555" s="340"/>
      <c r="AL1555" s="340"/>
      <c r="AM1555" s="322"/>
      <c r="AN1555" s="322"/>
      <c r="AO1555" s="322"/>
      <c r="AP1555" s="322"/>
      <c r="AQ1555" s="322"/>
      <c r="AR1555" s="322"/>
      <c r="AS1555" s="322"/>
      <c r="AT1555" s="322"/>
      <c r="AU1555" s="322"/>
      <c r="AV1555" s="322"/>
      <c r="AW1555" s="322"/>
      <c r="AX1555" s="322"/>
      <c r="AY1555" s="322"/>
      <c r="AZ1555" s="322"/>
      <c r="BA1555" s="322"/>
      <c r="BB1555" s="322"/>
    </row>
    <row r="1556" spans="1:54" s="83" customFormat="1" hidden="1">
      <c r="D1556" s="327" t="s">
        <v>138</v>
      </c>
      <c r="E1556" s="327"/>
      <c r="F1556" s="76"/>
      <c r="G1556" s="404">
        <v>2878</v>
      </c>
      <c r="H1556" s="404">
        <v>2278</v>
      </c>
      <c r="I1556" s="404">
        <v>1962</v>
      </c>
      <c r="J1556" s="404">
        <v>3056</v>
      </c>
      <c r="K1556" s="404">
        <v>5049</v>
      </c>
      <c r="L1556" s="404"/>
      <c r="M1556" s="404"/>
      <c r="N1556" s="404"/>
      <c r="O1556" s="404"/>
      <c r="P1556" s="130">
        <v>4438</v>
      </c>
      <c r="Q1556" s="404"/>
      <c r="R1556" s="404"/>
      <c r="S1556" s="404"/>
      <c r="T1556" s="404"/>
      <c r="U1556" s="223"/>
      <c r="V1556" s="223"/>
      <c r="W1556" s="223"/>
      <c r="X1556" s="223"/>
      <c r="Y1556" s="223"/>
      <c r="Z1556" s="223"/>
      <c r="AA1556" s="223"/>
      <c r="AB1556" s="223"/>
      <c r="AC1556" s="223"/>
      <c r="AD1556" s="223"/>
      <c r="AE1556" s="223"/>
      <c r="AF1556" s="223"/>
      <c r="AG1556" s="223"/>
      <c r="AH1556" s="223"/>
      <c r="AI1556" s="223"/>
      <c r="AJ1556" s="223"/>
      <c r="AK1556" s="223"/>
      <c r="AL1556" s="322"/>
      <c r="AM1556" s="322"/>
      <c r="AN1556" s="322"/>
      <c r="AO1556" s="322"/>
      <c r="AP1556" s="322"/>
      <c r="AQ1556" s="322"/>
      <c r="AR1556" s="322"/>
      <c r="AS1556" s="322"/>
      <c r="AT1556" s="322"/>
      <c r="AU1556" s="322"/>
      <c r="AV1556" s="322"/>
      <c r="AW1556" s="322"/>
      <c r="AX1556" s="322"/>
      <c r="AY1556" s="322"/>
      <c r="AZ1556" s="322"/>
      <c r="BA1556" s="322"/>
      <c r="BB1556" s="322"/>
    </row>
    <row r="1557" spans="1:54" s="83" customFormat="1" hidden="1">
      <c r="D1557" s="327" t="s">
        <v>139</v>
      </c>
      <c r="E1557" s="327"/>
      <c r="F1557" s="76"/>
      <c r="G1557" s="404">
        <v>1858</v>
      </c>
      <c r="H1557" s="404">
        <v>1498</v>
      </c>
      <c r="I1557" s="404">
        <v>1581</v>
      </c>
      <c r="J1557" s="404">
        <v>1416</v>
      </c>
      <c r="K1557" s="404">
        <v>1621</v>
      </c>
      <c r="L1557" s="404"/>
      <c r="M1557" s="404"/>
      <c r="N1557" s="404"/>
      <c r="O1557" s="404"/>
      <c r="P1557" s="130">
        <v>1906</v>
      </c>
      <c r="Q1557" s="404"/>
      <c r="R1557" s="404"/>
      <c r="S1557" s="404"/>
      <c r="T1557" s="404"/>
      <c r="U1557" s="223"/>
      <c r="V1557" s="223"/>
      <c r="W1557" s="223"/>
      <c r="X1557" s="223"/>
      <c r="Y1557" s="223"/>
      <c r="Z1557" s="223"/>
      <c r="AA1557" s="223"/>
      <c r="AB1557" s="223"/>
      <c r="AC1557" s="223"/>
      <c r="AD1557" s="223"/>
      <c r="AE1557" s="223"/>
      <c r="AF1557" s="223"/>
      <c r="AG1557" s="223"/>
      <c r="AH1557" s="223"/>
      <c r="AI1557" s="223"/>
      <c r="AJ1557" s="223"/>
      <c r="AK1557" s="223"/>
      <c r="AL1557" s="322"/>
      <c r="AM1557" s="322"/>
      <c r="AN1557" s="322"/>
      <c r="AO1557" s="322"/>
      <c r="AP1557" s="322"/>
      <c r="AQ1557" s="322"/>
      <c r="AR1557" s="322"/>
      <c r="AS1557" s="322"/>
      <c r="AT1557" s="322"/>
      <c r="AU1557" s="322"/>
      <c r="AV1557" s="322"/>
      <c r="AW1557" s="322"/>
      <c r="AX1557" s="322"/>
      <c r="AY1557" s="322"/>
      <c r="AZ1557" s="322"/>
      <c r="BA1557" s="322"/>
      <c r="BB1557" s="322"/>
    </row>
    <row r="1558" spans="1:54" s="83" customFormat="1" hidden="1">
      <c r="D1558" s="327" t="s">
        <v>140</v>
      </c>
      <c r="E1558" s="327"/>
      <c r="F1558" s="76"/>
      <c r="G1558" s="404">
        <v>744</v>
      </c>
      <c r="H1558" s="404">
        <v>715</v>
      </c>
      <c r="I1558" s="404">
        <v>663</v>
      </c>
      <c r="J1558" s="404">
        <v>477</v>
      </c>
      <c r="K1558" s="404">
        <v>678</v>
      </c>
      <c r="L1558" s="404"/>
      <c r="M1558" s="404"/>
      <c r="N1558" s="404"/>
      <c r="O1558" s="404"/>
      <c r="P1558" s="130">
        <v>707</v>
      </c>
      <c r="Q1558" s="404"/>
      <c r="R1558" s="404"/>
      <c r="S1558" s="404"/>
      <c r="T1558" s="404"/>
      <c r="U1558" s="223"/>
      <c r="V1558" s="223"/>
      <c r="W1558" s="223"/>
      <c r="X1558" s="223"/>
      <c r="Y1558" s="223"/>
      <c r="Z1558" s="223"/>
      <c r="AA1558" s="223"/>
      <c r="AB1558" s="223"/>
      <c r="AC1558" s="223"/>
      <c r="AD1558" s="223"/>
      <c r="AE1558" s="223"/>
      <c r="AF1558" s="223"/>
      <c r="AG1558" s="223"/>
      <c r="AH1558" s="223"/>
      <c r="AI1558" s="223"/>
      <c r="AJ1558" s="223"/>
      <c r="AK1558" s="223"/>
      <c r="AL1558" s="322"/>
      <c r="AM1558" s="322"/>
      <c r="AN1558" s="322"/>
      <c r="AO1558" s="322"/>
      <c r="AP1558" s="322"/>
      <c r="AQ1558" s="322"/>
      <c r="AR1558" s="322"/>
      <c r="AS1558" s="322"/>
      <c r="AT1558" s="322"/>
      <c r="AU1558" s="322"/>
      <c r="AV1558" s="322"/>
      <c r="AW1558" s="322"/>
      <c r="AX1558" s="322"/>
      <c r="AY1558" s="322"/>
      <c r="AZ1558" s="322"/>
      <c r="BA1558" s="322"/>
      <c r="BB1558" s="322"/>
    </row>
    <row r="1559" spans="1:54" s="83" customFormat="1" hidden="1">
      <c r="D1559" s="327" t="s">
        <v>141</v>
      </c>
      <c r="E1559" s="327"/>
      <c r="F1559" s="76"/>
      <c r="G1559" s="404">
        <v>325</v>
      </c>
      <c r="H1559" s="404">
        <v>44</v>
      </c>
      <c r="I1559" s="404">
        <v>82</v>
      </c>
      <c r="J1559" s="404">
        <v>114</v>
      </c>
      <c r="K1559" s="404">
        <v>309</v>
      </c>
      <c r="L1559" s="404"/>
      <c r="M1559" s="404"/>
      <c r="N1559" s="404"/>
      <c r="O1559" s="404"/>
      <c r="P1559" s="130">
        <v>284</v>
      </c>
      <c r="Q1559" s="404"/>
      <c r="R1559" s="404"/>
      <c r="S1559" s="404"/>
      <c r="T1559" s="404"/>
      <c r="U1559" s="223"/>
      <c r="V1559" s="223"/>
      <c r="W1559" s="223"/>
      <c r="X1559" s="223"/>
      <c r="Y1559" s="223"/>
      <c r="Z1559" s="223"/>
      <c r="AA1559" s="223"/>
      <c r="AB1559" s="223"/>
      <c r="AC1559" s="223"/>
      <c r="AD1559" s="223"/>
      <c r="AE1559" s="223"/>
      <c r="AF1559" s="223"/>
      <c r="AG1559" s="223"/>
      <c r="AH1559" s="223"/>
      <c r="AI1559" s="223"/>
      <c r="AJ1559" s="223"/>
      <c r="AK1559" s="223"/>
      <c r="AL1559" s="322"/>
      <c r="AM1559" s="322"/>
      <c r="AN1559" s="322"/>
      <c r="AO1559" s="322"/>
      <c r="AP1559" s="322"/>
      <c r="AQ1559" s="322"/>
      <c r="AR1559" s="322"/>
      <c r="AS1559" s="322"/>
      <c r="AT1559" s="322"/>
      <c r="AU1559" s="322"/>
      <c r="AV1559" s="322"/>
      <c r="AW1559" s="322"/>
      <c r="AX1559" s="322"/>
      <c r="AY1559" s="322"/>
      <c r="AZ1559" s="322"/>
      <c r="BA1559" s="322"/>
      <c r="BB1559" s="322"/>
    </row>
    <row r="1560" spans="1:54" s="83" customFormat="1" hidden="1">
      <c r="D1560" s="327"/>
      <c r="E1560" s="327"/>
      <c r="F1560" s="76"/>
      <c r="G1560" s="404"/>
      <c r="H1560" s="404"/>
      <c r="I1560" s="404"/>
      <c r="J1560" s="404"/>
      <c r="K1560" s="404"/>
      <c r="L1560" s="404"/>
      <c r="M1560" s="404"/>
      <c r="N1560" s="404"/>
      <c r="O1560" s="404"/>
      <c r="P1560" s="130"/>
      <c r="Q1560" s="404"/>
      <c r="R1560" s="404"/>
      <c r="S1560" s="404"/>
      <c r="T1560" s="404"/>
      <c r="U1560" s="223"/>
      <c r="V1560" s="223"/>
      <c r="W1560" s="223"/>
      <c r="X1560" s="223"/>
      <c r="Y1560" s="223"/>
      <c r="Z1560" s="223"/>
      <c r="AA1560" s="223"/>
      <c r="AB1560" s="223"/>
      <c r="AC1560" s="223"/>
      <c r="AD1560" s="223"/>
      <c r="AE1560" s="223"/>
      <c r="AF1560" s="223"/>
      <c r="AG1560" s="223"/>
      <c r="AH1560" s="223"/>
      <c r="AI1560" s="223"/>
      <c r="AJ1560" s="223"/>
      <c r="AK1560" s="223"/>
      <c r="AL1560" s="322"/>
      <c r="AM1560" s="322"/>
      <c r="AN1560" s="322"/>
      <c r="AO1560" s="322"/>
      <c r="AP1560" s="322"/>
      <c r="AQ1560" s="322"/>
      <c r="AR1560" s="322"/>
      <c r="AS1560" s="322"/>
      <c r="AT1560" s="322"/>
      <c r="AU1560" s="322"/>
      <c r="AV1560" s="322"/>
      <c r="AW1560" s="322"/>
      <c r="AX1560" s="322"/>
      <c r="AY1560" s="322"/>
      <c r="AZ1560" s="322"/>
      <c r="BA1560" s="322"/>
      <c r="BB1560" s="322"/>
    </row>
    <row r="1561" spans="1:54" s="83" customFormat="1" hidden="1">
      <c r="D1561" s="327" t="s">
        <v>334</v>
      </c>
      <c r="E1561" s="327"/>
      <c r="F1561" s="76"/>
      <c r="G1561" s="404"/>
      <c r="H1561" s="404"/>
      <c r="I1561" s="404"/>
      <c r="J1561" s="404"/>
      <c r="K1561" s="404"/>
      <c r="L1561" s="404"/>
      <c r="M1561" s="404"/>
      <c r="N1561" s="404"/>
      <c r="O1561" s="404"/>
      <c r="P1561" s="130"/>
      <c r="Q1561" s="404"/>
      <c r="R1561" s="404"/>
      <c r="S1561" s="404"/>
      <c r="T1561" s="404"/>
      <c r="U1561" s="223"/>
      <c r="V1561" s="223"/>
      <c r="W1561" s="223"/>
      <c r="X1561" s="223"/>
      <c r="Y1561" s="223"/>
      <c r="Z1561" s="223"/>
      <c r="AA1561" s="223"/>
      <c r="AB1561" s="223"/>
      <c r="AC1561" s="223"/>
      <c r="AD1561" s="223"/>
      <c r="AE1561" s="223"/>
      <c r="AF1561" s="223"/>
      <c r="AG1561" s="223"/>
      <c r="AH1561" s="223"/>
      <c r="AI1561" s="223"/>
      <c r="AJ1561" s="223"/>
      <c r="AK1561" s="223"/>
      <c r="AL1561" s="322"/>
      <c r="AM1561" s="322"/>
      <c r="AN1561" s="322"/>
      <c r="AO1561" s="322"/>
      <c r="AP1561" s="322"/>
      <c r="AQ1561" s="322"/>
      <c r="AR1561" s="322"/>
      <c r="AS1561" s="322"/>
      <c r="AT1561" s="322"/>
      <c r="AU1561" s="322"/>
      <c r="AV1561" s="322"/>
      <c r="AW1561" s="322"/>
      <c r="AX1561" s="322"/>
      <c r="AY1561" s="322"/>
      <c r="AZ1561" s="322"/>
      <c r="BA1561" s="322"/>
      <c r="BB1561" s="322"/>
    </row>
    <row r="1562" spans="1:54" s="83" customFormat="1" hidden="1">
      <c r="D1562" s="327" t="s">
        <v>336</v>
      </c>
      <c r="E1562" s="327"/>
      <c r="F1562" s="76"/>
      <c r="G1562" s="404"/>
      <c r="H1562" s="404"/>
      <c r="I1562" s="404"/>
      <c r="J1562" s="404"/>
      <c r="K1562" s="404"/>
      <c r="L1562" s="404"/>
      <c r="M1562" s="404"/>
      <c r="N1562" s="404"/>
      <c r="O1562" s="404"/>
      <c r="P1562" s="405">
        <f>(P1545-P1658)/P1564</f>
        <v>0.64678899082568808</v>
      </c>
      <c r="Q1562" s="404"/>
      <c r="R1562" s="404"/>
      <c r="S1562" s="404"/>
      <c r="T1562" s="404"/>
      <c r="U1562" s="380">
        <f>U1546-U1658</f>
        <v>1843</v>
      </c>
      <c r="V1562" s="380"/>
      <c r="W1562" s="380"/>
      <c r="X1562" s="380"/>
      <c r="Y1562" s="380"/>
      <c r="Z1562" s="223"/>
      <c r="AA1562" s="223"/>
      <c r="AB1562" s="223"/>
      <c r="AC1562" s="223"/>
      <c r="AD1562" s="223"/>
      <c r="AE1562" s="223"/>
      <c r="AF1562" s="223"/>
      <c r="AG1562" s="223"/>
      <c r="AH1562" s="223"/>
      <c r="AI1562" s="223"/>
      <c r="AJ1562" s="223"/>
      <c r="AK1562" s="223"/>
      <c r="AL1562" s="322"/>
      <c r="AM1562" s="322"/>
      <c r="AN1562" s="322"/>
      <c r="AO1562" s="322"/>
      <c r="AP1562" s="322"/>
      <c r="AQ1562" s="322"/>
      <c r="AR1562" s="322"/>
      <c r="AS1562" s="322"/>
      <c r="AT1562" s="322"/>
      <c r="AU1562" s="322"/>
      <c r="AV1562" s="322"/>
      <c r="AW1562" s="322"/>
      <c r="AX1562" s="322"/>
      <c r="AY1562" s="322"/>
      <c r="AZ1562" s="322"/>
      <c r="BA1562" s="322"/>
      <c r="BB1562" s="322"/>
    </row>
    <row r="1563" spans="1:54" s="83" customFormat="1" hidden="1">
      <c r="D1563" s="327" t="s">
        <v>337</v>
      </c>
      <c r="E1563" s="327"/>
      <c r="F1563" s="76"/>
      <c r="G1563" s="404"/>
      <c r="H1563" s="404"/>
      <c r="I1563" s="404"/>
      <c r="J1563" s="404"/>
      <c r="K1563" s="404"/>
      <c r="L1563" s="404"/>
      <c r="M1563" s="404"/>
      <c r="N1563" s="404"/>
      <c r="O1563" s="404"/>
      <c r="P1563" s="352">
        <f>-P1673/P1564</f>
        <v>4.4342507645259939E-2</v>
      </c>
      <c r="Q1563" s="404"/>
      <c r="R1563" s="404"/>
      <c r="S1563" s="404"/>
      <c r="T1563" s="404"/>
      <c r="U1563" s="223"/>
      <c r="V1563" s="223"/>
      <c r="W1563" s="223"/>
      <c r="X1563" s="223"/>
      <c r="Y1563" s="223"/>
      <c r="Z1563" s="223"/>
      <c r="AA1563" s="223"/>
      <c r="AB1563" s="223"/>
      <c r="AC1563" s="223"/>
      <c r="AD1563" s="223"/>
      <c r="AE1563" s="223"/>
      <c r="AF1563" s="223"/>
      <c r="AG1563" s="223"/>
      <c r="AH1563" s="223"/>
      <c r="AI1563" s="223"/>
      <c r="AJ1563" s="223"/>
      <c r="AK1563" s="223"/>
      <c r="AL1563" s="322"/>
      <c r="AM1563" s="322"/>
      <c r="AN1563" s="322"/>
      <c r="AO1563" s="322"/>
      <c r="AP1563" s="322"/>
      <c r="AQ1563" s="322"/>
      <c r="AR1563" s="322"/>
      <c r="AS1563" s="322"/>
      <c r="AT1563" s="322"/>
      <c r="AU1563" s="322"/>
      <c r="AV1563" s="322"/>
      <c r="AW1563" s="322"/>
      <c r="AX1563" s="322"/>
      <c r="AY1563" s="322"/>
      <c r="AZ1563" s="322"/>
      <c r="BA1563" s="322"/>
      <c r="BB1563" s="322"/>
    </row>
    <row r="1564" spans="1:54" s="83" customFormat="1" hidden="1">
      <c r="D1564" s="327" t="s">
        <v>335</v>
      </c>
      <c r="E1564" s="327"/>
      <c r="F1564" s="76"/>
      <c r="G1564" s="404"/>
      <c r="H1564" s="404"/>
      <c r="I1564" s="404"/>
      <c r="J1564" s="404"/>
      <c r="K1564" s="404"/>
      <c r="L1564" s="404"/>
      <c r="M1564" s="404"/>
      <c r="N1564" s="404"/>
      <c r="O1564" s="404"/>
      <c r="P1564" s="130">
        <f>P1253-K1253</f>
        <v>654</v>
      </c>
      <c r="Q1564" s="404"/>
      <c r="R1564" s="404"/>
      <c r="S1564" s="404"/>
      <c r="T1564" s="404"/>
      <c r="U1564" s="223"/>
      <c r="V1564" s="223"/>
      <c r="W1564" s="223"/>
      <c r="X1564" s="223"/>
      <c r="Y1564" s="223"/>
      <c r="Z1564" s="223"/>
      <c r="AA1564" s="223"/>
      <c r="AB1564" s="223"/>
      <c r="AC1564" s="223"/>
      <c r="AD1564" s="223"/>
      <c r="AE1564" s="223"/>
      <c r="AF1564" s="223"/>
      <c r="AG1564" s="223"/>
      <c r="AH1564" s="223"/>
      <c r="AI1564" s="223"/>
      <c r="AJ1564" s="223"/>
      <c r="AK1564" s="223"/>
      <c r="AL1564" s="322"/>
      <c r="AM1564" s="322"/>
      <c r="AN1564" s="322"/>
      <c r="AO1564" s="322"/>
      <c r="AP1564" s="322"/>
      <c r="AQ1564" s="322"/>
      <c r="AR1564" s="322"/>
      <c r="AS1564" s="322"/>
      <c r="AT1564" s="322"/>
      <c r="AU1564" s="322"/>
      <c r="AV1564" s="322"/>
      <c r="AW1564" s="322"/>
      <c r="AX1564" s="322"/>
      <c r="AY1564" s="322"/>
      <c r="AZ1564" s="322"/>
      <c r="BA1564" s="322"/>
      <c r="BB1564" s="322"/>
    </row>
    <row r="1565" spans="1:54" s="83" customFormat="1">
      <c r="D1565" s="1065" t="s">
        <v>333</v>
      </c>
      <c r="E1565" s="1065"/>
      <c r="F1565" s="855"/>
      <c r="G1565" s="1066"/>
      <c r="H1565" s="1066"/>
      <c r="I1565" s="1066"/>
      <c r="J1565" s="1066"/>
      <c r="K1565" s="1066"/>
      <c r="L1565" s="1067"/>
      <c r="M1565" s="1067"/>
      <c r="N1565" s="1067"/>
      <c r="O1565" s="1067"/>
      <c r="P1565" s="1066"/>
      <c r="Q1565" s="1067"/>
      <c r="R1565" s="1067"/>
      <c r="S1565" s="1067"/>
      <c r="T1565" s="1067"/>
      <c r="U1565" s="1068"/>
      <c r="V1565" s="1067"/>
      <c r="W1565" s="896"/>
      <c r="X1565" s="896"/>
      <c r="Y1565" s="896"/>
      <c r="Z1565" s="1068"/>
      <c r="AA1565" s="896"/>
      <c r="AB1565" s="896"/>
      <c r="AC1565" s="896"/>
      <c r="AD1565" s="896"/>
      <c r="AE1565" s="1068"/>
      <c r="AF1565" s="1068"/>
      <c r="AG1565" s="1068"/>
      <c r="AH1565" s="1068"/>
      <c r="AI1565" s="1068"/>
      <c r="AJ1565" s="1068"/>
      <c r="AK1565" s="1068"/>
      <c r="AL1565" s="949"/>
      <c r="AM1565" s="949"/>
      <c r="AN1565" s="949"/>
      <c r="AO1565" s="949"/>
      <c r="AP1565" s="322"/>
      <c r="AQ1565" s="322"/>
      <c r="AR1565" s="322"/>
      <c r="AS1565" s="322"/>
      <c r="AT1565" s="322"/>
      <c r="AU1565" s="322"/>
      <c r="AV1565" s="322"/>
      <c r="AW1565" s="322"/>
      <c r="AX1565" s="322"/>
      <c r="AY1565" s="322"/>
      <c r="AZ1565" s="322"/>
      <c r="BA1565" s="322"/>
      <c r="BB1565" s="322"/>
    </row>
    <row r="1566" spans="1:54" s="83" customFormat="1">
      <c r="D1566" s="1069" t="s">
        <v>881</v>
      </c>
      <c r="E1566" s="1069"/>
      <c r="F1566" s="855"/>
      <c r="G1566" s="1066">
        <f t="shared" ref="G1566:O1566" si="1231">IF(G1281&lt;0,G1319,G1319*(1-G1281))</f>
        <v>1985.5696125907989</v>
      </c>
      <c r="H1566" s="1066">
        <f t="shared" si="1231"/>
        <v>1274.6836313617607</v>
      </c>
      <c r="I1566" s="1066">
        <f t="shared" si="1231"/>
        <v>2075</v>
      </c>
      <c r="J1566" s="1066">
        <f t="shared" si="1231"/>
        <v>2176.6363636363635</v>
      </c>
      <c r="K1566" s="1066">
        <f t="shared" si="1231"/>
        <v>3563.0728155339802</v>
      </c>
      <c r="L1566" s="1067">
        <f t="shared" si="1231"/>
        <v>1028.9821124361158</v>
      </c>
      <c r="M1566" s="1067">
        <f t="shared" si="1231"/>
        <v>908.09090909090912</v>
      </c>
      <c r="N1566" s="1067">
        <f t="shared" si="1231"/>
        <v>1641.9215080346105</v>
      </c>
      <c r="O1566" s="1067">
        <f t="shared" si="1231"/>
        <v>778.31669044222531</v>
      </c>
      <c r="P1566" s="1066">
        <f>SUM(L1566:O1566)</f>
        <v>4357.3112200038604</v>
      </c>
      <c r="Q1566" s="1067">
        <f>IF(Q1281&lt;0,Q1319,Q1319*(1-Q1281))</f>
        <v>899.26567164179096</v>
      </c>
      <c r="R1566" s="1067">
        <f>IF(R1281&lt;0,R1319,R1319*(1-R1281))</f>
        <v>838.0102476515799</v>
      </c>
      <c r="S1566" s="1067">
        <f>IF(S1281&lt;0,S1319,S1319*(1-S1281))</f>
        <v>716.39434889434904</v>
      </c>
      <c r="T1566" s="1067">
        <f>IF(T1281&lt;0,T1319,T1319*(1-T1281))</f>
        <v>606</v>
      </c>
      <c r="U1566" s="1066">
        <f>SUM(Q1566:T1566)</f>
        <v>3059.67026818772</v>
      </c>
      <c r="V1566" s="1067">
        <f>IF(V1281&lt;0,V1319,V1319*(1-V1281))</f>
        <v>552.11081794195252</v>
      </c>
      <c r="W1566" s="1067">
        <f>IF(W1281&lt;0,W1319,W1319*(1-W1281))</f>
        <v>103.51190476190477</v>
      </c>
      <c r="X1566" s="1067">
        <f ca="1">IF(X1281&lt;0,X1319,X1319*(1-X1281))</f>
        <v>297.15909090909088</v>
      </c>
      <c r="Y1566" s="1067">
        <f ca="1">IF(Y1281&lt;0,Y1319,Y1319*(1-Y1281))</f>
        <v>692.85959853599991</v>
      </c>
      <c r="Z1566" s="1066" t="e">
        <f ca="1">SUM(V1566:Y1566)</f>
        <v>#VALUE!</v>
      </c>
      <c r="AA1566" s="1067" t="e">
        <f ca="1">IF(AA1281&lt;0,AA1319,AA1319*(1-AA1281))</f>
        <v>#VALUE!</v>
      </c>
      <c r="AB1566" s="1067" t="e">
        <f ca="1">IF(AB1281&lt;0,AB1319,AB1319*(1-AB1281))</f>
        <v>#VALUE!</v>
      </c>
      <c r="AC1566" s="1067" t="e">
        <f ca="1">IF(AC1281&lt;0,AC1319,AC1319*(1-AC1281))</f>
        <v>#VALUE!</v>
      </c>
      <c r="AD1566" s="1067" t="e">
        <f ca="1">IF(AD1281&lt;0,AD1319,AD1319*(1-AD1281))</f>
        <v>#VALUE!</v>
      </c>
      <c r="AE1566" s="1066" t="e">
        <f ca="1">SUM(AA1566:AD1566)</f>
        <v>#VALUE!</v>
      </c>
      <c r="AF1566" s="1066" t="e">
        <f t="shared" ref="AF1566:AL1566" ca="1" si="1232">IF(AF1281&lt;0,AF1319,AF1319*(1-AF1281))</f>
        <v>#VALUE!</v>
      </c>
      <c r="AG1566" s="1066" t="e">
        <f t="shared" ca="1" si="1232"/>
        <v>#VALUE!</v>
      </c>
      <c r="AH1566" s="1066" t="e">
        <f t="shared" ca="1" si="1232"/>
        <v>#VALUE!</v>
      </c>
      <c r="AI1566" s="1066" t="e">
        <f t="shared" ca="1" si="1232"/>
        <v>#VALUE!</v>
      </c>
      <c r="AJ1566" s="1066" t="e">
        <f t="shared" ca="1" si="1232"/>
        <v>#VALUE!</v>
      </c>
      <c r="AK1566" s="1066" t="e">
        <f t="shared" ca="1" si="1232"/>
        <v>#VALUE!</v>
      </c>
      <c r="AL1566" s="1066" t="e">
        <f t="shared" ca="1" si="1232"/>
        <v>#VALUE!</v>
      </c>
      <c r="AM1566" s="949"/>
      <c r="AN1566" s="949"/>
      <c r="AO1566" s="949"/>
      <c r="AP1566" s="322"/>
      <c r="AQ1566" s="322"/>
      <c r="AR1566" s="322"/>
      <c r="AS1566" s="322"/>
      <c r="AT1566" s="322"/>
      <c r="AU1566" s="322"/>
      <c r="AV1566" s="322"/>
      <c r="AW1566" s="322"/>
      <c r="AX1566" s="322"/>
      <c r="AY1566" s="322"/>
      <c r="AZ1566" s="322"/>
      <c r="BA1566" s="322"/>
      <c r="BB1566" s="322"/>
    </row>
    <row r="1567" spans="1:54" s="83" customFormat="1">
      <c r="D1567" s="1069" t="s">
        <v>338</v>
      </c>
      <c r="E1567" s="1069"/>
      <c r="F1567" s="855"/>
      <c r="G1567" s="1066">
        <f t="shared" ref="G1567:O1567" si="1233">IF(G1281&lt;0,G1591,G1591*G1281)</f>
        <v>472.45096852300242</v>
      </c>
      <c r="H1567" s="1066">
        <f t="shared" si="1233"/>
        <v>632.25309491059147</v>
      </c>
      <c r="I1567" s="1066">
        <f t="shared" si="1233"/>
        <v>1366</v>
      </c>
      <c r="J1567" s="1066">
        <f t="shared" si="1233"/>
        <v>499.38267813267817</v>
      </c>
      <c r="K1567" s="1066">
        <f t="shared" si="1233"/>
        <v>543.20388349514565</v>
      </c>
      <c r="L1567" s="1067">
        <f t="shared" si="1233"/>
        <v>121.33730834752981</v>
      </c>
      <c r="M1567" s="1067">
        <f t="shared" si="1233"/>
        <v>128.36363636363637</v>
      </c>
      <c r="N1567" s="1067">
        <f t="shared" si="1233"/>
        <v>77.268232385661307</v>
      </c>
      <c r="O1567" s="1067">
        <f t="shared" si="1233"/>
        <v>148.93009985734665</v>
      </c>
      <c r="P1567" s="1066">
        <f t="shared" ref="P1567:P1573" si="1234">SUM(L1567:O1567)</f>
        <v>475.89927695417413</v>
      </c>
      <c r="Q1567" s="1067">
        <f>IF(Q1281&lt;0,Q1591,Q1591*Q1281)</f>
        <v>125.81791044776119</v>
      </c>
      <c r="R1567" s="1067">
        <f>IF(R1281&lt;0,R1591,R1591*R1281)</f>
        <v>121.43467122117849</v>
      </c>
      <c r="S1567" s="1067">
        <f>IF(S1281&lt;0,S1591,S1591*S1281)</f>
        <v>137.38820638820636</v>
      </c>
      <c r="T1567" s="1067">
        <f>IF(T1281&lt;0,T1591,T1591*T1281)</f>
        <v>415</v>
      </c>
      <c r="U1567" s="1066">
        <f t="shared" ref="U1567:U1573" si="1235">SUM(Q1567:T1567)</f>
        <v>799.64078805714598</v>
      </c>
      <c r="V1567" s="1067">
        <f>IF(V1281&lt;0,V1591,V1591*V1281)</f>
        <v>68.817941952506601</v>
      </c>
      <c r="W1567" s="1067">
        <f>IF(W1281&lt;0,W1591,W1591*W1281)</f>
        <v>83.484126984126988</v>
      </c>
      <c r="X1567" s="1067">
        <f ca="1">IF(X1281&lt;0,X1591,X1591*X1281)</f>
        <v>177.90909090909091</v>
      </c>
      <c r="Y1567" s="1067">
        <f ca="1">IF(Y1281&lt;0,Y1591,Y1591*Y1281)</f>
        <v>117.89999999999999</v>
      </c>
      <c r="Z1567" s="1066" t="e">
        <f t="shared" ref="Z1567:Z1573" ca="1" si="1236">SUM(V1567:Y1567)</f>
        <v>#VALUE!</v>
      </c>
      <c r="AA1567" s="1067">
        <f ca="1">IF(AA1281&lt;0,AA1591,AA1591*AA1281)</f>
        <v>108.9125632817566</v>
      </c>
      <c r="AB1567" s="1067">
        <f ca="1">IF(AB1281&lt;0,AB1591,AB1591*AB1281)</f>
        <v>110.34672683827533</v>
      </c>
      <c r="AC1567" s="1067">
        <f ca="1">IF(AC1281&lt;0,AC1591,AC1591*AC1281)</f>
        <v>122.17451467260389</v>
      </c>
      <c r="AD1567" s="1067">
        <f ca="1">IF(AD1281&lt;0,AD1591,AD1591*AD1281)</f>
        <v>132.7302646148417</v>
      </c>
      <c r="AE1567" s="1066">
        <f t="shared" ref="AE1567:AE1573" ca="1" si="1237">SUM(AA1567:AD1567)</f>
        <v>474.16406940747754</v>
      </c>
      <c r="AF1567" s="1066">
        <f t="shared" ref="AF1567:AL1567" ca="1" si="1238">IF(AF1281&lt;0,AF1591,AF1591*AF1281)</f>
        <v>491.59868628930997</v>
      </c>
      <c r="AG1567" s="1066">
        <f t="shared" ca="1" si="1238"/>
        <v>510.06918988643224</v>
      </c>
      <c r="AH1567" s="1066">
        <f t="shared" ca="1" si="1238"/>
        <v>520.17118316533356</v>
      </c>
      <c r="AI1567" s="1066">
        <f t="shared" ca="1" si="1238"/>
        <v>533.9409673379954</v>
      </c>
      <c r="AJ1567" s="1066">
        <f t="shared" ca="1" si="1238"/>
        <v>538.68916877684433</v>
      </c>
      <c r="AK1567" s="1066">
        <f t="shared" ca="1" si="1238"/>
        <v>538.68916877684433</v>
      </c>
      <c r="AL1567" s="1066">
        <f t="shared" ca="1" si="1238"/>
        <v>538.68916877684433</v>
      </c>
      <c r="AM1567" s="949"/>
      <c r="AN1567" s="949"/>
      <c r="AO1567" s="949"/>
      <c r="AP1567" s="322"/>
      <c r="AQ1567" s="322"/>
      <c r="AR1567" s="322"/>
      <c r="AS1567" s="322"/>
      <c r="AT1567" s="322"/>
      <c r="AU1567" s="322"/>
      <c r="AV1567" s="322"/>
      <c r="AW1567" s="322"/>
      <c r="AX1567" s="322"/>
      <c r="AY1567" s="322"/>
      <c r="AZ1567" s="322"/>
      <c r="BA1567" s="322"/>
      <c r="BB1567" s="322"/>
    </row>
    <row r="1568" spans="1:54" s="83" customFormat="1">
      <c r="D1568" s="1069" t="s">
        <v>339</v>
      </c>
      <c r="E1568" s="1069"/>
      <c r="F1568" s="855"/>
      <c r="G1568" s="893">
        <f t="shared" ref="G1568:O1568" si="1239">G1597+G1598</f>
        <v>-2602</v>
      </c>
      <c r="H1568" s="893">
        <f t="shared" si="1239"/>
        <v>-2213</v>
      </c>
      <c r="I1568" s="893">
        <f t="shared" si="1239"/>
        <v>-2244</v>
      </c>
      <c r="J1568" s="893">
        <f t="shared" si="1239"/>
        <v>-1893</v>
      </c>
      <c r="K1568" s="893">
        <f t="shared" si="1239"/>
        <v>-2299</v>
      </c>
      <c r="L1568" s="1070">
        <f t="shared" si="1239"/>
        <v>-657</v>
      </c>
      <c r="M1568" s="1070">
        <f t="shared" si="1239"/>
        <v>-521</v>
      </c>
      <c r="N1568" s="1070">
        <f t="shared" si="1239"/>
        <v>-585</v>
      </c>
      <c r="O1568" s="1070">
        <f t="shared" si="1239"/>
        <v>-853</v>
      </c>
      <c r="P1568" s="893">
        <f t="shared" si="1234"/>
        <v>-2616</v>
      </c>
      <c r="Q1568" s="1070">
        <f>Q1597+Q1598</f>
        <v>-681</v>
      </c>
      <c r="R1568" s="1070">
        <f>R1597+R1598</f>
        <v>-769</v>
      </c>
      <c r="S1568" s="1070">
        <f>S1597+S1598</f>
        <v>-984</v>
      </c>
      <c r="T1568" s="1070">
        <f>T1597+T1598</f>
        <v>-1032</v>
      </c>
      <c r="U1568" s="893">
        <f t="shared" si="1235"/>
        <v>-3466</v>
      </c>
      <c r="V1568" s="1070">
        <f>V1597+V1598</f>
        <v>-990</v>
      </c>
      <c r="W1568" s="1070">
        <f>W1597+W1598</f>
        <v>-889</v>
      </c>
      <c r="X1568" s="1070">
        <f>X1597+X1598</f>
        <v>-699</v>
      </c>
      <c r="Y1568" s="1070">
        <f>Y1597+Y1598</f>
        <v>-913.16666666666663</v>
      </c>
      <c r="Z1568" s="893">
        <f>SUM(V1568:Y1568)</f>
        <v>-3491.1666666666665</v>
      </c>
      <c r="AA1568" s="1070">
        <f>AA1597+AA1598</f>
        <v>-978.5</v>
      </c>
      <c r="AB1568" s="1070">
        <f>AB1597+AB1598</f>
        <v>-1294.5</v>
      </c>
      <c r="AC1568" s="1070">
        <f>AC1597+AC1598</f>
        <v>-829.17175318745615</v>
      </c>
      <c r="AD1568" s="1070">
        <f>AD1597+AD1598</f>
        <v>-827.05450732035229</v>
      </c>
      <c r="AE1568" s="893">
        <f>SUM(AA1568:AD1568)</f>
        <v>-3929.2262605078085</v>
      </c>
      <c r="AF1568" s="893">
        <f t="shared" ref="AF1568:AL1568" si="1240">AF1597+AF1598</f>
        <v>-2381</v>
      </c>
      <c r="AG1568" s="893">
        <f t="shared" si="1240"/>
        <v>-1881</v>
      </c>
      <c r="AH1568" s="893">
        <f t="shared" si="1240"/>
        <v>-1881</v>
      </c>
      <c r="AI1568" s="893">
        <f t="shared" si="1240"/>
        <v>-1881</v>
      </c>
      <c r="AJ1568" s="893">
        <f t="shared" si="1240"/>
        <v>-1881</v>
      </c>
      <c r="AK1568" s="893">
        <f t="shared" si="1240"/>
        <v>-2102.2192688015966</v>
      </c>
      <c r="AL1568" s="893">
        <f t="shared" si="1240"/>
        <v>-2102.2192688015966</v>
      </c>
      <c r="AM1568" s="949"/>
      <c r="AN1568" s="949"/>
      <c r="AO1568" s="949"/>
      <c r="AP1568" s="322"/>
      <c r="AQ1568" s="322"/>
      <c r="AR1568" s="322"/>
      <c r="AS1568" s="322"/>
      <c r="AT1568" s="322"/>
      <c r="AU1568" s="322"/>
      <c r="AV1568" s="322"/>
      <c r="AW1568" s="322"/>
      <c r="AX1568" s="322"/>
      <c r="AY1568" s="322"/>
      <c r="AZ1568" s="322"/>
      <c r="BA1568" s="322"/>
      <c r="BB1568" s="322"/>
    </row>
    <row r="1569" spans="4:54" s="83" customFormat="1">
      <c r="D1569" s="1069" t="s">
        <v>340</v>
      </c>
      <c r="E1569" s="1069"/>
      <c r="F1569" s="855"/>
      <c r="G1569" s="893">
        <f t="shared" ref="G1569:O1569" si="1241">G1592</f>
        <v>235</v>
      </c>
      <c r="H1569" s="893">
        <f t="shared" si="1241"/>
        <v>283</v>
      </c>
      <c r="I1569" s="893">
        <f t="shared" si="1241"/>
        <v>214</v>
      </c>
      <c r="J1569" s="893">
        <f t="shared" si="1241"/>
        <v>-360</v>
      </c>
      <c r="K1569" s="893">
        <f t="shared" si="1241"/>
        <v>169</v>
      </c>
      <c r="L1569" s="1070">
        <f t="shared" si="1241"/>
        <v>-294</v>
      </c>
      <c r="M1569" s="1070">
        <f t="shared" si="1241"/>
        <v>5</v>
      </c>
      <c r="N1569" s="1070">
        <f t="shared" si="1241"/>
        <v>-176</v>
      </c>
      <c r="O1569" s="1070">
        <f t="shared" si="1241"/>
        <v>436</v>
      </c>
      <c r="P1569" s="893">
        <f t="shared" si="1234"/>
        <v>-29</v>
      </c>
      <c r="Q1569" s="1070">
        <f>Q1592</f>
        <v>-698</v>
      </c>
      <c r="R1569" s="1070">
        <f>R1592</f>
        <v>139</v>
      </c>
      <c r="S1569" s="1070">
        <f>S1592</f>
        <v>189</v>
      </c>
      <c r="T1569" s="1070">
        <f>T1592</f>
        <v>210</v>
      </c>
      <c r="U1569" s="893">
        <f t="shared" si="1235"/>
        <v>-160</v>
      </c>
      <c r="V1569" s="1070">
        <f>V1592</f>
        <v>-139</v>
      </c>
      <c r="W1569" s="1070">
        <f>W1592</f>
        <v>76</v>
      </c>
      <c r="X1569" s="1070">
        <f>X1592</f>
        <v>-74</v>
      </c>
      <c r="Y1569" s="1070">
        <f ca="1">Y1592</f>
        <v>291.77355743117391</v>
      </c>
      <c r="Z1569" s="893">
        <f ca="1">SUM(V1569:Y1569)</f>
        <v>154.77355743117391</v>
      </c>
      <c r="AA1569" s="1070">
        <f ca="1">AA1592</f>
        <v>-87.504370387831315</v>
      </c>
      <c r="AB1569" s="1070">
        <f t="shared" ref="AB1569:AL1569" ca="1" si="1242">AB1592</f>
        <v>-87.504370387831315</v>
      </c>
      <c r="AC1569" s="1070">
        <f t="shared" ca="1" si="1242"/>
        <v>-87.504370387831301</v>
      </c>
      <c r="AD1569" s="1070">
        <f t="shared" ca="1" si="1242"/>
        <v>-87.504370387831301</v>
      </c>
      <c r="AE1569" s="893">
        <f t="shared" ca="1" si="1237"/>
        <v>-350.0174815513252</v>
      </c>
      <c r="AF1569" s="893">
        <f t="shared" ca="1" si="1242"/>
        <v>-40.566032774617156</v>
      </c>
      <c r="AG1569" s="893">
        <f t="shared" ca="1" si="1242"/>
        <v>-43.565869803619307</v>
      </c>
      <c r="AH1569" s="893">
        <f t="shared" ca="1" si="1242"/>
        <v>-33.796464123703117</v>
      </c>
      <c r="AI1569" s="893">
        <f t="shared" ca="1" si="1242"/>
        <v>-38.24497959327914</v>
      </c>
      <c r="AJ1569" s="893">
        <f t="shared" ca="1" si="1242"/>
        <v>-13.187923997682219</v>
      </c>
      <c r="AK1569" s="893">
        <f t="shared" ca="1" si="1242"/>
        <v>0</v>
      </c>
      <c r="AL1569" s="893">
        <f t="shared" ca="1" si="1242"/>
        <v>0</v>
      </c>
      <c r="AM1569" s="949"/>
      <c r="AN1569" s="949"/>
      <c r="AO1569" s="949"/>
      <c r="AP1569" s="322"/>
      <c r="AQ1569" s="322"/>
      <c r="AR1569" s="322"/>
      <c r="AS1569" s="322"/>
      <c r="AT1569" s="322"/>
      <c r="AU1569" s="322"/>
      <c r="AV1569" s="322"/>
      <c r="AW1569" s="322"/>
      <c r="AX1569" s="322"/>
      <c r="AY1569" s="322"/>
      <c r="AZ1569" s="322"/>
      <c r="BA1569" s="322"/>
      <c r="BB1569" s="322"/>
    </row>
    <row r="1570" spans="4:54" s="83" customFormat="1">
      <c r="D1570" s="1071" t="s">
        <v>333</v>
      </c>
      <c r="E1570" s="1071"/>
      <c r="F1570" s="1072"/>
      <c r="G1570" s="1073">
        <f t="shared" ref="G1570:O1570" si="1243">G1566+G1567+G1568+G1569</f>
        <v>91.0205811138012</v>
      </c>
      <c r="H1570" s="1073">
        <f t="shared" si="1243"/>
        <v>-23.063273727647811</v>
      </c>
      <c r="I1570" s="1073">
        <f t="shared" si="1243"/>
        <v>1411</v>
      </c>
      <c r="J1570" s="1073">
        <f t="shared" si="1243"/>
        <v>423.01904176904191</v>
      </c>
      <c r="K1570" s="1073">
        <f t="shared" si="1243"/>
        <v>1976.2766990291257</v>
      </c>
      <c r="L1570" s="1074">
        <f t="shared" si="1243"/>
        <v>199.31942078364568</v>
      </c>
      <c r="M1570" s="1074">
        <f t="shared" si="1243"/>
        <v>520.4545454545455</v>
      </c>
      <c r="N1570" s="1074">
        <f t="shared" si="1243"/>
        <v>958.18974042027185</v>
      </c>
      <c r="O1570" s="1074">
        <f t="shared" si="1243"/>
        <v>510.24679029957201</v>
      </c>
      <c r="P1570" s="1073">
        <f t="shared" si="1234"/>
        <v>2188.210496958035</v>
      </c>
      <c r="Q1570" s="1074">
        <f>Q1566+Q1567+Q1568+Q1569</f>
        <v>-353.91641791044776</v>
      </c>
      <c r="R1570" s="1074">
        <f>R1566+R1567+R1568+R1569</f>
        <v>329.44491887275842</v>
      </c>
      <c r="S1570" s="1074">
        <f>S1566+S1567+S1568+S1569</f>
        <v>58.78255528255545</v>
      </c>
      <c r="T1570" s="1074">
        <f>T1566+T1567+T1568+T1569</f>
        <v>199</v>
      </c>
      <c r="U1570" s="1073">
        <f t="shared" si="1235"/>
        <v>233.31105624486611</v>
      </c>
      <c r="V1570" s="1074">
        <f>V1566+V1567+V1568+V1569</f>
        <v>-508.07124010554094</v>
      </c>
      <c r="W1570" s="1074">
        <f>W1566+W1567+W1568+W1569</f>
        <v>-626.0039682539682</v>
      </c>
      <c r="X1570" s="1074">
        <f ca="1">X1566+X1567+X1568+X1569</f>
        <v>-297.93181818181824</v>
      </c>
      <c r="Y1570" s="1074">
        <f ca="1">Y1566+Y1567+Y1568+Y1569</f>
        <v>160.36648930050717</v>
      </c>
      <c r="Z1570" s="1073" t="e">
        <f ca="1">SUM(V1570:Y1570)</f>
        <v>#VALUE!</v>
      </c>
      <c r="AA1570" s="1074">
        <f ca="1">AA1566+AA1567+AA1568+AA1569</f>
        <v>-200.17467745498669</v>
      </c>
      <c r="AB1570" s="1074">
        <f t="shared" ref="AB1570:AL1570" ca="1" si="1244">AB1566+AB1567+AB1568+AB1569</f>
        <v>-234.48393050164333</v>
      </c>
      <c r="AC1570" s="1074">
        <f t="shared" ca="1" si="1244"/>
        <v>-91.509900202504156</v>
      </c>
      <c r="AD1570" s="1074">
        <f t="shared" ca="1" si="1244"/>
        <v>-7.978825018676531</v>
      </c>
      <c r="AE1570" s="1073">
        <f ca="1">SUM(AA1570:AD1570)</f>
        <v>-534.14733317781065</v>
      </c>
      <c r="AF1570" s="1073">
        <f t="shared" ca="1" si="1244"/>
        <v>1233.5094235333972</v>
      </c>
      <c r="AG1570" s="1073">
        <f t="shared" ca="1" si="1244"/>
        <v>2132.1547264900064</v>
      </c>
      <c r="AH1570" s="1073">
        <f t="shared" ca="1" si="1244"/>
        <v>2358.1769688359109</v>
      </c>
      <c r="AI1570" s="1073">
        <f t="shared" ca="1" si="1244"/>
        <v>2597.2978157496436</v>
      </c>
      <c r="AJ1570" s="1073">
        <f t="shared" ca="1" si="1244"/>
        <v>2706.8029273394859</v>
      </c>
      <c r="AK1570" s="1073">
        <f t="shared" ca="1" si="1244"/>
        <v>2329.8965825355717</v>
      </c>
      <c r="AL1570" s="1073">
        <f t="shared" ca="1" si="1244"/>
        <v>2330.5965825355725</v>
      </c>
      <c r="AM1570" s="949"/>
      <c r="AN1570" s="949"/>
      <c r="AO1570" s="949"/>
      <c r="AP1570" s="322"/>
      <c r="AQ1570" s="322"/>
      <c r="AR1570" s="322"/>
      <c r="AS1570" s="322"/>
      <c r="AT1570" s="322"/>
      <c r="AU1570" s="322"/>
      <c r="AV1570" s="322"/>
      <c r="AW1570" s="322"/>
      <c r="AX1570" s="322"/>
      <c r="AY1570" s="322"/>
      <c r="AZ1570" s="322"/>
      <c r="BA1570" s="322"/>
      <c r="BB1570" s="322"/>
    </row>
    <row r="1571" spans="4:54" s="83" customFormat="1">
      <c r="D1571" s="1069" t="s">
        <v>341</v>
      </c>
      <c r="E1571" s="1069"/>
      <c r="F1571" s="854"/>
      <c r="G1571" s="1075">
        <f t="shared" ref="G1571:O1571" si="1245">IF(G1281&lt;0,-G1275,(-G1275*(1-G1281)))</f>
        <v>201.08595641646488</v>
      </c>
      <c r="H1571" s="1075">
        <f t="shared" si="1245"/>
        <v>158.87207702888583</v>
      </c>
      <c r="I1571" s="1075">
        <f t="shared" si="1245"/>
        <v>311</v>
      </c>
      <c r="J1571" s="1075">
        <f t="shared" si="1245"/>
        <v>216.12899262899259</v>
      </c>
      <c r="K1571" s="1075">
        <f t="shared" si="1245"/>
        <v>134.8155339805825</v>
      </c>
      <c r="L1571" s="1076">
        <f t="shared" si="1245"/>
        <v>25.479557069846678</v>
      </c>
      <c r="M1571" s="1076">
        <f t="shared" si="1245"/>
        <v>30.545454545454547</v>
      </c>
      <c r="N1571" s="1076">
        <f t="shared" si="1245"/>
        <v>58.953028430160693</v>
      </c>
      <c r="O1571" s="1076">
        <f t="shared" si="1245"/>
        <v>36.40513552068473</v>
      </c>
      <c r="P1571" s="1075">
        <f t="shared" si="1234"/>
        <v>151.38317556614663</v>
      </c>
      <c r="Q1571" s="1076">
        <f>IF(Q1281&lt;0,-Q1275,(-Q1275*(1-Q1281)))</f>
        <v>35.785074626865672</v>
      </c>
      <c r="R1571" s="1076">
        <f>IF(R1281&lt;0,-R1275,(-R1275*(1-R1281)))</f>
        <v>42.939368061485908</v>
      </c>
      <c r="S1571" s="1076">
        <f>IF(S1281&lt;0,-S1275,(-S1275*(1-S1281)))</f>
        <v>38.353808353808361</v>
      </c>
      <c r="T1571" s="1076">
        <f>IF(T1281&lt;0,-T1275,(-T1275*(1-T1281)))</f>
        <v>46</v>
      </c>
      <c r="U1571" s="1075">
        <f t="shared" si="1235"/>
        <v>163.07825104215993</v>
      </c>
      <c r="V1571" s="1076">
        <f>IF(V1281&lt;0,-V1275,(-V1275*(1-V1281)))</f>
        <v>38.443271767810025</v>
      </c>
      <c r="W1571" s="1076">
        <f>IF(W1281&lt;0,-W1275,(-W1275*(1-W1281)))</f>
        <v>83.690476190476204</v>
      </c>
      <c r="X1571" s="1076">
        <f ca="1">IF(X1281&lt;0,-X1275,(-X1275*(1-X1281)))</f>
        <v>35.79545454545454</v>
      </c>
      <c r="Y1571" s="1076">
        <f>IF(Y1281&lt;0,-Y1275,(-Y1275*(1-Y1281)))</f>
        <v>30.799999999999997</v>
      </c>
      <c r="Z1571" s="1075" t="e">
        <f t="shared" ca="1" si="1236"/>
        <v>#VALUE!</v>
      </c>
      <c r="AA1571" s="1076">
        <f>IF(AA1281&lt;0,-AA1275,(-AA1275*(1-AA1281)))</f>
        <v>39.375</v>
      </c>
      <c r="AB1571" s="1076">
        <f>IF(AB1281&lt;0,-AB1275,(-AB1275*(1-AB1281)))</f>
        <v>39.375</v>
      </c>
      <c r="AC1571" s="1076">
        <f>IF(AC1281&lt;0,-AC1275,(-AC1275*(1-AC1281)))</f>
        <v>54.424999999999997</v>
      </c>
      <c r="AD1571" s="1076">
        <f>IF(AD1281&lt;0,-AD1275,(-AD1275*(1-AD1281)))</f>
        <v>54.424999999999997</v>
      </c>
      <c r="AE1571" s="1075">
        <f t="shared" si="1237"/>
        <v>187.60000000000002</v>
      </c>
      <c r="AF1571" s="1075">
        <f t="shared" ref="AF1571:AL1571" si="1246">IF(AF1281&lt;0,-AF1275,(-AF1275*(1-AF1281)))</f>
        <v>187.6</v>
      </c>
      <c r="AG1571" s="1075">
        <f t="shared" si="1246"/>
        <v>100.8</v>
      </c>
      <c r="AH1571" s="1075">
        <f t="shared" si="1246"/>
        <v>100.8</v>
      </c>
      <c r="AI1571" s="1075">
        <f t="shared" si="1246"/>
        <v>115.85</v>
      </c>
      <c r="AJ1571" s="1075">
        <f t="shared" si="1246"/>
        <v>115.85</v>
      </c>
      <c r="AK1571" s="1075">
        <f t="shared" si="1246"/>
        <v>187.6</v>
      </c>
      <c r="AL1571" s="1075">
        <f t="shared" si="1246"/>
        <v>187.6</v>
      </c>
      <c r="AM1571" s="949"/>
      <c r="AN1571" s="949"/>
      <c r="AO1571" s="949"/>
      <c r="AP1571" s="322"/>
      <c r="AQ1571" s="322"/>
      <c r="AR1571" s="322"/>
      <c r="AS1571" s="322"/>
      <c r="AT1571" s="322"/>
      <c r="AU1571" s="322"/>
      <c r="AV1571" s="322"/>
      <c r="AW1571" s="322"/>
      <c r="AX1571" s="322"/>
      <c r="AY1571" s="322"/>
      <c r="AZ1571" s="322"/>
      <c r="BA1571" s="322"/>
      <c r="BB1571" s="322"/>
    </row>
    <row r="1572" spans="4:54" s="83" customFormat="1">
      <c r="D1572" s="1069" t="s">
        <v>342</v>
      </c>
      <c r="E1572" s="1069"/>
      <c r="F1572" s="854"/>
      <c r="G1572" s="1075">
        <f t="shared" ref="G1572:O1572" si="1247">G1604</f>
        <v>-39</v>
      </c>
      <c r="H1572" s="1075">
        <f t="shared" si="1247"/>
        <v>-58</v>
      </c>
      <c r="I1572" s="1075">
        <f t="shared" si="1247"/>
        <v>-448</v>
      </c>
      <c r="J1572" s="1075">
        <f t="shared" si="1247"/>
        <v>-993</v>
      </c>
      <c r="K1572" s="1075">
        <f t="shared" si="1247"/>
        <v>-1929</v>
      </c>
      <c r="L1572" s="1076">
        <f t="shared" si="1247"/>
        <v>-28</v>
      </c>
      <c r="M1572" s="1076">
        <f t="shared" si="1247"/>
        <v>-8</v>
      </c>
      <c r="N1572" s="1076">
        <f t="shared" si="1247"/>
        <v>-1327</v>
      </c>
      <c r="O1572" s="1076">
        <f t="shared" si="1247"/>
        <v>0</v>
      </c>
      <c r="P1572" s="1075">
        <f t="shared" si="1234"/>
        <v>-1363</v>
      </c>
      <c r="Q1572" s="1076">
        <f>Q1604</f>
        <v>0</v>
      </c>
      <c r="R1572" s="1076">
        <f>R1604</f>
        <v>-874</v>
      </c>
      <c r="S1572" s="1076">
        <f>S1604</f>
        <v>-37</v>
      </c>
      <c r="T1572" s="1076">
        <f>T1604</f>
        <v>76</v>
      </c>
      <c r="U1572" s="1075">
        <f t="shared" si="1235"/>
        <v>-835</v>
      </c>
      <c r="V1572" s="1076">
        <f>V1604</f>
        <v>220</v>
      </c>
      <c r="W1572" s="1076">
        <f>W1604</f>
        <v>888</v>
      </c>
      <c r="X1572" s="1076">
        <f>X1604</f>
        <v>-790.5</v>
      </c>
      <c r="Y1572" s="1076">
        <f>Y1604</f>
        <v>-790.5</v>
      </c>
      <c r="Z1572" s="1075">
        <f t="shared" si="1236"/>
        <v>-473</v>
      </c>
      <c r="AA1572" s="1076">
        <f>AA1604</f>
        <v>-39.75</v>
      </c>
      <c r="AB1572" s="1076">
        <f t="shared" ref="AB1572:AL1572" si="1248">AB1604</f>
        <v>-39.75</v>
      </c>
      <c r="AC1572" s="1076">
        <f t="shared" si="1248"/>
        <v>-39.75</v>
      </c>
      <c r="AD1572" s="1076">
        <f t="shared" si="1248"/>
        <v>-39.75</v>
      </c>
      <c r="AE1572" s="1075">
        <f t="shared" si="1237"/>
        <v>-159</v>
      </c>
      <c r="AF1572" s="1075">
        <f t="shared" si="1248"/>
        <v>-275</v>
      </c>
      <c r="AG1572" s="1075">
        <f t="shared" si="1248"/>
        <v>-274</v>
      </c>
      <c r="AH1572" s="1075">
        <f t="shared" si="1248"/>
        <v>-273</v>
      </c>
      <c r="AI1572" s="1075">
        <f t="shared" si="1248"/>
        <v>-272</v>
      </c>
      <c r="AJ1572" s="1075">
        <f t="shared" si="1248"/>
        <v>-271</v>
      </c>
      <c r="AK1572" s="1075">
        <f t="shared" si="1248"/>
        <v>-270</v>
      </c>
      <c r="AL1572" s="1075">
        <f t="shared" si="1248"/>
        <v>-269</v>
      </c>
      <c r="AM1572" s="949"/>
      <c r="AN1572" s="949"/>
      <c r="AO1572" s="949"/>
      <c r="AP1572" s="322"/>
      <c r="AQ1572" s="322"/>
      <c r="AR1572" s="322"/>
      <c r="AS1572" s="322"/>
      <c r="AT1572" s="322"/>
      <c r="AU1572" s="322"/>
      <c r="AV1572" s="322"/>
      <c r="AW1572" s="322"/>
      <c r="AX1572" s="322"/>
      <c r="AY1572" s="322"/>
      <c r="AZ1572" s="322"/>
      <c r="BA1572" s="322"/>
      <c r="BB1572" s="322"/>
    </row>
    <row r="1573" spans="4:54" s="83" customFormat="1">
      <c r="D1573" s="1071" t="s">
        <v>343</v>
      </c>
      <c r="E1573" s="1071"/>
      <c r="F1573" s="1072"/>
      <c r="G1573" s="1073">
        <f t="shared" ref="G1573:O1573" si="1249">G1570-G1571-G1572</f>
        <v>-71.065375302663682</v>
      </c>
      <c r="H1573" s="1073">
        <f t="shared" si="1249"/>
        <v>-123.93535075653364</v>
      </c>
      <c r="I1573" s="1073">
        <f t="shared" si="1249"/>
        <v>1548</v>
      </c>
      <c r="J1573" s="1073">
        <f t="shared" si="1249"/>
        <v>1199.8900491400493</v>
      </c>
      <c r="K1573" s="1073">
        <f t="shared" si="1249"/>
        <v>3770.4611650485431</v>
      </c>
      <c r="L1573" s="1074">
        <f t="shared" si="1249"/>
        <v>201.83986371379899</v>
      </c>
      <c r="M1573" s="1074">
        <f t="shared" si="1249"/>
        <v>497.90909090909093</v>
      </c>
      <c r="N1573" s="1074">
        <f t="shared" si="1249"/>
        <v>2226.236711990111</v>
      </c>
      <c r="O1573" s="1074">
        <f t="shared" si="1249"/>
        <v>473.84165477888729</v>
      </c>
      <c r="P1573" s="1073">
        <f t="shared" si="1234"/>
        <v>3399.8273213918883</v>
      </c>
      <c r="Q1573" s="1074">
        <f>Q1570-Q1571-Q1572</f>
        <v>-389.70149253731341</v>
      </c>
      <c r="R1573" s="1074">
        <f>R1570-R1571-R1572</f>
        <v>1160.5055508112725</v>
      </c>
      <c r="S1573" s="1074">
        <f>S1570-S1571-S1572</f>
        <v>57.428746928747088</v>
      </c>
      <c r="T1573" s="1074">
        <f>T1570-T1571-T1572</f>
        <v>77</v>
      </c>
      <c r="U1573" s="1073">
        <f t="shared" si="1235"/>
        <v>905.23280520270612</v>
      </c>
      <c r="V1573" s="1074">
        <f>V1570-V1571-V1572</f>
        <v>-766.51451187335101</v>
      </c>
      <c r="W1573" s="1074">
        <f>W1570-W1571-W1572</f>
        <v>-1597.6944444444443</v>
      </c>
      <c r="X1573" s="1074">
        <f ca="1">X1570-X1571-X1572</f>
        <v>456.7727272727272</v>
      </c>
      <c r="Y1573" s="1074">
        <f ca="1">Y1570-Y1571-Y1572</f>
        <v>941.0664893005071</v>
      </c>
      <c r="Z1573" s="1073" t="e">
        <f t="shared" ca="1" si="1236"/>
        <v>#VALUE!</v>
      </c>
      <c r="AA1573" s="1074">
        <f ca="1">AA1570-AA1571-AA1572</f>
        <v>-202.0746774549867</v>
      </c>
      <c r="AB1573" s="1074">
        <f t="shared" ref="AB1573:AL1573" ca="1" si="1250">AB1570-AB1571-AB1572</f>
        <v>-236.38393050164331</v>
      </c>
      <c r="AC1573" s="1074">
        <f t="shared" ca="1" si="1250"/>
        <v>-93.409900202504161</v>
      </c>
      <c r="AD1573" s="1074">
        <f t="shared" ca="1" si="1250"/>
        <v>-9.8788250186765296</v>
      </c>
      <c r="AE1573" s="1073">
        <f t="shared" ca="1" si="1237"/>
        <v>-541.74733317781056</v>
      </c>
      <c r="AF1573" s="1073">
        <f t="shared" ca="1" si="1250"/>
        <v>1341.9094235333973</v>
      </c>
      <c r="AG1573" s="1073">
        <f t="shared" ca="1" si="1250"/>
        <v>2318.8297264900066</v>
      </c>
      <c r="AH1573" s="1073">
        <f t="shared" ca="1" si="1250"/>
        <v>2543.8519688359111</v>
      </c>
      <c r="AI1573" s="1073">
        <f t="shared" ca="1" si="1250"/>
        <v>2781.9728157496438</v>
      </c>
      <c r="AJ1573" s="1073">
        <f t="shared" ca="1" si="1250"/>
        <v>2890.4779273394861</v>
      </c>
      <c r="AK1573" s="1073">
        <f t="shared" ca="1" si="1250"/>
        <v>2433.2965825355718</v>
      </c>
      <c r="AL1573" s="1073">
        <f t="shared" ca="1" si="1250"/>
        <v>2432.9965825355725</v>
      </c>
      <c r="AM1573" s="949"/>
      <c r="AN1573" s="949"/>
      <c r="AO1573" s="949"/>
      <c r="AP1573" s="322"/>
      <c r="AQ1573" s="322"/>
      <c r="AR1573" s="322"/>
      <c r="AS1573" s="322"/>
      <c r="AT1573" s="322"/>
      <c r="AU1573" s="322"/>
      <c r="AV1573" s="322"/>
      <c r="AW1573" s="322"/>
      <c r="AX1573" s="322"/>
      <c r="AY1573" s="322"/>
      <c r="AZ1573" s="322"/>
      <c r="BA1573" s="322"/>
      <c r="BB1573" s="322"/>
    </row>
    <row r="1574" spans="4:54" s="83" customFormat="1">
      <c r="D1574" s="1078"/>
      <c r="E1574" s="1078"/>
      <c r="F1574" s="1079"/>
      <c r="G1574" s="1080"/>
      <c r="H1574" s="1080"/>
      <c r="I1574" s="1080"/>
      <c r="J1574" s="1080"/>
      <c r="K1574" s="1080"/>
      <c r="L1574" s="1081"/>
      <c r="M1574" s="1081"/>
      <c r="N1574" s="1081"/>
      <c r="O1574" s="1081"/>
      <c r="P1574" s="1080"/>
      <c r="Q1574" s="1081"/>
      <c r="R1574" s="1081"/>
      <c r="S1574" s="1081"/>
      <c r="T1574" s="1081"/>
      <c r="U1574" s="1080"/>
      <c r="V1574" s="1081"/>
      <c r="W1574" s="1081"/>
      <c r="X1574" s="1081"/>
      <c r="Y1574" s="1081"/>
      <c r="Z1574" s="1080"/>
      <c r="AA1574" s="1081"/>
      <c r="AB1574" s="1081"/>
      <c r="AC1574" s="1081"/>
      <c r="AD1574" s="1081"/>
      <c r="AE1574" s="1080"/>
      <c r="AF1574" s="1080"/>
      <c r="AG1574" s="1080"/>
      <c r="AH1574" s="1080"/>
      <c r="AI1574" s="1080"/>
      <c r="AJ1574" s="1080"/>
      <c r="AK1574" s="1080"/>
      <c r="AL1574" s="1080"/>
      <c r="AM1574" s="949"/>
      <c r="AN1574" s="949"/>
      <c r="AO1574" s="949"/>
      <c r="AP1574" s="322"/>
      <c r="AQ1574" s="322"/>
      <c r="AR1574" s="322"/>
      <c r="AS1574" s="322"/>
      <c r="AT1574" s="322"/>
      <c r="AU1574" s="322"/>
      <c r="AV1574" s="322"/>
      <c r="AW1574" s="322"/>
      <c r="AX1574" s="322"/>
      <c r="AY1574" s="322"/>
      <c r="AZ1574" s="322"/>
      <c r="BA1574" s="322"/>
      <c r="BB1574" s="322"/>
    </row>
    <row r="1575" spans="4:54" s="83" customFormat="1">
      <c r="D1575" s="1078"/>
      <c r="E1575" s="1078"/>
      <c r="F1575" s="1079"/>
      <c r="G1575" s="1080"/>
      <c r="H1575" s="1080"/>
      <c r="I1575" s="1080"/>
      <c r="J1575" s="1080"/>
      <c r="K1575" s="1080"/>
      <c r="L1575" s="1081"/>
      <c r="M1575" s="1081"/>
      <c r="N1575" s="1081"/>
      <c r="O1575" s="1081"/>
      <c r="P1575" s="1080"/>
      <c r="Q1575" s="1081"/>
      <c r="R1575" s="1081"/>
      <c r="S1575" s="1081"/>
      <c r="T1575" s="1081"/>
      <c r="U1575" s="1080"/>
      <c r="V1575" s="1081"/>
      <c r="W1575" s="1081"/>
      <c r="X1575" s="1081"/>
      <c r="Y1575" s="1081"/>
      <c r="Z1575" s="1080"/>
      <c r="AA1575" s="1081"/>
      <c r="AB1575" s="1081"/>
      <c r="AC1575" s="1081"/>
      <c r="AD1575" s="1081"/>
      <c r="AE1575" s="1080"/>
      <c r="AF1575" s="1080"/>
      <c r="AG1575" s="1080"/>
      <c r="AH1575" s="1080"/>
      <c r="AI1575" s="1080"/>
      <c r="AJ1575" s="1080"/>
      <c r="AK1575" s="1080"/>
      <c r="AL1575" s="1080"/>
      <c r="AM1575" s="949"/>
      <c r="AN1575" s="949"/>
      <c r="AO1575" s="949"/>
      <c r="AP1575" s="322"/>
      <c r="AQ1575" s="322"/>
      <c r="AR1575" s="322"/>
      <c r="AS1575" s="322"/>
      <c r="AT1575" s="322"/>
      <c r="AU1575" s="322"/>
      <c r="AV1575" s="322"/>
      <c r="AW1575" s="322"/>
      <c r="AX1575" s="322"/>
      <c r="AY1575" s="322"/>
      <c r="AZ1575" s="322"/>
      <c r="BA1575" s="322"/>
      <c r="BB1575" s="322"/>
    </row>
    <row r="1576" spans="4:54" s="83" customFormat="1">
      <c r="D1576" s="1069" t="s">
        <v>962</v>
      </c>
      <c r="E1576" s="1078"/>
      <c r="F1576" s="1079"/>
      <c r="G1576" s="1080"/>
      <c r="H1576" s="1080"/>
      <c r="I1576" s="1080"/>
      <c r="J1576" s="1080"/>
      <c r="K1576" s="1080"/>
      <c r="L1576" s="1081"/>
      <c r="M1576" s="1081"/>
      <c r="N1576" s="1081"/>
      <c r="O1576" s="1081"/>
      <c r="P1576" s="1080"/>
      <c r="Q1576" s="1081"/>
      <c r="R1576" s="1081"/>
      <c r="S1576" s="1081"/>
      <c r="T1576" s="1081"/>
      <c r="U1576" s="1080"/>
      <c r="V1576" s="1081"/>
      <c r="W1576" s="1081"/>
      <c r="X1576" s="1081"/>
      <c r="Y1576" s="1081"/>
      <c r="Z1576" s="1080">
        <f>-Z1544</f>
        <v>-1480</v>
      </c>
      <c r="AA1576" s="1081"/>
      <c r="AB1576" s="1081"/>
      <c r="AC1576" s="1081"/>
      <c r="AD1576" s="1081"/>
      <c r="AE1576" s="1080">
        <f>-AE1544</f>
        <v>-1312</v>
      </c>
      <c r="AF1576" s="1080"/>
      <c r="AG1576" s="1080"/>
      <c r="AH1576" s="1080"/>
      <c r="AI1576" s="1080"/>
      <c r="AJ1576" s="1080"/>
      <c r="AK1576" s="1080"/>
      <c r="AL1576" s="1080"/>
      <c r="AM1576" s="949"/>
      <c r="AN1576" s="949"/>
      <c r="AO1576" s="949"/>
      <c r="AP1576" s="322"/>
      <c r="AQ1576" s="322"/>
      <c r="AR1576" s="322"/>
      <c r="AS1576" s="322"/>
      <c r="AT1576" s="322"/>
      <c r="AU1576" s="322"/>
      <c r="AV1576" s="322"/>
      <c r="AW1576" s="322"/>
      <c r="AX1576" s="322"/>
      <c r="AY1576" s="322"/>
      <c r="AZ1576" s="322"/>
      <c r="BA1576" s="322"/>
      <c r="BB1576" s="322"/>
    </row>
    <row r="1577" spans="4:54" s="83" customFormat="1">
      <c r="D1577" s="1078"/>
      <c r="E1577" s="1078"/>
      <c r="F1577" s="1079"/>
      <c r="G1577" s="1080"/>
      <c r="H1577" s="1080"/>
      <c r="I1577" s="1080"/>
      <c r="J1577" s="1080"/>
      <c r="K1577" s="1080"/>
      <c r="L1577" s="1081"/>
      <c r="M1577" s="1081"/>
      <c r="N1577" s="1081"/>
      <c r="O1577" s="1081"/>
      <c r="P1577" s="1080"/>
      <c r="Q1577" s="1081"/>
      <c r="R1577" s="1081"/>
      <c r="S1577" s="1081"/>
      <c r="T1577" s="1081"/>
      <c r="U1577" s="1080"/>
      <c r="V1577" s="1081"/>
      <c r="W1577" s="1081"/>
      <c r="X1577" s="1081"/>
      <c r="Y1577" s="1081"/>
      <c r="Z1577" s="1080">
        <f ca="1">Z1566+Z1567+Z1576+Z1569</f>
        <v>782.52612942584642</v>
      </c>
      <c r="AA1577" s="1081"/>
      <c r="AB1577" s="1081"/>
      <c r="AC1577" s="1081"/>
      <c r="AD1577" s="1081"/>
      <c r="AE1577" s="1080">
        <f ca="1">AE1566+AE1567+AE1576+AE1569</f>
        <v>2115.5342009148649</v>
      </c>
      <c r="AF1577" s="1080"/>
      <c r="AG1577" s="1080"/>
      <c r="AH1577" s="1080"/>
      <c r="AI1577" s="1080"/>
      <c r="AJ1577" s="1080"/>
      <c r="AK1577" s="1080"/>
      <c r="AL1577" s="1080"/>
      <c r="AM1577" s="949"/>
      <c r="AN1577" s="949"/>
      <c r="AO1577" s="949"/>
      <c r="AP1577" s="322"/>
      <c r="AQ1577" s="322"/>
      <c r="AR1577" s="322"/>
      <c r="AS1577" s="322"/>
      <c r="AT1577" s="322"/>
      <c r="AU1577" s="322"/>
      <c r="AV1577" s="322"/>
      <c r="AW1577" s="322"/>
      <c r="AX1577" s="322"/>
      <c r="AY1577" s="322"/>
      <c r="AZ1577" s="322"/>
      <c r="BA1577" s="322"/>
      <c r="BB1577" s="322"/>
    </row>
    <row r="1578" spans="4:54" s="83" customFormat="1">
      <c r="D1578" s="1078"/>
      <c r="E1578" s="1078"/>
      <c r="F1578" s="1079"/>
      <c r="G1578" s="1080"/>
      <c r="H1578" s="1080"/>
      <c r="I1578" s="1080"/>
      <c r="J1578" s="1080"/>
      <c r="K1578" s="1080"/>
      <c r="L1578" s="1081"/>
      <c r="M1578" s="1081"/>
      <c r="N1578" s="1081"/>
      <c r="O1578" s="1081"/>
      <c r="P1578" s="1080"/>
      <c r="Q1578" s="1081"/>
      <c r="R1578" s="1081"/>
      <c r="S1578" s="1081"/>
      <c r="T1578" s="1081"/>
      <c r="U1578" s="1080"/>
      <c r="V1578" s="1081"/>
      <c r="W1578" s="1081"/>
      <c r="X1578" s="1081"/>
      <c r="Y1578" s="1081"/>
      <c r="Z1578" s="1080"/>
      <c r="AA1578" s="1081"/>
      <c r="AB1578" s="1081"/>
      <c r="AC1578" s="1081"/>
      <c r="AD1578" s="1081"/>
      <c r="AE1578" s="1080"/>
      <c r="AF1578" s="1080"/>
      <c r="AG1578" s="1080"/>
      <c r="AH1578" s="1080"/>
      <c r="AI1578" s="1080"/>
      <c r="AJ1578" s="1080"/>
      <c r="AK1578" s="1080"/>
      <c r="AL1578" s="1080"/>
      <c r="AM1578" s="949"/>
      <c r="AN1578" s="949"/>
      <c r="AO1578" s="949"/>
      <c r="AP1578" s="322"/>
      <c r="AQ1578" s="322"/>
      <c r="AR1578" s="322"/>
      <c r="AS1578" s="322"/>
      <c r="AT1578" s="322"/>
      <c r="AU1578" s="322"/>
      <c r="AV1578" s="322"/>
      <c r="AW1578" s="322"/>
      <c r="AX1578" s="322"/>
      <c r="AY1578" s="322"/>
      <c r="AZ1578" s="322"/>
      <c r="BA1578" s="322"/>
      <c r="BB1578" s="322"/>
    </row>
    <row r="1579" spans="4:54" s="83" customFormat="1">
      <c r="D1579" s="1078"/>
      <c r="E1579" s="1078"/>
      <c r="F1579" s="1079"/>
      <c r="G1579" s="1080"/>
      <c r="H1579" s="1080"/>
      <c r="I1579" s="1080"/>
      <c r="J1579" s="1080"/>
      <c r="K1579" s="1080"/>
      <c r="L1579" s="1081"/>
      <c r="M1579" s="1081"/>
      <c r="N1579" s="1081"/>
      <c r="O1579" s="1081"/>
      <c r="P1579" s="1080"/>
      <c r="Q1579" s="1081"/>
      <c r="R1579" s="1081"/>
      <c r="S1579" s="1081"/>
      <c r="T1579" s="1081"/>
      <c r="U1579" s="1080"/>
      <c r="V1579" s="1081"/>
      <c r="W1579" s="1081"/>
      <c r="X1579" s="1081"/>
      <c r="Y1579" s="1081"/>
      <c r="Z1579" s="1080"/>
      <c r="AA1579" s="1081"/>
      <c r="AB1579" s="1081"/>
      <c r="AC1579" s="1081"/>
      <c r="AD1579" s="1081"/>
      <c r="AE1579" s="1080"/>
      <c r="AF1579" s="1080"/>
      <c r="AG1579" s="1080"/>
      <c r="AH1579" s="1080"/>
      <c r="AI1579" s="1080"/>
      <c r="AJ1579" s="1080"/>
      <c r="AK1579" s="1080"/>
      <c r="AL1579" s="1080"/>
      <c r="AM1579" s="949"/>
      <c r="AN1579" s="949"/>
      <c r="AO1579" s="949"/>
      <c r="AP1579" s="322"/>
      <c r="AQ1579" s="322"/>
      <c r="AR1579" s="322"/>
      <c r="AS1579" s="322"/>
      <c r="AT1579" s="322"/>
      <c r="AU1579" s="322"/>
      <c r="AV1579" s="322"/>
      <c r="AW1579" s="322"/>
      <c r="AX1579" s="322"/>
      <c r="AY1579" s="322"/>
      <c r="AZ1579" s="322"/>
      <c r="BA1579" s="322"/>
      <c r="BB1579" s="322"/>
    </row>
    <row r="1580" spans="4:54" s="83" customFormat="1">
      <c r="D1580" s="1078"/>
      <c r="E1580" s="1078"/>
      <c r="F1580" s="1079"/>
      <c r="G1580" s="1080"/>
      <c r="H1580" s="1080"/>
      <c r="I1580" s="1080"/>
      <c r="J1580" s="1080"/>
      <c r="K1580" s="1080"/>
      <c r="L1580" s="1081"/>
      <c r="M1580" s="1081"/>
      <c r="N1580" s="1081"/>
      <c r="O1580" s="1081"/>
      <c r="P1580" s="1080"/>
      <c r="Q1580" s="1081"/>
      <c r="R1580" s="1081"/>
      <c r="S1580" s="1081"/>
      <c r="T1580" s="1081"/>
      <c r="U1580" s="1080"/>
      <c r="V1580" s="1081"/>
      <c r="W1580" s="1081"/>
      <c r="X1580" s="1081"/>
      <c r="Y1580" s="1081"/>
      <c r="Z1580" s="1080"/>
      <c r="AA1580" s="1081"/>
      <c r="AB1580" s="1081"/>
      <c r="AC1580" s="1081"/>
      <c r="AD1580" s="1081"/>
      <c r="AE1580" s="1080"/>
      <c r="AF1580" s="1080"/>
      <c r="AG1580" s="1080"/>
      <c r="AH1580" s="1080"/>
      <c r="AI1580" s="1080"/>
      <c r="AJ1580" s="1080"/>
      <c r="AK1580" s="1080"/>
      <c r="AL1580" s="1080"/>
      <c r="AM1580" s="949"/>
      <c r="AN1580" s="949"/>
      <c r="AO1580" s="949"/>
      <c r="AP1580" s="322"/>
      <c r="AQ1580" s="322"/>
      <c r="AR1580" s="322"/>
      <c r="AS1580" s="322"/>
      <c r="AT1580" s="322"/>
      <c r="AU1580" s="322"/>
      <c r="AV1580" s="322"/>
      <c r="AW1580" s="322"/>
      <c r="AX1580" s="322"/>
      <c r="AY1580" s="322"/>
      <c r="AZ1580" s="322"/>
      <c r="BA1580" s="322"/>
      <c r="BB1580" s="322"/>
    </row>
    <row r="1581" spans="4:54" s="83" customFormat="1">
      <c r="D1581" s="1078" t="s">
        <v>896</v>
      </c>
      <c r="E1581" s="1078"/>
      <c r="F1581" s="1079"/>
      <c r="G1581" s="1080"/>
      <c r="H1581" s="1080"/>
      <c r="I1581" s="1080"/>
      <c r="J1581" s="1080"/>
      <c r="K1581" s="1080"/>
      <c r="L1581" s="1081"/>
      <c r="M1581" s="1081"/>
      <c r="N1581" s="1081"/>
      <c r="O1581" s="1081"/>
      <c r="P1581" s="1080"/>
      <c r="Q1581" s="1081"/>
      <c r="R1581" s="1081"/>
      <c r="S1581" s="1081"/>
      <c r="T1581" s="1081"/>
      <c r="U1581" s="1080">
        <f>U1570</f>
        <v>233.31105624486611</v>
      </c>
      <c r="V1581" s="1081"/>
      <c r="W1581" s="1081"/>
      <c r="X1581" s="1081"/>
      <c r="Y1581" s="1081"/>
      <c r="Z1581" s="1080" t="e">
        <f ca="1">Z1570</f>
        <v>#VALUE!</v>
      </c>
      <c r="AA1581" s="1081"/>
      <c r="AB1581" s="1081"/>
      <c r="AC1581" s="1081"/>
      <c r="AD1581" s="1081"/>
      <c r="AE1581" s="1080">
        <v>-2524</v>
      </c>
      <c r="AF1581" s="1080">
        <f t="shared" ref="AF1581:AL1581" ca="1" si="1251">AF1570</f>
        <v>1233.5094235333972</v>
      </c>
      <c r="AG1581" s="1080">
        <f t="shared" ca="1" si="1251"/>
        <v>2132.1547264900064</v>
      </c>
      <c r="AH1581" s="1080">
        <f t="shared" ca="1" si="1251"/>
        <v>2358.1769688359109</v>
      </c>
      <c r="AI1581" s="1080">
        <f t="shared" ca="1" si="1251"/>
        <v>2597.2978157496436</v>
      </c>
      <c r="AJ1581" s="1080">
        <f t="shared" ca="1" si="1251"/>
        <v>2706.8029273394859</v>
      </c>
      <c r="AK1581" s="1080">
        <f t="shared" ca="1" si="1251"/>
        <v>2329.8965825355717</v>
      </c>
      <c r="AL1581" s="1080">
        <f t="shared" ca="1" si="1251"/>
        <v>2330.5965825355725</v>
      </c>
      <c r="AM1581" s="949"/>
      <c r="AN1581" s="949"/>
      <c r="AO1581" s="949"/>
      <c r="AP1581" s="322"/>
      <c r="AQ1581" s="322"/>
      <c r="AR1581" s="322"/>
      <c r="AS1581" s="322"/>
      <c r="AT1581" s="322"/>
      <c r="AU1581" s="322"/>
      <c r="AV1581" s="322"/>
      <c r="AW1581" s="322"/>
      <c r="AX1581" s="322"/>
      <c r="AY1581" s="322"/>
      <c r="AZ1581" s="322"/>
      <c r="BA1581" s="322"/>
      <c r="BB1581" s="322"/>
    </row>
    <row r="1582" spans="4:54" s="83" customFormat="1">
      <c r="D1582" s="1078" t="s">
        <v>895</v>
      </c>
      <c r="E1582" s="1078"/>
      <c r="F1582" s="1079"/>
      <c r="G1582" s="1080"/>
      <c r="H1582" s="1080"/>
      <c r="I1582" s="1080"/>
      <c r="J1582" s="1080"/>
      <c r="K1582" s="1080"/>
      <c r="L1582" s="1081"/>
      <c r="M1582" s="1081"/>
      <c r="N1582" s="1081"/>
      <c r="O1582" s="1081"/>
      <c r="P1582" s="1080"/>
      <c r="Q1582" s="1081"/>
      <c r="R1582" s="1081"/>
      <c r="S1582" s="1081"/>
      <c r="T1582" s="1081"/>
      <c r="U1582" s="1080"/>
      <c r="V1582" s="1081"/>
      <c r="W1582" s="1081"/>
      <c r="X1582" s="1081"/>
      <c r="Y1582" s="1081"/>
      <c r="Z1582" s="1097">
        <f>'Assumption Inputs'!$J$16</f>
        <v>0.05</v>
      </c>
      <c r="AA1582" s="1087"/>
      <c r="AB1582" s="1087"/>
      <c r="AC1582" s="1087"/>
      <c r="AD1582" s="1087"/>
      <c r="AE1582" s="1097">
        <f>'Assumption Inputs'!$J$16</f>
        <v>0.05</v>
      </c>
      <c r="AF1582" s="1097">
        <f>'Assumption Inputs'!$J$16</f>
        <v>0.05</v>
      </c>
      <c r="AG1582" s="1097">
        <f>'Assumption Inputs'!$J$16</f>
        <v>0.05</v>
      </c>
      <c r="AH1582" s="1097">
        <f>'Assumption Inputs'!$J$16</f>
        <v>0.05</v>
      </c>
      <c r="AI1582" s="1097">
        <f>'Assumption Inputs'!$J$16</f>
        <v>0.05</v>
      </c>
      <c r="AJ1582" s="1097">
        <f>'Assumption Inputs'!$J$16</f>
        <v>0.05</v>
      </c>
      <c r="AK1582" s="1097">
        <f>'Assumption Inputs'!$J$16</f>
        <v>0.05</v>
      </c>
      <c r="AL1582" s="1097">
        <f>'Assumption Inputs'!$J$16</f>
        <v>0.05</v>
      </c>
      <c r="AM1582" s="949"/>
      <c r="AN1582" s="949"/>
      <c r="AO1582" s="949"/>
      <c r="AP1582" s="322"/>
      <c r="AQ1582" s="322"/>
      <c r="AR1582" s="322"/>
      <c r="AS1582" s="322"/>
      <c r="AT1582" s="322"/>
      <c r="AU1582" s="322"/>
      <c r="AV1582" s="322"/>
      <c r="AW1582" s="322"/>
      <c r="AX1582" s="322"/>
      <c r="AY1582" s="322"/>
      <c r="AZ1582" s="322"/>
      <c r="BA1582" s="322"/>
      <c r="BB1582" s="322"/>
    </row>
    <row r="1583" spans="4:54" s="83" customFormat="1">
      <c r="D1583" s="1078" t="s">
        <v>567</v>
      </c>
      <c r="E1583" s="1078"/>
      <c r="F1583" s="1079"/>
      <c r="G1583" s="1080"/>
      <c r="H1583" s="1080"/>
      <c r="I1583" s="1080"/>
      <c r="J1583" s="1080"/>
      <c r="K1583" s="1080"/>
      <c r="L1583" s="1081"/>
      <c r="M1583" s="1081"/>
      <c r="N1583" s="1081"/>
      <c r="O1583" s="1081"/>
      <c r="P1583" s="1080"/>
      <c r="Q1583" s="1081"/>
      <c r="R1583" s="1081"/>
      <c r="S1583" s="1081"/>
      <c r="T1583" s="1081"/>
      <c r="U1583" s="1088"/>
      <c r="V1583" s="1089"/>
      <c r="W1583" s="1089"/>
      <c r="X1583" s="1089"/>
      <c r="Y1583" s="1089"/>
      <c r="Z1583" s="1091">
        <v>1</v>
      </c>
      <c r="AA1583" s="1092"/>
      <c r="AB1583" s="1092"/>
      <c r="AC1583" s="1092"/>
      <c r="AD1583" s="1092"/>
      <c r="AE1583" s="1091">
        <v>2</v>
      </c>
      <c r="AF1583" s="1091">
        <v>3</v>
      </c>
      <c r="AG1583" s="1091">
        <v>4</v>
      </c>
      <c r="AH1583" s="1091">
        <v>5</v>
      </c>
      <c r="AI1583" s="1091">
        <v>6</v>
      </c>
      <c r="AJ1583" s="1091">
        <v>7</v>
      </c>
      <c r="AK1583" s="1091">
        <v>8</v>
      </c>
      <c r="AL1583" s="1091">
        <v>9</v>
      </c>
      <c r="AM1583" s="1090"/>
      <c r="AN1583" s="1090"/>
      <c r="AO1583" s="1090"/>
      <c r="AP1583" s="322"/>
      <c r="AQ1583" s="322"/>
      <c r="AR1583" s="322"/>
      <c r="AS1583" s="322"/>
      <c r="AT1583" s="322"/>
      <c r="AU1583" s="322"/>
      <c r="AV1583" s="322"/>
      <c r="AW1583" s="322"/>
      <c r="AX1583" s="322"/>
      <c r="AY1583" s="322"/>
      <c r="AZ1583" s="322"/>
      <c r="BA1583" s="322"/>
      <c r="BB1583" s="322"/>
    </row>
    <row r="1584" spans="4:54" s="83" customFormat="1">
      <c r="D1584" s="1078" t="s">
        <v>894</v>
      </c>
      <c r="E1584" s="1078"/>
      <c r="F1584" s="1079"/>
      <c r="G1584" s="1080"/>
      <c r="H1584" s="1080"/>
      <c r="I1584" s="1080"/>
      <c r="J1584" s="1080"/>
      <c r="K1584" s="1080"/>
      <c r="L1584" s="1081"/>
      <c r="M1584" s="1081"/>
      <c r="N1584" s="1081"/>
      <c r="O1584" s="1081"/>
      <c r="P1584" s="1080"/>
      <c r="Q1584" s="1081"/>
      <c r="R1584" s="1081"/>
      <c r="S1584" s="1081"/>
      <c r="T1584" s="1081"/>
      <c r="U1584" s="1080">
        <f>U1581</f>
        <v>233.31105624486611</v>
      </c>
      <c r="V1584" s="1081"/>
      <c r="W1584" s="1081"/>
      <c r="X1584" s="1081"/>
      <c r="Y1584" s="1081"/>
      <c r="Z1584" s="1080" t="e">
        <f ca="1">Z1581/(1+Z1582)^(Z1583)</f>
        <v>#VALUE!</v>
      </c>
      <c r="AA1584" s="1081"/>
      <c r="AB1584" s="1081"/>
      <c r="AC1584" s="1081"/>
      <c r="AD1584" s="1081"/>
      <c r="AE1584" s="1080">
        <f t="shared" ref="AE1584:AL1584" si="1252">AE1581/(1+AE1582)^(AE1583)</f>
        <v>-2289.3424036281181</v>
      </c>
      <c r="AF1584" s="1080">
        <f t="shared" ca="1" si="1252"/>
        <v>1065.5518181910352</v>
      </c>
      <c r="AG1584" s="1080">
        <f t="shared" ca="1" si="1252"/>
        <v>1754.1289701225364</v>
      </c>
      <c r="AH1584" s="1080">
        <f t="shared" ca="1" si="1252"/>
        <v>1847.6933602462118</v>
      </c>
      <c r="AI1584" s="1080">
        <f t="shared" ca="1" si="1252"/>
        <v>1938.1436197630669</v>
      </c>
      <c r="AJ1584" s="1080">
        <f t="shared" ca="1" si="1252"/>
        <v>1923.6743048017324</v>
      </c>
      <c r="AK1584" s="1080">
        <f t="shared" ca="1" si="1252"/>
        <v>1576.9657165161948</v>
      </c>
      <c r="AL1584" s="1080">
        <f t="shared" ca="1" si="1252"/>
        <v>1502.3233372091574</v>
      </c>
      <c r="AM1584" s="949"/>
      <c r="AN1584" s="949"/>
      <c r="AO1584" s="949"/>
      <c r="AP1584" s="322"/>
      <c r="AQ1584" s="322"/>
      <c r="AR1584" s="322"/>
      <c r="AS1584" s="322"/>
      <c r="AT1584" s="322"/>
      <c r="AU1584" s="322"/>
      <c r="AV1584" s="322"/>
      <c r="AW1584" s="322"/>
      <c r="AX1584" s="322"/>
      <c r="AY1584" s="322"/>
      <c r="AZ1584" s="322"/>
      <c r="BA1584" s="322"/>
      <c r="BB1584" s="322"/>
    </row>
    <row r="1585" spans="1:54" s="83" customFormat="1">
      <c r="D1585" s="1078"/>
      <c r="E1585" s="1078"/>
      <c r="F1585" s="1079"/>
      <c r="G1585" s="1080"/>
      <c r="H1585" s="1080"/>
      <c r="I1585" s="1080"/>
      <c r="J1585" s="1080"/>
      <c r="K1585" s="1080"/>
      <c r="L1585" s="1081"/>
      <c r="M1585" s="1081"/>
      <c r="N1585" s="1081"/>
      <c r="O1585" s="1081"/>
      <c r="P1585" s="1080"/>
      <c r="Q1585" s="1081"/>
      <c r="R1585" s="1081"/>
      <c r="S1585" s="1081"/>
      <c r="T1585" s="1081"/>
      <c r="U1585" s="1080"/>
      <c r="V1585" s="1081"/>
      <c r="W1585" s="1081"/>
      <c r="X1585" s="1081"/>
      <c r="Y1585" s="1081"/>
      <c r="Z1585" s="1080"/>
      <c r="AA1585" s="1081"/>
      <c r="AB1585" s="1081"/>
      <c r="AC1585" s="1081"/>
      <c r="AD1585" s="1081"/>
      <c r="AE1585" s="1080"/>
      <c r="AF1585" s="1080"/>
      <c r="AG1585" s="1080"/>
      <c r="AH1585" s="1080"/>
      <c r="AI1585" s="1080"/>
      <c r="AJ1585" s="1080"/>
      <c r="AK1585" s="1080"/>
      <c r="AL1585" s="1080"/>
      <c r="AM1585" s="949"/>
      <c r="AN1585" s="949"/>
      <c r="AO1585" s="949"/>
      <c r="AP1585" s="322"/>
      <c r="AQ1585" s="322"/>
      <c r="AR1585" s="322"/>
      <c r="AS1585" s="322"/>
      <c r="AT1585" s="322"/>
      <c r="AU1585" s="322"/>
      <c r="AV1585" s="322"/>
      <c r="AW1585" s="322"/>
      <c r="AX1585" s="322"/>
      <c r="AY1585" s="322"/>
      <c r="AZ1585" s="322"/>
      <c r="BA1585" s="322"/>
      <c r="BB1585" s="322"/>
    </row>
    <row r="1586" spans="1:54" s="83" customFormat="1">
      <c r="D1586" s="1078"/>
      <c r="E1586" s="1078"/>
      <c r="F1586" s="1079"/>
      <c r="G1586" s="1080"/>
      <c r="H1586" s="1080"/>
      <c r="I1586" s="1080"/>
      <c r="J1586" s="1080"/>
      <c r="K1586" s="1080"/>
      <c r="L1586" s="1081"/>
      <c r="M1586" s="1081"/>
      <c r="N1586" s="1081"/>
      <c r="O1586" s="1081"/>
      <c r="P1586" s="1080"/>
      <c r="Q1586" s="1081"/>
      <c r="R1586" s="1081"/>
      <c r="S1586" s="1081"/>
      <c r="T1586" s="1081"/>
      <c r="U1586" s="1080"/>
      <c r="V1586" s="1081"/>
      <c r="W1586" s="1081"/>
      <c r="X1586" s="1081"/>
      <c r="Y1586" s="1081"/>
      <c r="Z1586" s="1080"/>
      <c r="AA1586" s="1081"/>
      <c r="AB1586" s="1081"/>
      <c r="AC1586" s="1081"/>
      <c r="AD1586" s="1081"/>
      <c r="AE1586" s="1080"/>
      <c r="AF1586" s="1080"/>
      <c r="AG1586" s="1077"/>
      <c r="AH1586" s="1077"/>
      <c r="AI1586" s="1077"/>
      <c r="AJ1586" s="1068"/>
      <c r="AK1586" s="1068"/>
      <c r="AL1586" s="949"/>
      <c r="AM1586" s="949"/>
      <c r="AN1586" s="949"/>
      <c r="AO1586" s="949"/>
      <c r="AP1586" s="322"/>
      <c r="AQ1586" s="322"/>
      <c r="AR1586" s="322"/>
      <c r="AS1586" s="322"/>
      <c r="AT1586" s="322"/>
      <c r="AU1586" s="322"/>
      <c r="AV1586" s="322"/>
      <c r="AW1586" s="322"/>
      <c r="AX1586" s="322"/>
      <c r="AY1586" s="322"/>
      <c r="AZ1586" s="322"/>
      <c r="BA1586" s="322"/>
      <c r="BB1586" s="322"/>
    </row>
    <row r="1587" spans="1:54" s="83" customFormat="1">
      <c r="D1587" s="855"/>
      <c r="E1587" s="855"/>
      <c r="F1587" s="855"/>
      <c r="G1587" s="866"/>
      <c r="H1587" s="866"/>
      <c r="I1587" s="866"/>
      <c r="J1587" s="866"/>
      <c r="K1587" s="866"/>
      <c r="L1587" s="953"/>
      <c r="M1587" s="953"/>
      <c r="N1587" s="953"/>
      <c r="O1587" s="953"/>
      <c r="P1587" s="1068"/>
      <c r="Q1587" s="953"/>
      <c r="R1587" s="953"/>
      <c r="S1587" s="953"/>
      <c r="T1587" s="953"/>
      <c r="U1587" s="1068"/>
      <c r="V1587" s="953"/>
      <c r="W1587" s="896"/>
      <c r="X1587" s="896"/>
      <c r="Y1587" s="896"/>
      <c r="Z1587" s="1068"/>
      <c r="AA1587" s="896"/>
      <c r="AB1587" s="896"/>
      <c r="AC1587" s="896"/>
      <c r="AD1587" s="896"/>
      <c r="AE1587" s="1068"/>
      <c r="AF1587" s="1068"/>
      <c r="AG1587" s="1068"/>
      <c r="AH1587" s="1068"/>
      <c r="AI1587" s="1068"/>
      <c r="AJ1587" s="1068"/>
      <c r="AK1587" s="1068"/>
      <c r="AL1587" s="949"/>
      <c r="AM1587" s="949"/>
      <c r="AN1587" s="949"/>
      <c r="AO1587" s="949"/>
      <c r="AP1587" s="322"/>
      <c r="AQ1587" s="322"/>
      <c r="AR1587" s="322"/>
      <c r="AS1587" s="322"/>
      <c r="AT1587" s="322"/>
      <c r="AU1587" s="322"/>
      <c r="AV1587" s="322"/>
      <c r="AW1587" s="322"/>
      <c r="AX1587" s="322"/>
      <c r="AY1587" s="322"/>
      <c r="AZ1587" s="322"/>
      <c r="BA1587" s="322"/>
      <c r="BB1587" s="322"/>
    </row>
    <row r="1588" spans="1:54" s="83" customFormat="1">
      <c r="A1588" s="79"/>
      <c r="B1588" s="79"/>
      <c r="C1588" s="79"/>
      <c r="D1588" s="81" t="s">
        <v>101</v>
      </c>
      <c r="E1588" s="81"/>
      <c r="F1588" s="80"/>
      <c r="G1588" s="80"/>
      <c r="H1588" s="80"/>
      <c r="I1588" s="80"/>
      <c r="J1588" s="319"/>
      <c r="K1588" s="319"/>
      <c r="L1588" s="319"/>
      <c r="M1588" s="319"/>
      <c r="N1588" s="319"/>
      <c r="O1588" s="319"/>
      <c r="P1588" s="403"/>
      <c r="Q1588" s="319"/>
      <c r="R1588" s="319"/>
      <c r="S1588" s="319"/>
      <c r="T1588" s="319"/>
      <c r="U1588" s="340"/>
      <c r="V1588" s="340"/>
      <c r="W1588" s="340"/>
      <c r="X1588" s="340"/>
      <c r="Y1588" s="340"/>
      <c r="Z1588" s="340"/>
      <c r="AA1588" s="340"/>
      <c r="AB1588" s="340"/>
      <c r="AC1588" s="340"/>
      <c r="AD1588" s="340"/>
      <c r="AE1588" s="340"/>
      <c r="AF1588" s="340"/>
      <c r="AG1588" s="340"/>
      <c r="AH1588" s="340"/>
      <c r="AI1588" s="340"/>
      <c r="AJ1588" s="340"/>
      <c r="AK1588" s="340"/>
      <c r="AL1588" s="340"/>
      <c r="AM1588" s="322"/>
      <c r="AN1588" s="322"/>
      <c r="AO1588" s="322"/>
      <c r="AP1588" s="322"/>
      <c r="AQ1588" s="322"/>
      <c r="AR1588" s="322"/>
      <c r="AS1588" s="322"/>
      <c r="AT1588" s="322"/>
      <c r="AU1588" s="322"/>
      <c r="AV1588" s="322"/>
      <c r="AW1588" s="322"/>
      <c r="AX1588" s="322"/>
      <c r="AY1588" s="322"/>
      <c r="AZ1588" s="322"/>
      <c r="BA1588" s="322"/>
      <c r="BB1588" s="322"/>
    </row>
    <row r="1589" spans="1:54" s="83" customFormat="1">
      <c r="D1589" s="343" t="s">
        <v>390</v>
      </c>
      <c r="E1589" s="343"/>
      <c r="L1589" s="140"/>
      <c r="M1589" s="140"/>
      <c r="N1589" s="140"/>
      <c r="O1589" s="140"/>
      <c r="Q1589" s="140"/>
      <c r="R1589" s="140"/>
      <c r="S1589" s="140"/>
      <c r="T1589" s="140"/>
      <c r="V1589" s="140"/>
      <c r="W1589" s="140"/>
      <c r="X1589" s="140"/>
      <c r="Y1589" s="140"/>
      <c r="AA1589" s="140"/>
      <c r="AB1589" s="140"/>
      <c r="AC1589" s="140"/>
      <c r="AD1589" s="140"/>
      <c r="AM1589" s="322"/>
      <c r="AN1589" s="322"/>
      <c r="AO1589" s="322"/>
      <c r="AP1589" s="322"/>
      <c r="AQ1589" s="322"/>
      <c r="AR1589" s="322"/>
      <c r="AS1589" s="322"/>
      <c r="AT1589" s="322"/>
      <c r="AU1589" s="322"/>
      <c r="AV1589" s="322"/>
      <c r="AW1589" s="322"/>
      <c r="AX1589" s="322"/>
      <c r="AY1589" s="322"/>
      <c r="AZ1589" s="322"/>
      <c r="BA1589" s="322"/>
      <c r="BB1589" s="322"/>
    </row>
    <row r="1590" spans="1:54" s="83" customFormat="1">
      <c r="D1590" s="327" t="s">
        <v>168</v>
      </c>
      <c r="E1590" s="1"/>
      <c r="F1590" s="473"/>
      <c r="G1590" s="90">
        <v>1010</v>
      </c>
      <c r="H1590" s="90">
        <v>382</v>
      </c>
      <c r="I1590" s="90">
        <v>-2484</v>
      </c>
      <c r="J1590" s="90">
        <v>1041</v>
      </c>
      <c r="K1590" s="90">
        <v>2489</v>
      </c>
      <c r="L1590" s="101">
        <v>766</v>
      </c>
      <c r="M1590" s="101">
        <v>644</v>
      </c>
      <c r="N1590" s="101">
        <f>N1283</f>
        <v>1289</v>
      </c>
      <c r="O1590" s="101">
        <f>O1283</f>
        <v>440</v>
      </c>
      <c r="P1590" s="94">
        <f>P1283</f>
        <v>3139</v>
      </c>
      <c r="Q1590" s="101">
        <f>Q1283</f>
        <v>666</v>
      </c>
      <c r="R1590" s="101">
        <f>R1283</f>
        <v>270.33333333333331</v>
      </c>
      <c r="S1590" s="101">
        <v>373</v>
      </c>
      <c r="T1590" s="101">
        <f>T1283</f>
        <v>-2314.4786324786323</v>
      </c>
      <c r="U1590" s="94">
        <f>U1283</f>
        <v>-588</v>
      </c>
      <c r="V1590" s="101">
        <f>V1657</f>
        <v>-311</v>
      </c>
      <c r="W1590" s="101">
        <f>W1283</f>
        <v>-185</v>
      </c>
      <c r="X1590" s="101">
        <f ca="1">X1283</f>
        <v>25</v>
      </c>
      <c r="Y1590" s="101">
        <f t="shared" ref="Y1590:AL1590" ca="1" si="1253">Y1283</f>
        <v>156.65959853599998</v>
      </c>
      <c r="Z1590" s="94" t="e">
        <f t="shared" ca="1" si="1253"/>
        <v>#VALUE!</v>
      </c>
      <c r="AA1590" s="101">
        <f t="shared" ca="1" si="1253"/>
        <v>458.41281532698952</v>
      </c>
      <c r="AB1590" s="101">
        <f t="shared" ca="1" si="1253"/>
        <v>419.8543883059956</v>
      </c>
      <c r="AC1590" s="101">
        <f t="shared" ca="1" si="1253"/>
        <v>530.98271260464753</v>
      </c>
      <c r="AD1590" s="101">
        <f t="shared" ca="1" si="1253"/>
        <v>592.25486820363221</v>
      </c>
      <c r="AE1590" s="94">
        <f t="shared" ca="1" si="1253"/>
        <v>2001.5047844412647</v>
      </c>
      <c r="AF1590" s="94">
        <f t="shared" ca="1" si="1253"/>
        <v>1876.9131686769817</v>
      </c>
      <c r="AG1590" s="94">
        <f t="shared" ca="1" si="1253"/>
        <v>2275.789963338852</v>
      </c>
      <c r="AH1590" s="94">
        <f t="shared" ca="1" si="1253"/>
        <v>2458.3694890751694</v>
      </c>
      <c r="AI1590" s="94">
        <f t="shared" ca="1" si="1253"/>
        <v>2656.0395708829387</v>
      </c>
      <c r="AJ1590" s="94">
        <f t="shared" ca="1" si="1253"/>
        <v>2724.6602887476874</v>
      </c>
      <c r="AK1590" s="94">
        <f t="shared" ca="1" si="1253"/>
        <v>2496.9852887476873</v>
      </c>
      <c r="AL1590" s="94">
        <f t="shared" ca="1" si="1253"/>
        <v>2497.6852887476875</v>
      </c>
      <c r="AM1590" s="322"/>
      <c r="AN1590" s="322"/>
      <c r="AO1590" s="322"/>
      <c r="AP1590" s="322"/>
      <c r="AQ1590" s="322"/>
      <c r="AR1590" s="322"/>
      <c r="AS1590" s="322"/>
      <c r="AT1590" s="322"/>
      <c r="AU1590" s="322"/>
      <c r="AV1590" s="322"/>
      <c r="AW1590" s="322"/>
      <c r="AX1590" s="322"/>
      <c r="AY1590" s="322"/>
      <c r="AZ1590" s="322"/>
      <c r="BA1590" s="322"/>
      <c r="BB1590" s="322"/>
    </row>
    <row r="1591" spans="1:54" s="83" customFormat="1">
      <c r="D1591" s="327" t="s">
        <v>386</v>
      </c>
      <c r="E1591" s="1"/>
      <c r="F1591" s="473"/>
      <c r="G1591" s="90">
        <v>1233</v>
      </c>
      <c r="H1591" s="90">
        <v>1344</v>
      </c>
      <c r="I1591" s="90">
        <v>1366</v>
      </c>
      <c r="J1591" s="90">
        <v>1385</v>
      </c>
      <c r="K1591" s="90">
        <v>1492</v>
      </c>
      <c r="L1591" s="97">
        <v>350</v>
      </c>
      <c r="M1591" s="97">
        <f>M1658</f>
        <v>353</v>
      </c>
      <c r="N1591" s="97">
        <f t="shared" ref="N1591:U1591" si="1254">N1658</f>
        <v>380</v>
      </c>
      <c r="O1591" s="97">
        <f t="shared" si="1254"/>
        <v>400</v>
      </c>
      <c r="P1591" s="130">
        <f>P1658</f>
        <v>1483</v>
      </c>
      <c r="Q1591" s="97">
        <f t="shared" si="1254"/>
        <v>373</v>
      </c>
      <c r="R1591" s="97">
        <f>R1658</f>
        <v>395</v>
      </c>
      <c r="S1591" s="97">
        <f t="shared" si="1254"/>
        <v>436</v>
      </c>
      <c r="T1591" s="97">
        <f t="shared" si="1254"/>
        <v>415</v>
      </c>
      <c r="U1591" s="130">
        <f t="shared" si="1254"/>
        <v>1619</v>
      </c>
      <c r="V1591" s="97">
        <f>V1658</f>
        <v>378</v>
      </c>
      <c r="W1591" s="97">
        <f>-W1259</f>
        <v>314</v>
      </c>
      <c r="X1591" s="97">
        <f t="shared" ref="X1591:AL1591" si="1255">-X1259</f>
        <v>412</v>
      </c>
      <c r="Y1591" s="97">
        <f t="shared" ca="1" si="1255"/>
        <v>393</v>
      </c>
      <c r="Z1591" s="130">
        <f t="shared" ca="1" si="1255"/>
        <v>1497</v>
      </c>
      <c r="AA1591" s="97">
        <f t="shared" ca="1" si="1255"/>
        <v>363.04187760585535</v>
      </c>
      <c r="AB1591" s="97">
        <f t="shared" ca="1" si="1255"/>
        <v>367.82242279425111</v>
      </c>
      <c r="AC1591" s="97">
        <f t="shared" ca="1" si="1255"/>
        <v>407.24838224201301</v>
      </c>
      <c r="AD1591" s="97">
        <f t="shared" ca="1" si="1255"/>
        <v>442.43421538280569</v>
      </c>
      <c r="AE1591" s="130">
        <f t="shared" ca="1" si="1255"/>
        <v>1580.5468980249252</v>
      </c>
      <c r="AF1591" s="130">
        <f t="shared" ca="1" si="1255"/>
        <v>1638.6622876310332</v>
      </c>
      <c r="AG1591" s="130">
        <f t="shared" ca="1" si="1255"/>
        <v>1700.2306329547741</v>
      </c>
      <c r="AH1591" s="130">
        <f t="shared" ca="1" si="1255"/>
        <v>1733.9039438844452</v>
      </c>
      <c r="AI1591" s="130">
        <f t="shared" ca="1" si="1255"/>
        <v>1779.8032244599847</v>
      </c>
      <c r="AJ1591" s="130">
        <f t="shared" ca="1" si="1255"/>
        <v>1795.6305625894813</v>
      </c>
      <c r="AK1591" s="130">
        <f t="shared" ca="1" si="1255"/>
        <v>1795.6305625894813</v>
      </c>
      <c r="AL1591" s="130">
        <f t="shared" ca="1" si="1255"/>
        <v>1795.6305625894813</v>
      </c>
      <c r="AM1591" s="322"/>
      <c r="AN1591" s="322"/>
      <c r="AO1591" s="322"/>
      <c r="AP1591" s="322"/>
      <c r="AQ1591" s="322"/>
      <c r="AR1591" s="322"/>
      <c r="AS1591" s="322"/>
      <c r="AT1591" s="322"/>
      <c r="AU1591" s="322"/>
      <c r="AV1591" s="322"/>
      <c r="AW1591" s="322"/>
      <c r="AX1591" s="322"/>
      <c r="AY1591" s="322"/>
      <c r="AZ1591" s="322"/>
      <c r="BA1591" s="322"/>
      <c r="BB1591" s="322"/>
    </row>
    <row r="1592" spans="1:54" s="83" customFormat="1">
      <c r="D1592" s="327" t="s">
        <v>385</v>
      </c>
      <c r="E1592" s="1"/>
      <c r="F1592" s="473"/>
      <c r="G1592" s="94">
        <f t="shared" ref="G1592:P1592" si="1256">G1673</f>
        <v>235</v>
      </c>
      <c r="H1592" s="94">
        <f t="shared" si="1256"/>
        <v>283</v>
      </c>
      <c r="I1592" s="94">
        <f t="shared" si="1256"/>
        <v>214</v>
      </c>
      <c r="J1592" s="94">
        <f t="shared" si="1256"/>
        <v>-360</v>
      </c>
      <c r="K1592" s="94">
        <f t="shared" si="1256"/>
        <v>169</v>
      </c>
      <c r="L1592" s="101">
        <f>L1673</f>
        <v>-294</v>
      </c>
      <c r="M1592" s="101">
        <f>M1673</f>
        <v>5</v>
      </c>
      <c r="N1592" s="101">
        <f>N1673</f>
        <v>-176</v>
      </c>
      <c r="O1592" s="101">
        <f>O1673</f>
        <v>436</v>
      </c>
      <c r="P1592" s="94">
        <f t="shared" si="1256"/>
        <v>-29</v>
      </c>
      <c r="Q1592" s="101">
        <f>Q1673</f>
        <v>-698</v>
      </c>
      <c r="R1592" s="101">
        <f>R1673</f>
        <v>139</v>
      </c>
      <c r="S1592" s="101">
        <v>189</v>
      </c>
      <c r="T1592" s="101">
        <f>U1592-Q1592-R1592-S1592</f>
        <v>210</v>
      </c>
      <c r="U1592" s="94">
        <f>U1673</f>
        <v>-160</v>
      </c>
      <c r="V1592" s="101">
        <f>V1673</f>
        <v>-139</v>
      </c>
      <c r="W1592" s="101">
        <f>W1673</f>
        <v>76</v>
      </c>
      <c r="X1592" s="101">
        <f>X1673</f>
        <v>-74</v>
      </c>
      <c r="Y1592" s="101">
        <f ca="1">Z1592-V1592-W1592-X1592</f>
        <v>291.77355743117391</v>
      </c>
      <c r="Z1592" s="94">
        <f ca="1">(Z1339+Z1348-Z1357+Z1365)*-1</f>
        <v>154.77355743117391</v>
      </c>
      <c r="AA1592" s="101">
        <f ca="1">AE1592/4</f>
        <v>-87.504370387831315</v>
      </c>
      <c r="AB1592" s="101">
        <f ca="1">(AE1592-AA1592)/3</f>
        <v>-87.504370387831315</v>
      </c>
      <c r="AC1592" s="101">
        <f ca="1">(AE1592-AA1592-AB1592)/2</f>
        <v>-87.504370387831301</v>
      </c>
      <c r="AD1592" s="101">
        <f ca="1">AE1592-AA1592-AB1592-AC1592</f>
        <v>-87.504370387831301</v>
      </c>
      <c r="AE1592" s="94">
        <f t="shared" ref="AE1592:AL1592" ca="1" si="1257">(AE1339+AE1348-AE1357+AE1365)*-1</f>
        <v>-350.01748155132526</v>
      </c>
      <c r="AF1592" s="94">
        <f t="shared" ca="1" si="1257"/>
        <v>-40.566032774617156</v>
      </c>
      <c r="AG1592" s="94">
        <f t="shared" ca="1" si="1257"/>
        <v>-43.565869803619307</v>
      </c>
      <c r="AH1592" s="94">
        <f t="shared" ca="1" si="1257"/>
        <v>-33.796464123703117</v>
      </c>
      <c r="AI1592" s="94">
        <f t="shared" ca="1" si="1257"/>
        <v>-38.24497959327914</v>
      </c>
      <c r="AJ1592" s="94">
        <f t="shared" ca="1" si="1257"/>
        <v>-13.187923997682219</v>
      </c>
      <c r="AK1592" s="94">
        <f t="shared" ca="1" si="1257"/>
        <v>0</v>
      </c>
      <c r="AL1592" s="94">
        <f t="shared" ca="1" si="1257"/>
        <v>0</v>
      </c>
      <c r="AM1592" s="322"/>
      <c r="AN1592" s="322"/>
      <c r="AO1592" s="322"/>
      <c r="AP1592" s="322"/>
      <c r="AQ1592" s="322"/>
      <c r="AR1592" s="322"/>
      <c r="AS1592" s="322"/>
      <c r="AT1592" s="322"/>
      <c r="AU1592" s="322"/>
      <c r="AV1592" s="322"/>
      <c r="AW1592" s="322"/>
      <c r="AX1592" s="322"/>
      <c r="AY1592" s="322"/>
      <c r="AZ1592" s="322"/>
      <c r="BA1592" s="322"/>
      <c r="BB1592" s="322"/>
    </row>
    <row r="1593" spans="1:54" s="83" customFormat="1">
      <c r="D1593" s="327" t="s">
        <v>387</v>
      </c>
      <c r="E1593" s="1"/>
      <c r="F1593" s="473"/>
      <c r="G1593" s="94">
        <f>G1671</f>
        <v>400</v>
      </c>
      <c r="H1593" s="94">
        <f t="shared" ref="H1593:Q1593" si="1258">H1671</f>
        <v>269</v>
      </c>
      <c r="I1593" s="94">
        <f t="shared" si="1258"/>
        <v>2866</v>
      </c>
      <c r="J1593" s="94">
        <f t="shared" si="1258"/>
        <v>990</v>
      </c>
      <c r="K1593" s="94">
        <f t="shared" si="1258"/>
        <v>899</v>
      </c>
      <c r="L1593" s="101">
        <f>L1671</f>
        <v>297</v>
      </c>
      <c r="M1593" s="101">
        <f>M1671</f>
        <v>103</v>
      </c>
      <c r="N1593" s="101">
        <f>N1671</f>
        <v>-691</v>
      </c>
      <c r="O1593" s="101">
        <f>O1671</f>
        <v>-2</v>
      </c>
      <c r="P1593" s="94">
        <f>P1671</f>
        <v>-161</v>
      </c>
      <c r="Q1593" s="101">
        <f t="shared" si="1258"/>
        <v>201</v>
      </c>
      <c r="R1593" s="101">
        <f>R1671</f>
        <v>336</v>
      </c>
      <c r="S1593" s="101">
        <v>227</v>
      </c>
      <c r="T1593" s="101">
        <f>U1593-Q1593-R1593-S1593</f>
        <v>957</v>
      </c>
      <c r="U1593" s="94">
        <f>U1671</f>
        <v>1721</v>
      </c>
      <c r="V1593" s="101">
        <f>V1671</f>
        <v>351</v>
      </c>
      <c r="W1593" s="101">
        <f>W1671</f>
        <v>95</v>
      </c>
      <c r="X1593" s="335">
        <f>X1671</f>
        <v>0</v>
      </c>
      <c r="Y1593" s="1170">
        <f>Z1593-V1593-W1593-X1593</f>
        <v>1275</v>
      </c>
      <c r="Z1593" s="208">
        <f>$U$1593</f>
        <v>1721</v>
      </c>
      <c r="AA1593" s="181">
        <f>AE1593/4</f>
        <v>430.25</v>
      </c>
      <c r="AB1593" s="101">
        <f>(AE1593-AA1593)/3</f>
        <v>430.25</v>
      </c>
      <c r="AC1593" s="101">
        <f>(AE1593-AA1593-AB1593)/2</f>
        <v>430.25</v>
      </c>
      <c r="AD1593" s="101">
        <f>AE1593-AA1593-AB1593-AC1593</f>
        <v>430.25</v>
      </c>
      <c r="AE1593" s="208">
        <f>Z1593</f>
        <v>1721</v>
      </c>
      <c r="AF1593" s="208">
        <f t="shared" ref="AF1593:AL1593" si="1259">AE1593</f>
        <v>1721</v>
      </c>
      <c r="AG1593" s="208">
        <f t="shared" si="1259"/>
        <v>1721</v>
      </c>
      <c r="AH1593" s="208">
        <f t="shared" si="1259"/>
        <v>1721</v>
      </c>
      <c r="AI1593" s="208">
        <f t="shared" si="1259"/>
        <v>1721</v>
      </c>
      <c r="AJ1593" s="208">
        <f t="shared" si="1259"/>
        <v>1721</v>
      </c>
      <c r="AK1593" s="208">
        <f t="shared" si="1259"/>
        <v>1721</v>
      </c>
      <c r="AL1593" s="208">
        <f t="shared" si="1259"/>
        <v>1721</v>
      </c>
      <c r="AM1593" s="322"/>
      <c r="AN1593" s="322"/>
      <c r="AO1593" s="322"/>
      <c r="AP1593" s="322"/>
      <c r="AQ1593" s="322"/>
      <c r="AR1593" s="322"/>
      <c r="AS1593" s="322"/>
      <c r="AT1593" s="322"/>
      <c r="AU1593" s="322"/>
      <c r="AV1593" s="322"/>
      <c r="AW1593" s="322"/>
      <c r="AX1593" s="322"/>
      <c r="AY1593" s="322"/>
      <c r="AZ1593" s="322"/>
      <c r="BA1593" s="322"/>
      <c r="BB1593" s="322"/>
    </row>
    <row r="1594" spans="1:54" s="83" customFormat="1">
      <c r="D1594" s="343" t="s">
        <v>388</v>
      </c>
      <c r="E1594" s="1"/>
      <c r="F1594" s="473"/>
      <c r="G1594" s="325">
        <f t="shared" ref="G1594:AL1594" si="1260">SUM(G1590:G1593)</f>
        <v>2878</v>
      </c>
      <c r="H1594" s="325">
        <f t="shared" si="1260"/>
        <v>2278</v>
      </c>
      <c r="I1594" s="325">
        <f t="shared" si="1260"/>
        <v>1962</v>
      </c>
      <c r="J1594" s="325">
        <f t="shared" si="1260"/>
        <v>3056</v>
      </c>
      <c r="K1594" s="325">
        <f t="shared" si="1260"/>
        <v>5049</v>
      </c>
      <c r="L1594" s="326">
        <f t="shared" si="1260"/>
        <v>1119</v>
      </c>
      <c r="M1594" s="326">
        <f t="shared" si="1260"/>
        <v>1105</v>
      </c>
      <c r="N1594" s="326">
        <f>SUM(N1590:N1593)</f>
        <v>802</v>
      </c>
      <c r="O1594" s="326">
        <f>SUM(O1590:O1593)</f>
        <v>1274</v>
      </c>
      <c r="P1594" s="325">
        <f t="shared" si="1260"/>
        <v>4432</v>
      </c>
      <c r="Q1594" s="326">
        <f t="shared" si="1260"/>
        <v>542</v>
      </c>
      <c r="R1594" s="326">
        <f t="shared" si="1260"/>
        <v>1140.3333333333333</v>
      </c>
      <c r="S1594" s="326">
        <v>1062</v>
      </c>
      <c r="T1594" s="326">
        <f t="shared" si="1260"/>
        <v>-732.47863247863233</v>
      </c>
      <c r="U1594" s="325">
        <f t="shared" ref="U1594:AE1594" si="1261">SUM(U1590:U1593)</f>
        <v>2592</v>
      </c>
      <c r="V1594" s="326">
        <f t="shared" si="1261"/>
        <v>279</v>
      </c>
      <c r="W1594" s="326">
        <f t="shared" si="1261"/>
        <v>300</v>
      </c>
      <c r="X1594" s="326">
        <f ca="1">SUM(X1590:X1593)</f>
        <v>363</v>
      </c>
      <c r="Y1594" s="326">
        <f t="shared" ca="1" si="1261"/>
        <v>2116.4331559671737</v>
      </c>
      <c r="Z1594" s="325" t="e">
        <f t="shared" ca="1" si="1261"/>
        <v>#VALUE!</v>
      </c>
      <c r="AA1594" s="326">
        <f t="shared" ca="1" si="1261"/>
        <v>1164.2003225450135</v>
      </c>
      <c r="AB1594" s="326">
        <f t="shared" ca="1" si="1261"/>
        <v>1130.4224407124154</v>
      </c>
      <c r="AC1594" s="326">
        <f t="shared" ca="1" si="1261"/>
        <v>1280.9767244588293</v>
      </c>
      <c r="AD1594" s="326">
        <f t="shared" ca="1" si="1261"/>
        <v>1377.4347131986065</v>
      </c>
      <c r="AE1594" s="325">
        <f t="shared" ca="1" si="1261"/>
        <v>4953.0342009148644</v>
      </c>
      <c r="AF1594" s="325">
        <f t="shared" ca="1" si="1260"/>
        <v>5196.0094235333981</v>
      </c>
      <c r="AG1594" s="325">
        <f t="shared" ca="1" si="1260"/>
        <v>5653.4547264900066</v>
      </c>
      <c r="AH1594" s="325">
        <f t="shared" ca="1" si="1260"/>
        <v>5879.476968835912</v>
      </c>
      <c r="AI1594" s="325">
        <f t="shared" ca="1" si="1260"/>
        <v>6118.5978157496447</v>
      </c>
      <c r="AJ1594" s="325">
        <f t="shared" ca="1" si="1260"/>
        <v>6228.1029273394861</v>
      </c>
      <c r="AK1594" s="325">
        <f t="shared" ca="1" si="1260"/>
        <v>6013.6158513371684</v>
      </c>
      <c r="AL1594" s="325">
        <f t="shared" ca="1" si="1260"/>
        <v>6014.3158513371691</v>
      </c>
      <c r="AM1594" s="322"/>
      <c r="AN1594" s="322"/>
      <c r="AO1594" s="322"/>
      <c r="AP1594" s="322"/>
      <c r="AQ1594" s="322"/>
      <c r="AR1594" s="322"/>
      <c r="AS1594" s="322"/>
      <c r="AT1594" s="322"/>
      <c r="AU1594" s="322"/>
      <c r="AV1594" s="322"/>
      <c r="AW1594" s="322"/>
      <c r="AX1594" s="322"/>
      <c r="AY1594" s="322"/>
      <c r="AZ1594" s="322"/>
      <c r="BA1594" s="322"/>
      <c r="BB1594" s="322"/>
    </row>
    <row r="1595" spans="1:54" s="83" customFormat="1">
      <c r="E1595" s="1"/>
      <c r="F1595" s="473"/>
      <c r="L1595" s="140"/>
      <c r="M1595" s="140"/>
      <c r="N1595" s="140"/>
      <c r="O1595" s="140"/>
      <c r="Q1595" s="140"/>
      <c r="R1595" s="140"/>
      <c r="S1595" s="140"/>
      <c r="T1595" s="140"/>
      <c r="V1595" s="140"/>
      <c r="W1595" s="140"/>
      <c r="X1595" s="140"/>
      <c r="Y1595" s="140"/>
      <c r="AA1595" s="140"/>
      <c r="AB1595" s="140"/>
      <c r="AC1595" s="140"/>
      <c r="AD1595" s="140"/>
      <c r="AK1595" s="223"/>
      <c r="AL1595" s="322"/>
      <c r="AM1595" s="322"/>
      <c r="AN1595" s="322"/>
      <c r="AO1595" s="322"/>
      <c r="AP1595" s="322"/>
      <c r="AQ1595" s="322"/>
      <c r="AR1595" s="322"/>
      <c r="AS1595" s="322"/>
      <c r="AT1595" s="322"/>
      <c r="AU1595" s="322"/>
      <c r="AV1595" s="322"/>
      <c r="AW1595" s="322"/>
      <c r="AX1595" s="322"/>
      <c r="AY1595" s="322"/>
      <c r="AZ1595" s="322"/>
      <c r="BA1595" s="322"/>
      <c r="BB1595" s="322"/>
    </row>
    <row r="1596" spans="1:54" s="119" customFormat="1">
      <c r="D1596" s="119" t="s">
        <v>389</v>
      </c>
      <c r="E1596" s="1"/>
      <c r="F1596" s="473"/>
      <c r="L1596" s="574"/>
      <c r="M1596" s="574"/>
      <c r="N1596" s="574"/>
      <c r="O1596" s="574"/>
      <c r="Q1596" s="574"/>
      <c r="R1596" s="574"/>
      <c r="S1596" s="574"/>
      <c r="T1596" s="574"/>
      <c r="V1596" s="574"/>
      <c r="W1596" s="574"/>
      <c r="X1596" s="574"/>
      <c r="Y1596" s="574"/>
      <c r="AA1596" s="574"/>
      <c r="AB1596" s="574"/>
      <c r="AC1596" s="574"/>
      <c r="AD1596" s="574"/>
      <c r="AK1596" s="406"/>
      <c r="AL1596" s="407"/>
      <c r="AM1596" s="407"/>
      <c r="AN1596" s="407"/>
      <c r="AO1596" s="407"/>
      <c r="AP1596" s="407"/>
      <c r="AQ1596" s="407"/>
      <c r="AR1596" s="407"/>
      <c r="AS1596" s="407"/>
      <c r="AT1596" s="407"/>
      <c r="AU1596" s="407"/>
      <c r="AV1596" s="407"/>
      <c r="AW1596" s="407"/>
      <c r="AX1596" s="407"/>
      <c r="AY1596" s="407"/>
      <c r="AZ1596" s="407"/>
      <c r="BA1596" s="407"/>
      <c r="BB1596" s="407"/>
    </row>
    <row r="1597" spans="1:54" s="83" customFormat="1">
      <c r="D1597" s="98" t="s">
        <v>391</v>
      </c>
      <c r="E1597" s="1"/>
      <c r="F1597" s="473"/>
      <c r="G1597" s="94">
        <f t="shared" ref="G1597:AF1597" si="1262">G1545*-1</f>
        <v>-1858</v>
      </c>
      <c r="H1597" s="94">
        <f t="shared" si="1262"/>
        <v>-1498</v>
      </c>
      <c r="I1597" s="94">
        <f t="shared" si="1262"/>
        <v>-1581</v>
      </c>
      <c r="J1597" s="94">
        <f t="shared" si="1262"/>
        <v>-1416</v>
      </c>
      <c r="K1597" s="94">
        <f t="shared" si="1262"/>
        <v>-1621</v>
      </c>
      <c r="L1597" s="101">
        <f>L1545*-1</f>
        <v>-460</v>
      </c>
      <c r="M1597" s="101">
        <f t="shared" si="1262"/>
        <v>-346</v>
      </c>
      <c r="N1597" s="101">
        <f t="shared" si="1262"/>
        <v>-423</v>
      </c>
      <c r="O1597" s="101">
        <f>O1545*-1</f>
        <v>-680</v>
      </c>
      <c r="P1597" s="94">
        <f t="shared" si="1262"/>
        <v>-1906</v>
      </c>
      <c r="Q1597" s="101">
        <f t="shared" si="1262"/>
        <v>-482</v>
      </c>
      <c r="R1597" s="101">
        <f t="shared" si="1262"/>
        <v>-599</v>
      </c>
      <c r="S1597" s="101">
        <f t="shared" si="1262"/>
        <v>-825</v>
      </c>
      <c r="T1597" s="101">
        <f t="shared" si="1262"/>
        <v>-876</v>
      </c>
      <c r="U1597" s="94">
        <f>U1545*-1</f>
        <v>-2782</v>
      </c>
      <c r="V1597" s="101">
        <f>V1545*-1</f>
        <v>-818</v>
      </c>
      <c r="W1597" s="101">
        <f t="shared" ref="W1597:X1599" si="1263">W1677</f>
        <v>-792</v>
      </c>
      <c r="X1597" s="101">
        <f t="shared" si="1263"/>
        <v>-589</v>
      </c>
      <c r="Y1597" s="101">
        <f t="shared" ref="Y1597:AD1597" si="1264">Y1545*-1</f>
        <v>-831.16666666666663</v>
      </c>
      <c r="Z1597" s="94">
        <f t="shared" si="1264"/>
        <v>-3123</v>
      </c>
      <c r="AA1597" s="101">
        <f t="shared" si="1264"/>
        <v>-840.5</v>
      </c>
      <c r="AB1597" s="101">
        <f t="shared" si="1264"/>
        <v>-1115.5</v>
      </c>
      <c r="AC1597" s="101">
        <f t="shared" si="1264"/>
        <v>-728</v>
      </c>
      <c r="AD1597" s="101">
        <f t="shared" si="1264"/>
        <v>-728</v>
      </c>
      <c r="AE1597" s="94">
        <f t="shared" si="1262"/>
        <v>-3412</v>
      </c>
      <c r="AF1597" s="94">
        <f t="shared" si="1262"/>
        <v>-1882</v>
      </c>
      <c r="AG1597" s="94">
        <f t="shared" ref="AG1597:AL1597" si="1265">AG1545*-1</f>
        <v>-1382</v>
      </c>
      <c r="AH1597" s="94">
        <f t="shared" si="1265"/>
        <v>-1382</v>
      </c>
      <c r="AI1597" s="94">
        <f t="shared" si="1265"/>
        <v>-1382</v>
      </c>
      <c r="AJ1597" s="94">
        <f t="shared" si="1265"/>
        <v>-1382</v>
      </c>
      <c r="AK1597" s="94">
        <f t="shared" si="1265"/>
        <v>-1603.2192688015966</v>
      </c>
      <c r="AL1597" s="94">
        <f t="shared" si="1265"/>
        <v>-1603.2192688015966</v>
      </c>
      <c r="AM1597" s="322"/>
      <c r="AN1597" s="322"/>
      <c r="AO1597" s="322"/>
      <c r="AP1597" s="322"/>
      <c r="AQ1597" s="322"/>
      <c r="AR1597" s="322"/>
      <c r="AS1597" s="322"/>
      <c r="AT1597" s="322"/>
      <c r="AU1597" s="322"/>
      <c r="AV1597" s="322"/>
      <c r="AW1597" s="322"/>
      <c r="AX1597" s="322"/>
      <c r="AY1597" s="322"/>
      <c r="AZ1597" s="322"/>
      <c r="BA1597" s="322"/>
      <c r="BB1597" s="322"/>
    </row>
    <row r="1598" spans="1:54" s="83" customFormat="1">
      <c r="D1598" s="98" t="s">
        <v>392</v>
      </c>
      <c r="E1598" s="1"/>
      <c r="F1598" s="473"/>
      <c r="G1598" s="94">
        <f t="shared" ref="G1598:AF1598" si="1266">G1547*-1</f>
        <v>-744</v>
      </c>
      <c r="H1598" s="94">
        <f t="shared" si="1266"/>
        <v>-715</v>
      </c>
      <c r="I1598" s="94">
        <f t="shared" si="1266"/>
        <v>-663</v>
      </c>
      <c r="J1598" s="94">
        <f t="shared" si="1266"/>
        <v>-477</v>
      </c>
      <c r="K1598" s="94">
        <f t="shared" si="1266"/>
        <v>-678</v>
      </c>
      <c r="L1598" s="101">
        <f t="shared" si="1266"/>
        <v>-197</v>
      </c>
      <c r="M1598" s="101">
        <f t="shared" si="1266"/>
        <v>-175</v>
      </c>
      <c r="N1598" s="101">
        <f t="shared" si="1266"/>
        <v>-162</v>
      </c>
      <c r="O1598" s="101">
        <f>O1547*-1</f>
        <v>-173</v>
      </c>
      <c r="P1598" s="94">
        <f t="shared" si="1266"/>
        <v>-707</v>
      </c>
      <c r="Q1598" s="101">
        <f t="shared" si="1266"/>
        <v>-199</v>
      </c>
      <c r="R1598" s="101">
        <f t="shared" si="1266"/>
        <v>-170</v>
      </c>
      <c r="S1598" s="101">
        <f t="shared" si="1266"/>
        <v>-159</v>
      </c>
      <c r="T1598" s="101">
        <f t="shared" si="1266"/>
        <v>-156</v>
      </c>
      <c r="U1598" s="94">
        <f>U1547*-1</f>
        <v>-680</v>
      </c>
      <c r="V1598" s="101">
        <f>V1547*-1</f>
        <v>-172</v>
      </c>
      <c r="W1598" s="101">
        <f t="shared" si="1263"/>
        <v>-97</v>
      </c>
      <c r="X1598" s="101">
        <f t="shared" si="1263"/>
        <v>-110</v>
      </c>
      <c r="Y1598" s="101">
        <f>Y1547*-1</f>
        <v>-82</v>
      </c>
      <c r="Z1598" s="94">
        <f t="shared" si="1266"/>
        <v>-499</v>
      </c>
      <c r="AA1598" s="101">
        <f>AA1547*-1</f>
        <v>-138</v>
      </c>
      <c r="AB1598" s="101">
        <f>AB1547*-1</f>
        <v>-179</v>
      </c>
      <c r="AC1598" s="101">
        <f>AC1547*-1</f>
        <v>-101.17175318745615</v>
      </c>
      <c r="AD1598" s="101">
        <f>AD1547*-1</f>
        <v>-99.054507320352286</v>
      </c>
      <c r="AE1598" s="94">
        <f>AE1547*-1</f>
        <v>-492</v>
      </c>
      <c r="AF1598" s="94">
        <f t="shared" si="1266"/>
        <v>-499</v>
      </c>
      <c r="AG1598" s="94">
        <f t="shared" ref="AG1598:AL1598" si="1267">AG1547*-1</f>
        <v>-499</v>
      </c>
      <c r="AH1598" s="94">
        <f t="shared" si="1267"/>
        <v>-499</v>
      </c>
      <c r="AI1598" s="94">
        <f t="shared" si="1267"/>
        <v>-499</v>
      </c>
      <c r="AJ1598" s="94">
        <f t="shared" si="1267"/>
        <v>-499</v>
      </c>
      <c r="AK1598" s="94">
        <f t="shared" si="1267"/>
        <v>-499</v>
      </c>
      <c r="AL1598" s="94">
        <f t="shared" si="1267"/>
        <v>-499</v>
      </c>
      <c r="AM1598" s="322"/>
      <c r="AN1598" s="322"/>
      <c r="AO1598" s="322"/>
      <c r="AP1598" s="322"/>
      <c r="AQ1598" s="322"/>
      <c r="AR1598" s="322"/>
      <c r="AS1598" s="322"/>
      <c r="AT1598" s="322"/>
      <c r="AU1598" s="322"/>
      <c r="AV1598" s="322"/>
      <c r="AW1598" s="322"/>
      <c r="AX1598" s="322"/>
      <c r="AY1598" s="322"/>
      <c r="AZ1598" s="322"/>
      <c r="BA1598" s="322"/>
      <c r="BB1598" s="322"/>
    </row>
    <row r="1599" spans="1:54" s="83" customFormat="1">
      <c r="D1599" s="98" t="s">
        <v>393</v>
      </c>
      <c r="E1599" s="1"/>
      <c r="F1599" s="473"/>
      <c r="G1599" s="94">
        <v>-325</v>
      </c>
      <c r="H1599" s="94">
        <v>-44</v>
      </c>
      <c r="I1599" s="94">
        <v>-82</v>
      </c>
      <c r="J1599" s="94">
        <v>-114</v>
      </c>
      <c r="K1599" s="94">
        <v>-309</v>
      </c>
      <c r="L1599" s="101">
        <v>-26</v>
      </c>
      <c r="M1599" s="101">
        <v>-110</v>
      </c>
      <c r="N1599" s="101">
        <f>N1679</f>
        <v>-116</v>
      </c>
      <c r="O1599" s="101">
        <f>O1679</f>
        <v>-32</v>
      </c>
      <c r="P1599" s="94">
        <f>P1679</f>
        <v>-284</v>
      </c>
      <c r="Q1599" s="101">
        <v>-32</v>
      </c>
      <c r="R1599" s="101">
        <v>-48</v>
      </c>
      <c r="S1599" s="101">
        <v>-43</v>
      </c>
      <c r="T1599" s="101">
        <f>U1599-Q1599-R1599-S1599</f>
        <v>-55</v>
      </c>
      <c r="U1599" s="94">
        <f>U1679</f>
        <v>-178</v>
      </c>
      <c r="V1599" s="101">
        <f>V1679</f>
        <v>-29</v>
      </c>
      <c r="W1599" s="101">
        <f t="shared" si="1263"/>
        <v>-52</v>
      </c>
      <c r="X1599" s="101">
        <f t="shared" si="1263"/>
        <v>-54</v>
      </c>
      <c r="Y1599" s="101">
        <f>Z1599-V1599-W1599-X1599</f>
        <v>-20</v>
      </c>
      <c r="Z1599" s="208">
        <f>U1490-Z1490</f>
        <v>-155</v>
      </c>
      <c r="AA1599" s="181">
        <f>AE1599/4</f>
        <v>0</v>
      </c>
      <c r="AB1599" s="101">
        <f>(AE1599-AA1599)/3</f>
        <v>0</v>
      </c>
      <c r="AC1599" s="101">
        <f>(AE1599-AA1599-AB1599)/2</f>
        <v>0</v>
      </c>
      <c r="AD1599" s="101">
        <f>AE1599-AA1599-AB1599-AC1599</f>
        <v>0</v>
      </c>
      <c r="AE1599" s="208">
        <f>Z1490-AE1490</f>
        <v>0</v>
      </c>
      <c r="AF1599" s="208">
        <f t="shared" ref="AF1599:AL1599" si="1268">AE1490-AF1490</f>
        <v>0</v>
      </c>
      <c r="AG1599" s="208">
        <f t="shared" si="1268"/>
        <v>0</v>
      </c>
      <c r="AH1599" s="208">
        <f t="shared" si="1268"/>
        <v>0</v>
      </c>
      <c r="AI1599" s="208">
        <f t="shared" si="1268"/>
        <v>0</v>
      </c>
      <c r="AJ1599" s="208">
        <f t="shared" si="1268"/>
        <v>0</v>
      </c>
      <c r="AK1599" s="208">
        <f t="shared" si="1268"/>
        <v>0</v>
      </c>
      <c r="AL1599" s="208">
        <f t="shared" si="1268"/>
        <v>0</v>
      </c>
      <c r="AM1599" s="322"/>
      <c r="AN1599" s="322"/>
      <c r="AO1599" s="322"/>
      <c r="AP1599" s="322"/>
      <c r="AQ1599" s="322"/>
      <c r="AR1599" s="322"/>
      <c r="AS1599" s="322"/>
      <c r="AT1599" s="322"/>
      <c r="AU1599" s="322"/>
      <c r="AV1599" s="322"/>
      <c r="AW1599" s="322"/>
      <c r="AX1599" s="322"/>
      <c r="AY1599" s="322"/>
      <c r="AZ1599" s="322"/>
      <c r="BA1599" s="322"/>
      <c r="BB1599" s="322"/>
    </row>
    <row r="1600" spans="1:54" s="83" customFormat="1">
      <c r="D1600" s="98" t="s">
        <v>394</v>
      </c>
      <c r="E1600" s="1"/>
      <c r="F1600" s="473"/>
      <c r="G1600" s="94">
        <f t="shared" ref="G1600:R1600" si="1269">G1681</f>
        <v>502</v>
      </c>
      <c r="H1600" s="94">
        <f t="shared" si="1269"/>
        <v>34</v>
      </c>
      <c r="I1600" s="94">
        <f t="shared" si="1269"/>
        <v>1222</v>
      </c>
      <c r="J1600" s="94">
        <f t="shared" si="1269"/>
        <v>170</v>
      </c>
      <c r="K1600" s="94">
        <f t="shared" si="1269"/>
        <v>126</v>
      </c>
      <c r="L1600" s="101">
        <f t="shared" si="1269"/>
        <v>41</v>
      </c>
      <c r="M1600" s="101">
        <f t="shared" si="1269"/>
        <v>32</v>
      </c>
      <c r="N1600" s="101">
        <f t="shared" si="1269"/>
        <v>1206</v>
      </c>
      <c r="O1600" s="101">
        <f>O1681</f>
        <v>13</v>
      </c>
      <c r="P1600" s="94">
        <f t="shared" si="1269"/>
        <v>1292</v>
      </c>
      <c r="Q1600" s="101">
        <f t="shared" si="1269"/>
        <v>13</v>
      </c>
      <c r="R1600" s="101">
        <f t="shared" si="1269"/>
        <v>33</v>
      </c>
      <c r="S1600" s="101">
        <v>20</v>
      </c>
      <c r="T1600" s="101">
        <f>U1600-Q1600-R1600-S1600</f>
        <v>14</v>
      </c>
      <c r="U1600" s="94">
        <f>U1681</f>
        <v>80</v>
      </c>
      <c r="V1600" s="101">
        <f>V1681</f>
        <v>61</v>
      </c>
      <c r="W1600" s="101">
        <f>W1681</f>
        <v>9</v>
      </c>
      <c r="X1600" s="101">
        <f>X1681</f>
        <v>68</v>
      </c>
      <c r="Y1600" s="101">
        <f>Z1600-V1600-W1600-X1600</f>
        <v>-58</v>
      </c>
      <c r="Z1600" s="1062">
        <f>U1600</f>
        <v>80</v>
      </c>
      <c r="AA1600" s="181">
        <f>AE1600/4</f>
        <v>20</v>
      </c>
      <c r="AB1600" s="101">
        <f>(AE1600-AA1600)/3</f>
        <v>20</v>
      </c>
      <c r="AC1600" s="101">
        <f>(AE1600-AA1600-AB1600)/2</f>
        <v>20</v>
      </c>
      <c r="AD1600" s="101">
        <f>AE1600-AA1600-AB1600-AC1600</f>
        <v>20</v>
      </c>
      <c r="AE1600" s="208">
        <f>Z1600</f>
        <v>80</v>
      </c>
      <c r="AF1600" s="208">
        <f>AE1600</f>
        <v>80</v>
      </c>
      <c r="AG1600" s="208">
        <f t="shared" ref="AG1600:AL1600" si="1270">AF1600</f>
        <v>80</v>
      </c>
      <c r="AH1600" s="208">
        <f t="shared" si="1270"/>
        <v>80</v>
      </c>
      <c r="AI1600" s="208">
        <f t="shared" si="1270"/>
        <v>80</v>
      </c>
      <c r="AJ1600" s="208">
        <f t="shared" si="1270"/>
        <v>80</v>
      </c>
      <c r="AK1600" s="208">
        <f t="shared" si="1270"/>
        <v>80</v>
      </c>
      <c r="AL1600" s="208">
        <f t="shared" si="1270"/>
        <v>80</v>
      </c>
      <c r="AM1600" s="322"/>
      <c r="AN1600" s="322"/>
      <c r="AO1600" s="322"/>
      <c r="AP1600" s="322"/>
      <c r="AQ1600" s="322"/>
      <c r="AR1600" s="322"/>
      <c r="AS1600" s="322"/>
      <c r="AT1600" s="322"/>
      <c r="AU1600" s="322"/>
      <c r="AV1600" s="322"/>
      <c r="AW1600" s="322"/>
      <c r="AX1600" s="322"/>
      <c r="AY1600" s="322"/>
      <c r="AZ1600" s="322"/>
      <c r="BA1600" s="322"/>
      <c r="BB1600" s="322"/>
    </row>
    <row r="1601" spans="4:54" s="83" customFormat="1">
      <c r="D1601" s="343" t="s">
        <v>395</v>
      </c>
      <c r="E1601" s="1"/>
      <c r="F1601" s="473"/>
      <c r="G1601" s="325">
        <f>SUM(G1597:G1600)</f>
        <v>-2425</v>
      </c>
      <c r="H1601" s="325">
        <f t="shared" ref="H1601:AL1601" si="1271">SUM(H1597:H1600)</f>
        <v>-2223</v>
      </c>
      <c r="I1601" s="325">
        <f t="shared" si="1271"/>
        <v>-1104</v>
      </c>
      <c r="J1601" s="325">
        <f t="shared" si="1271"/>
        <v>-1837</v>
      </c>
      <c r="K1601" s="325">
        <f t="shared" si="1271"/>
        <v>-2482</v>
      </c>
      <c r="L1601" s="326">
        <f t="shared" si="1271"/>
        <v>-642</v>
      </c>
      <c r="M1601" s="326">
        <f t="shared" si="1271"/>
        <v>-599</v>
      </c>
      <c r="N1601" s="326">
        <f t="shared" si="1271"/>
        <v>505</v>
      </c>
      <c r="O1601" s="326">
        <f>SUM(O1597:O1600)</f>
        <v>-872</v>
      </c>
      <c r="P1601" s="325">
        <f t="shared" si="1271"/>
        <v>-1605</v>
      </c>
      <c r="Q1601" s="326">
        <f t="shared" si="1271"/>
        <v>-700</v>
      </c>
      <c r="R1601" s="326">
        <f t="shared" si="1271"/>
        <v>-784</v>
      </c>
      <c r="S1601" s="326">
        <f>SUM(S1597:S1600)</f>
        <v>-1007</v>
      </c>
      <c r="T1601" s="326">
        <f t="shared" si="1271"/>
        <v>-1073</v>
      </c>
      <c r="U1601" s="325">
        <f>SUM(U1597:U1600)</f>
        <v>-3560</v>
      </c>
      <c r="V1601" s="326">
        <f t="shared" ref="V1601:AD1601" si="1272">SUM(V1597:V1600)</f>
        <v>-958</v>
      </c>
      <c r="W1601" s="326">
        <f t="shared" si="1272"/>
        <v>-932</v>
      </c>
      <c r="X1601" s="326">
        <f t="shared" si="1272"/>
        <v>-685</v>
      </c>
      <c r="Y1601" s="326">
        <f t="shared" si="1272"/>
        <v>-991.16666666666663</v>
      </c>
      <c r="Z1601" s="325">
        <f t="shared" si="1272"/>
        <v>-3697</v>
      </c>
      <c r="AA1601" s="326">
        <f t="shared" si="1272"/>
        <v>-958.5</v>
      </c>
      <c r="AB1601" s="326">
        <f t="shared" si="1272"/>
        <v>-1274.5</v>
      </c>
      <c r="AC1601" s="326">
        <f t="shared" si="1272"/>
        <v>-809.17175318745615</v>
      </c>
      <c r="AD1601" s="326">
        <f t="shared" si="1272"/>
        <v>-807.05450732035229</v>
      </c>
      <c r="AE1601" s="325">
        <f>SUM(AE1597:AE1600)</f>
        <v>-3824</v>
      </c>
      <c r="AF1601" s="325">
        <f t="shared" si="1271"/>
        <v>-2301</v>
      </c>
      <c r="AG1601" s="325">
        <f t="shared" si="1271"/>
        <v>-1801</v>
      </c>
      <c r="AH1601" s="325">
        <f t="shared" si="1271"/>
        <v>-1801</v>
      </c>
      <c r="AI1601" s="325">
        <f t="shared" si="1271"/>
        <v>-1801</v>
      </c>
      <c r="AJ1601" s="325">
        <f t="shared" si="1271"/>
        <v>-1801</v>
      </c>
      <c r="AK1601" s="325">
        <f t="shared" si="1271"/>
        <v>-2022.2192688015966</v>
      </c>
      <c r="AL1601" s="325">
        <f t="shared" si="1271"/>
        <v>-2022.2192688015966</v>
      </c>
      <c r="AM1601" s="322"/>
      <c r="AN1601" s="322"/>
      <c r="AO1601" s="322"/>
      <c r="AP1601" s="322"/>
      <c r="AQ1601" s="322"/>
      <c r="AR1601" s="322"/>
      <c r="AS1601" s="322"/>
      <c r="AT1601" s="322"/>
      <c r="AU1601" s="322"/>
      <c r="AV1601" s="322"/>
      <c r="AW1601" s="322"/>
      <c r="AX1601" s="322"/>
      <c r="AY1601" s="322"/>
      <c r="AZ1601" s="322"/>
      <c r="BA1601" s="322"/>
      <c r="BB1601" s="322"/>
    </row>
    <row r="1602" spans="4:54" s="83" customFormat="1">
      <c r="D1602" s="343"/>
      <c r="E1602" s="1"/>
      <c r="F1602" s="473"/>
      <c r="G1602" s="94"/>
      <c r="H1602" s="94"/>
      <c r="I1602" s="94"/>
      <c r="J1602" s="94"/>
      <c r="K1602" s="94"/>
      <c r="L1602" s="101"/>
      <c r="M1602" s="101"/>
      <c r="N1602" s="101"/>
      <c r="O1602" s="101"/>
      <c r="P1602" s="94"/>
      <c r="Q1602" s="101"/>
      <c r="R1602" s="101"/>
      <c r="S1602" s="101"/>
      <c r="T1602" s="101"/>
      <c r="U1602" s="94"/>
      <c r="V1602" s="101"/>
      <c r="W1602" s="101"/>
      <c r="X1602" s="101"/>
      <c r="Y1602" s="101"/>
      <c r="Z1602" s="94"/>
      <c r="AA1602" s="101"/>
      <c r="AB1602" s="101"/>
      <c r="AC1602" s="101"/>
      <c r="AD1602" s="101"/>
      <c r="AE1602" s="94"/>
      <c r="AF1602" s="94"/>
      <c r="AK1602" s="223"/>
      <c r="AL1602" s="322"/>
      <c r="AM1602" s="322"/>
      <c r="AN1602" s="322"/>
      <c r="AO1602" s="322"/>
      <c r="AP1602" s="322"/>
      <c r="AQ1602" s="322"/>
      <c r="AR1602" s="322"/>
      <c r="AS1602" s="322"/>
      <c r="AT1602" s="322"/>
      <c r="AU1602" s="322"/>
      <c r="AV1602" s="322"/>
      <c r="AW1602" s="322"/>
      <c r="AX1602" s="322"/>
      <c r="AY1602" s="322"/>
      <c r="AZ1602" s="322"/>
      <c r="BA1602" s="322"/>
      <c r="BB1602" s="322"/>
    </row>
    <row r="1603" spans="4:54" s="83" customFormat="1">
      <c r="D1603" s="343" t="s">
        <v>396</v>
      </c>
      <c r="E1603" s="1"/>
      <c r="F1603" s="473"/>
      <c r="G1603" s="94"/>
      <c r="H1603" s="94"/>
      <c r="I1603" s="94"/>
      <c r="J1603" s="94"/>
      <c r="K1603" s="94"/>
      <c r="L1603" s="101"/>
      <c r="M1603" s="101"/>
      <c r="N1603" s="101"/>
      <c r="O1603" s="101"/>
      <c r="P1603" s="94"/>
      <c r="Q1603" s="101"/>
      <c r="R1603" s="101"/>
      <c r="S1603" s="101"/>
      <c r="T1603" s="101"/>
      <c r="U1603" s="94"/>
      <c r="V1603" s="101"/>
      <c r="W1603" s="101"/>
      <c r="X1603" s="101"/>
      <c r="Y1603" s="101"/>
      <c r="Z1603" s="94"/>
      <c r="AA1603" s="101"/>
      <c r="AB1603" s="101"/>
      <c r="AC1603" s="101"/>
      <c r="AD1603" s="101"/>
      <c r="AE1603" s="94"/>
      <c r="AF1603" s="94"/>
      <c r="AK1603" s="223"/>
      <c r="AL1603" s="322"/>
      <c r="AM1603" s="322"/>
      <c r="AN1603" s="322"/>
      <c r="AO1603" s="322"/>
      <c r="AP1603" s="322"/>
      <c r="AQ1603" s="322"/>
      <c r="AR1603" s="322"/>
      <c r="AS1603" s="322"/>
      <c r="AT1603" s="322"/>
      <c r="AU1603" s="322"/>
      <c r="AV1603" s="322"/>
      <c r="AW1603" s="322"/>
      <c r="AX1603" s="322"/>
      <c r="AY1603" s="322"/>
      <c r="AZ1603" s="322"/>
      <c r="BA1603" s="322"/>
      <c r="BB1603" s="322"/>
    </row>
    <row r="1604" spans="4:54" s="83" customFormat="1">
      <c r="D1604" s="327" t="s">
        <v>398</v>
      </c>
      <c r="E1604" s="327"/>
      <c r="F1604" s="473"/>
      <c r="G1604" s="111">
        <v>-39</v>
      </c>
      <c r="H1604" s="111">
        <v>-58</v>
      </c>
      <c r="I1604" s="111">
        <v>-448</v>
      </c>
      <c r="J1604" s="111">
        <v>-993</v>
      </c>
      <c r="K1604" s="111">
        <v>-1929</v>
      </c>
      <c r="L1604" s="112">
        <v>-28</v>
      </c>
      <c r="M1604" s="112">
        <v>-8</v>
      </c>
      <c r="N1604" s="112">
        <f>N1687</f>
        <v>-1327</v>
      </c>
      <c r="O1604" s="112">
        <f>O1687</f>
        <v>0</v>
      </c>
      <c r="P1604" s="231">
        <f>P1687</f>
        <v>-1410</v>
      </c>
      <c r="Q1604" s="112">
        <v>0</v>
      </c>
      <c r="R1604" s="112">
        <v>-874</v>
      </c>
      <c r="S1604" s="112">
        <v>-37</v>
      </c>
      <c r="T1604" s="112">
        <f>U1604-Q1604-R1604-S1604</f>
        <v>76</v>
      </c>
      <c r="U1604" s="231">
        <f>U1687</f>
        <v>-835</v>
      </c>
      <c r="V1604" s="112">
        <f>V1687</f>
        <v>220</v>
      </c>
      <c r="W1604" s="112">
        <v>888</v>
      </c>
      <c r="X1604" s="101">
        <f>(Z1604-V1604-W1604)/2</f>
        <v>-790.5</v>
      </c>
      <c r="Y1604" s="101">
        <f>Z1604-V1604-W1604-X1604</f>
        <v>-790.5</v>
      </c>
      <c r="Z1604" s="94">
        <f>Z1505-V1505</f>
        <v>-473</v>
      </c>
      <c r="AA1604" s="101">
        <f>AE1604/4</f>
        <v>-39.75</v>
      </c>
      <c r="AB1604" s="101">
        <f>(AE1604-AA1604)/3</f>
        <v>-39.75</v>
      </c>
      <c r="AC1604" s="101">
        <f>(AE1604-AA1604-AB1604)/2</f>
        <v>-39.75</v>
      </c>
      <c r="AD1604" s="101">
        <f>AE1604-AA1604-AB1604-AC1604</f>
        <v>-39.75</v>
      </c>
      <c r="AE1604" s="94">
        <f>AE1434</f>
        <v>-159</v>
      </c>
      <c r="AF1604" s="94">
        <f>AF1434</f>
        <v>-275</v>
      </c>
      <c r="AG1604" s="94">
        <f t="shared" ref="AG1604:AL1604" si="1273">AG1434</f>
        <v>-274</v>
      </c>
      <c r="AH1604" s="94">
        <f>AH1434</f>
        <v>-273</v>
      </c>
      <c r="AI1604" s="94">
        <f t="shared" si="1273"/>
        <v>-272</v>
      </c>
      <c r="AJ1604" s="94">
        <f t="shared" si="1273"/>
        <v>-271</v>
      </c>
      <c r="AK1604" s="94">
        <f t="shared" si="1273"/>
        <v>-270</v>
      </c>
      <c r="AL1604" s="94">
        <f t="shared" si="1273"/>
        <v>-269</v>
      </c>
      <c r="AM1604" s="322"/>
      <c r="AN1604" s="322"/>
      <c r="AO1604" s="322"/>
      <c r="AP1604" s="322"/>
      <c r="AQ1604" s="322"/>
      <c r="AR1604" s="322"/>
      <c r="AS1604" s="322"/>
      <c r="AT1604" s="322"/>
      <c r="AU1604" s="322"/>
      <c r="AV1604" s="322"/>
      <c r="AW1604" s="322"/>
      <c r="AX1604" s="322"/>
      <c r="AY1604" s="322"/>
      <c r="AZ1604" s="322"/>
      <c r="BA1604" s="322"/>
      <c r="BB1604" s="322"/>
    </row>
    <row r="1605" spans="4:54" s="83" customFormat="1">
      <c r="D1605" s="327" t="s">
        <v>399</v>
      </c>
      <c r="E1605" s="1"/>
      <c r="F1605" s="473"/>
      <c r="G1605" s="111">
        <v>-521</v>
      </c>
      <c r="H1605" s="111">
        <v>-518</v>
      </c>
      <c r="I1605" s="111">
        <v>-374</v>
      </c>
      <c r="J1605" s="111">
        <v>-58</v>
      </c>
      <c r="K1605" s="111">
        <v>-344</v>
      </c>
      <c r="L1605" s="112">
        <v>-29</v>
      </c>
      <c r="M1605" s="112">
        <v>-28</v>
      </c>
      <c r="N1605" s="112">
        <f>N1691</f>
        <v>-29</v>
      </c>
      <c r="O1605" s="112">
        <f>O1691</f>
        <v>-86</v>
      </c>
      <c r="P1605" s="231">
        <f>P1691</f>
        <v>-172</v>
      </c>
      <c r="Q1605" s="112">
        <v>-28</v>
      </c>
      <c r="R1605" s="112">
        <v>-28</v>
      </c>
      <c r="S1605" s="112">
        <v>-28</v>
      </c>
      <c r="T1605" s="112">
        <f>U1605-Q1605-R1605-S1605</f>
        <v>-27</v>
      </c>
      <c r="U1605" s="231">
        <f>U1691</f>
        <v>-111</v>
      </c>
      <c r="V1605" s="112">
        <f>V1691</f>
        <v>-27</v>
      </c>
      <c r="W1605" s="112">
        <v>-26</v>
      </c>
      <c r="X1605" s="101" t="e">
        <f ca="1">(Z1605-V1605-W1605)/2</f>
        <v>#VALUE!</v>
      </c>
      <c r="Y1605" s="101" t="e">
        <f ca="1">Z1605-V1605-W1605-X1605</f>
        <v>#VALUE!</v>
      </c>
      <c r="Z1605" s="94" t="e">
        <f ca="1">Z1469</f>
        <v>#VALUE!</v>
      </c>
      <c r="AA1605" s="101">
        <f ca="1">AE1605/4</f>
        <v>30.02257176661897</v>
      </c>
      <c r="AB1605" s="101">
        <f ca="1">(AE1605-AA1605)/3</f>
        <v>30.02257176661897</v>
      </c>
      <c r="AC1605" s="101">
        <f ca="1">(AE1605-AA1605-AB1605)/2</f>
        <v>30.022571766618974</v>
      </c>
      <c r="AD1605" s="101">
        <f ca="1">AE1605-AA1605-AB1605-AC1605</f>
        <v>30.022571766618974</v>
      </c>
      <c r="AE1605" s="94">
        <f ca="1">AE1469</f>
        <v>120.09028706647588</v>
      </c>
      <c r="AF1605" s="94">
        <f ca="1">AF1469</f>
        <v>112.61479012061891</v>
      </c>
      <c r="AG1605" s="94">
        <f t="shared" ref="AG1605:AL1605" ca="1" si="1274">AG1469</f>
        <v>-136.54739780033111</v>
      </c>
      <c r="AH1605" s="94">
        <f t="shared" ca="1" si="1274"/>
        <v>-147.50216934451015</v>
      </c>
      <c r="AI1605" s="94">
        <f t="shared" ca="1" si="1274"/>
        <v>-159.36237425297631</v>
      </c>
      <c r="AJ1605" s="94">
        <f t="shared" ca="1" si="1274"/>
        <v>-163.47961732486124</v>
      </c>
      <c r="AK1605" s="94">
        <f t="shared" ca="1" si="1274"/>
        <v>-149.81911732486122</v>
      </c>
      <c r="AL1605" s="94">
        <f t="shared" ca="1" si="1274"/>
        <v>-149.86111732486125</v>
      </c>
      <c r="AM1605" s="322"/>
      <c r="AN1605" s="322"/>
      <c r="AO1605" s="322"/>
      <c r="AP1605" s="322"/>
      <c r="AQ1605" s="322"/>
      <c r="AR1605" s="322"/>
      <c r="AS1605" s="322"/>
      <c r="AT1605" s="322"/>
      <c r="AU1605" s="322"/>
      <c r="AV1605" s="322"/>
      <c r="AW1605" s="322"/>
      <c r="AX1605" s="322"/>
      <c r="AY1605" s="322"/>
      <c r="AZ1605" s="322"/>
      <c r="BA1605" s="322"/>
      <c r="BB1605" s="322"/>
    </row>
    <row r="1606" spans="4:54" s="83" customFormat="1">
      <c r="D1606" s="327" t="s">
        <v>400</v>
      </c>
      <c r="G1606" s="111">
        <v>-175</v>
      </c>
      <c r="H1606" s="111">
        <v>-5</v>
      </c>
      <c r="I1606" s="111">
        <v>0</v>
      </c>
      <c r="J1606" s="111">
        <v>8</v>
      </c>
      <c r="K1606" s="111">
        <v>-149</v>
      </c>
      <c r="L1606" s="112">
        <v>-30</v>
      </c>
      <c r="M1606" s="112">
        <v>17</v>
      </c>
      <c r="N1606" s="112">
        <f>SUM(N1689:N1690)</f>
        <v>4</v>
      </c>
      <c r="O1606" s="112">
        <f>SUM(O1689:O1690)</f>
        <v>-126</v>
      </c>
      <c r="P1606" s="231">
        <f>SUM(P1689:P1690)</f>
        <v>-135</v>
      </c>
      <c r="Q1606" s="112">
        <v>-174</v>
      </c>
      <c r="R1606" s="112">
        <v>-151</v>
      </c>
      <c r="S1606" s="112">
        <v>-178</v>
      </c>
      <c r="T1606" s="112">
        <f>U1606-Q1606-R1606-S1606</f>
        <v>-148</v>
      </c>
      <c r="U1606" s="231">
        <f>SUM(U1689:U1690)</f>
        <v>-651</v>
      </c>
      <c r="V1606" s="112">
        <f>V1689+V1690</f>
        <v>-207</v>
      </c>
      <c r="W1606" s="112">
        <v>0</v>
      </c>
      <c r="X1606" s="101">
        <f>(Z1606-V1606-W1606)/2</f>
        <v>-222</v>
      </c>
      <c r="Y1606" s="101">
        <f>Z1606-V1606-W1606-X1606</f>
        <v>-222</v>
      </c>
      <c r="Z1606" s="1052">
        <f>$U$1606</f>
        <v>-651</v>
      </c>
      <c r="AA1606" s="101">
        <f>AE1606/4</f>
        <v>-162.75</v>
      </c>
      <c r="AB1606" s="101">
        <f>(AE1606-AA1606)/3</f>
        <v>-162.75</v>
      </c>
      <c r="AC1606" s="101">
        <f>(AE1606-AA1606-AB1606)/2</f>
        <v>-162.75</v>
      </c>
      <c r="AD1606" s="101">
        <f>AE1606-AA1606-AB1606-AC1606</f>
        <v>-162.75</v>
      </c>
      <c r="AE1606" s="208">
        <f>Z1606</f>
        <v>-651</v>
      </c>
      <c r="AF1606" s="208">
        <f>AE1606</f>
        <v>-651</v>
      </c>
      <c r="AG1606" s="208">
        <f t="shared" ref="AG1606:AL1606" si="1275">AF1606</f>
        <v>-651</v>
      </c>
      <c r="AH1606" s="208">
        <f t="shared" si="1275"/>
        <v>-651</v>
      </c>
      <c r="AI1606" s="208">
        <f t="shared" si="1275"/>
        <v>-651</v>
      </c>
      <c r="AJ1606" s="208">
        <f t="shared" si="1275"/>
        <v>-651</v>
      </c>
      <c r="AK1606" s="208">
        <f t="shared" si="1275"/>
        <v>-651</v>
      </c>
      <c r="AL1606" s="208">
        <f t="shared" si="1275"/>
        <v>-651</v>
      </c>
      <c r="AM1606" s="322"/>
      <c r="AN1606" s="322"/>
      <c r="AO1606" s="322"/>
      <c r="AP1606" s="322"/>
      <c r="AQ1606" s="322"/>
      <c r="AR1606" s="322"/>
      <c r="AS1606" s="322"/>
      <c r="AT1606" s="322"/>
      <c r="AU1606" s="322"/>
      <c r="AV1606" s="322"/>
      <c r="AW1606" s="322"/>
      <c r="AX1606" s="322"/>
      <c r="AY1606" s="322"/>
      <c r="AZ1606" s="322"/>
      <c r="BA1606" s="322"/>
      <c r="BB1606" s="322"/>
    </row>
    <row r="1607" spans="4:54" s="83" customFormat="1">
      <c r="D1607" s="327" t="s">
        <v>401</v>
      </c>
      <c r="G1607" s="111">
        <v>-393</v>
      </c>
      <c r="H1607" s="111">
        <v>-404</v>
      </c>
      <c r="I1607" s="111">
        <v>-482</v>
      </c>
      <c r="J1607" s="111">
        <v>-592</v>
      </c>
      <c r="K1607" s="111">
        <v>-551</v>
      </c>
      <c r="L1607" s="112">
        <v>-154</v>
      </c>
      <c r="M1607" s="112">
        <v>-85</v>
      </c>
      <c r="N1607" s="112">
        <f>N1693</f>
        <v>-5</v>
      </c>
      <c r="O1607" s="112">
        <f>O1693</f>
        <v>-11</v>
      </c>
      <c r="P1607" s="231">
        <f>P1693</f>
        <v>0</v>
      </c>
      <c r="Q1607" s="112">
        <v>1130</v>
      </c>
      <c r="R1607" s="112">
        <v>-149</v>
      </c>
      <c r="S1607" s="112">
        <v>259</v>
      </c>
      <c r="T1607" s="112">
        <f>U1607-Q1607-R1607-S1607</f>
        <v>232</v>
      </c>
      <c r="U1607" s="231">
        <f>U1693</f>
        <v>1472</v>
      </c>
      <c r="V1607" s="112">
        <f>V1609-V1604-V1605-V1606</f>
        <v>-158</v>
      </c>
      <c r="W1607" s="112">
        <f>W1609-W1604-W1605-W1606</f>
        <v>-96</v>
      </c>
      <c r="X1607" s="101">
        <f>(Z1607-V1607-W1607)/2</f>
        <v>863</v>
      </c>
      <c r="Y1607" s="101">
        <f>Z1607-V1607-W1607-X1607</f>
        <v>863</v>
      </c>
      <c r="Z1607" s="1052">
        <f>$U$1607</f>
        <v>1472</v>
      </c>
      <c r="AA1607" s="101">
        <f>AE1607/4</f>
        <v>368</v>
      </c>
      <c r="AB1607" s="101">
        <f>(AE1607-AA1607)/3</f>
        <v>368</v>
      </c>
      <c r="AC1607" s="101">
        <f>(AE1607-AA1607-AB1607)/2</f>
        <v>368</v>
      </c>
      <c r="AD1607" s="101">
        <f>AE1607-AA1607-AB1607-AC1607</f>
        <v>368</v>
      </c>
      <c r="AE1607" s="1063">
        <f>Z1607</f>
        <v>1472</v>
      </c>
      <c r="AF1607" s="1064">
        <f>AE1607</f>
        <v>1472</v>
      </c>
      <c r="AG1607" s="1064">
        <f t="shared" ref="AG1607:AL1607" si="1276">AF1607</f>
        <v>1472</v>
      </c>
      <c r="AH1607" s="1064">
        <f>AG1607</f>
        <v>1472</v>
      </c>
      <c r="AI1607" s="1064">
        <f t="shared" si="1276"/>
        <v>1472</v>
      </c>
      <c r="AJ1607" s="1064">
        <f t="shared" si="1276"/>
        <v>1472</v>
      </c>
      <c r="AK1607" s="1064">
        <f t="shared" si="1276"/>
        <v>1472</v>
      </c>
      <c r="AL1607" s="1064">
        <f t="shared" si="1276"/>
        <v>1472</v>
      </c>
      <c r="AM1607" s="322"/>
      <c r="AN1607" s="322"/>
      <c r="AO1607" s="322"/>
      <c r="AP1607" s="322"/>
      <c r="AQ1607" s="322"/>
      <c r="AR1607" s="322"/>
      <c r="AS1607" s="322"/>
      <c r="AT1607" s="322"/>
      <c r="AU1607" s="322"/>
      <c r="AV1607" s="322"/>
      <c r="AW1607" s="322"/>
      <c r="AX1607" s="322"/>
      <c r="AY1607" s="322"/>
      <c r="AZ1607" s="322"/>
      <c r="BA1607" s="322"/>
      <c r="BB1607" s="322"/>
    </row>
    <row r="1608" spans="4:54" s="83" customFormat="1">
      <c r="D1608" s="327" t="s">
        <v>405</v>
      </c>
      <c r="G1608" s="111"/>
      <c r="H1608" s="111"/>
      <c r="I1608" s="111"/>
      <c r="J1608" s="111"/>
      <c r="K1608" s="111"/>
      <c r="L1608" s="112"/>
      <c r="M1608" s="112"/>
      <c r="N1608" s="112"/>
      <c r="O1608" s="112"/>
      <c r="P1608" s="231"/>
      <c r="Q1608" s="112"/>
      <c r="R1608" s="112"/>
      <c r="S1608" s="112"/>
      <c r="T1608" s="112"/>
      <c r="U1608" s="231"/>
      <c r="V1608" s="112"/>
      <c r="W1608" s="101"/>
      <c r="X1608" s="101"/>
      <c r="Y1608" s="101"/>
      <c r="Z1608" s="1085" t="e">
        <f ca="1">Z1510-U1510</f>
        <v>#VALUE!</v>
      </c>
      <c r="AA1608" s="101"/>
      <c r="AB1608" s="101"/>
      <c r="AC1608" s="101"/>
      <c r="AD1608" s="101"/>
      <c r="AE1608" s="208"/>
      <c r="AF1608" s="208"/>
      <c r="AG1608" s="208"/>
      <c r="AH1608" s="208"/>
      <c r="AI1608" s="208"/>
      <c r="AJ1608" s="208"/>
      <c r="AK1608" s="208"/>
      <c r="AL1608" s="208"/>
      <c r="AM1608" s="322"/>
      <c r="AN1608" s="322"/>
      <c r="AO1608" s="322"/>
      <c r="AP1608" s="322"/>
      <c r="AQ1608" s="322"/>
      <c r="AR1608" s="322"/>
      <c r="AS1608" s="322"/>
      <c r="AT1608" s="322"/>
      <c r="AU1608" s="322"/>
      <c r="AV1608" s="322"/>
      <c r="AW1608" s="322"/>
      <c r="AX1608" s="322"/>
      <c r="AY1608" s="322"/>
      <c r="AZ1608" s="322"/>
      <c r="BA1608" s="322"/>
      <c r="BB1608" s="322"/>
    </row>
    <row r="1609" spans="4:54" s="83" customFormat="1">
      <c r="D1609" s="343" t="s">
        <v>397</v>
      </c>
      <c r="G1609" s="325">
        <f t="shared" ref="G1609:R1609" si="1277">SUM(G1604:G1607)</f>
        <v>-1128</v>
      </c>
      <c r="H1609" s="325">
        <f t="shared" si="1277"/>
        <v>-985</v>
      </c>
      <c r="I1609" s="325">
        <f t="shared" si="1277"/>
        <v>-1304</v>
      </c>
      <c r="J1609" s="325">
        <f t="shared" si="1277"/>
        <v>-1635</v>
      </c>
      <c r="K1609" s="325">
        <f t="shared" si="1277"/>
        <v>-2973</v>
      </c>
      <c r="L1609" s="326">
        <f t="shared" si="1277"/>
        <v>-241</v>
      </c>
      <c r="M1609" s="326">
        <f t="shared" si="1277"/>
        <v>-104</v>
      </c>
      <c r="N1609" s="326">
        <f t="shared" si="1277"/>
        <v>-1357</v>
      </c>
      <c r="O1609" s="326">
        <f t="shared" si="1277"/>
        <v>-223</v>
      </c>
      <c r="P1609" s="233">
        <f t="shared" si="1277"/>
        <v>-1717</v>
      </c>
      <c r="Q1609" s="326">
        <f t="shared" si="1277"/>
        <v>928</v>
      </c>
      <c r="R1609" s="326">
        <f t="shared" si="1277"/>
        <v>-1202</v>
      </c>
      <c r="S1609" s="326">
        <v>16</v>
      </c>
      <c r="T1609" s="326">
        <f>SUM(T1604:T1607)</f>
        <v>133</v>
      </c>
      <c r="U1609" s="233">
        <f>SUM(U1604:U1607)</f>
        <v>-125</v>
      </c>
      <c r="V1609" s="326">
        <f>V1694</f>
        <v>-172</v>
      </c>
      <c r="W1609" s="326">
        <f>W1694</f>
        <v>766</v>
      </c>
      <c r="X1609" s="238" t="e">
        <f t="shared" ref="X1609:AF1609" ca="1" si="1278">SUM(X1604:X1607)</f>
        <v>#VALUE!</v>
      </c>
      <c r="Y1609" s="238" t="e">
        <f t="shared" ca="1" si="1278"/>
        <v>#VALUE!</v>
      </c>
      <c r="Z1609" s="237" t="e">
        <f t="shared" ca="1" si="1278"/>
        <v>#VALUE!</v>
      </c>
      <c r="AA1609" s="238">
        <f t="shared" ca="1" si="1278"/>
        <v>195.52257176661897</v>
      </c>
      <c r="AB1609" s="238">
        <f t="shared" ca="1" si="1278"/>
        <v>195.52257176661897</v>
      </c>
      <c r="AC1609" s="238">
        <f t="shared" ca="1" si="1278"/>
        <v>195.52257176661897</v>
      </c>
      <c r="AD1609" s="238">
        <f t="shared" ca="1" si="1278"/>
        <v>195.52257176661897</v>
      </c>
      <c r="AE1609" s="325">
        <f t="shared" ca="1" si="1278"/>
        <v>782.09028706647587</v>
      </c>
      <c r="AF1609" s="325">
        <f t="shared" ca="1" si="1278"/>
        <v>658.61479012061886</v>
      </c>
      <c r="AG1609" s="325">
        <f t="shared" ref="AG1609:AL1609" ca="1" si="1279">SUM(AG1604:AG1607)</f>
        <v>410.45260219966895</v>
      </c>
      <c r="AH1609" s="325">
        <f t="shared" ca="1" si="1279"/>
        <v>400.49783065548991</v>
      </c>
      <c r="AI1609" s="325">
        <f t="shared" ca="1" si="1279"/>
        <v>389.63762574702378</v>
      </c>
      <c r="AJ1609" s="325">
        <f t="shared" ca="1" si="1279"/>
        <v>386.52038267513876</v>
      </c>
      <c r="AK1609" s="325">
        <f t="shared" ca="1" si="1279"/>
        <v>401.18088267513872</v>
      </c>
      <c r="AL1609" s="325">
        <f t="shared" ca="1" si="1279"/>
        <v>402.1388826751388</v>
      </c>
      <c r="AM1609" s="322"/>
      <c r="AN1609" s="322"/>
      <c r="AO1609" s="322"/>
      <c r="AP1609" s="322"/>
      <c r="AQ1609" s="322"/>
      <c r="AR1609" s="322"/>
      <c r="AS1609" s="322"/>
      <c r="AT1609" s="322"/>
      <c r="AU1609" s="322"/>
      <c r="AV1609" s="322"/>
      <c r="AW1609" s="322"/>
      <c r="AX1609" s="322"/>
      <c r="AY1609" s="322"/>
      <c r="AZ1609" s="322"/>
      <c r="BA1609" s="322"/>
      <c r="BB1609" s="322"/>
    </row>
    <row r="1610" spans="4:54" s="83" customFormat="1">
      <c r="D1610" s="343"/>
      <c r="G1610" s="94"/>
      <c r="H1610" s="94"/>
      <c r="I1610" s="94"/>
      <c r="J1610" s="94"/>
      <c r="K1610" s="94"/>
      <c r="L1610" s="101"/>
      <c r="M1610" s="101"/>
      <c r="N1610" s="101"/>
      <c r="O1610" s="101"/>
      <c r="P1610" s="231"/>
      <c r="Q1610" s="101"/>
      <c r="R1610" s="101"/>
      <c r="S1610" s="101"/>
      <c r="T1610" s="101"/>
      <c r="U1610" s="231"/>
      <c r="V1610" s="101"/>
      <c r="W1610" s="311"/>
      <c r="X1610" s="311"/>
      <c r="Y1610" s="311"/>
      <c r="Z1610" s="94"/>
      <c r="AA1610" s="311"/>
      <c r="AB1610" s="311"/>
      <c r="AC1610" s="311"/>
      <c r="AD1610" s="311"/>
      <c r="AE1610" s="94"/>
      <c r="AF1610" s="94"/>
      <c r="AK1610" s="223"/>
      <c r="AL1610" s="322"/>
      <c r="AM1610" s="322"/>
      <c r="AN1610" s="322"/>
      <c r="AO1610" s="322"/>
      <c r="AP1610" s="322"/>
      <c r="AQ1610" s="322"/>
      <c r="AR1610" s="322"/>
      <c r="AS1610" s="322"/>
      <c r="AT1610" s="322"/>
      <c r="AU1610" s="322"/>
      <c r="AV1610" s="322"/>
      <c r="AW1610" s="322"/>
      <c r="AX1610" s="322"/>
      <c r="AY1610" s="322"/>
      <c r="AZ1610" s="322"/>
      <c r="BA1610" s="322"/>
      <c r="BB1610" s="322"/>
    </row>
    <row r="1611" spans="4:54" s="83" customFormat="1">
      <c r="D1611" s="343" t="s">
        <v>403</v>
      </c>
      <c r="G1611" s="111">
        <v>180</v>
      </c>
      <c r="H1611" s="111">
        <v>187</v>
      </c>
      <c r="I1611" s="111">
        <v>304</v>
      </c>
      <c r="J1611" s="111">
        <v>-64</v>
      </c>
      <c r="K1611" s="111">
        <v>-49</v>
      </c>
      <c r="L1611" s="112">
        <v>26</v>
      </c>
      <c r="M1611" s="112">
        <v>28</v>
      </c>
      <c r="N1611" s="112">
        <f>N1695</f>
        <v>-26</v>
      </c>
      <c r="O1611" s="112">
        <f>O1695</f>
        <v>85</v>
      </c>
      <c r="P1611" s="231">
        <f>P1695</f>
        <v>113</v>
      </c>
      <c r="Q1611" s="112">
        <v>-36</v>
      </c>
      <c r="R1611" s="112">
        <v>-51</v>
      </c>
      <c r="S1611" s="112">
        <v>0</v>
      </c>
      <c r="T1611" s="112">
        <v>0</v>
      </c>
      <c r="U1611" s="231">
        <f>U1695</f>
        <v>-89</v>
      </c>
      <c r="V1611" s="112">
        <f>V1695</f>
        <v>44</v>
      </c>
      <c r="W1611" s="112">
        <v>-17</v>
      </c>
      <c r="X1611" s="101">
        <f>(Z1611-V1611-W1611)/2</f>
        <v>36.5</v>
      </c>
      <c r="Y1611" s="101">
        <f>Z1611-V1611-W1611-X1611</f>
        <v>36.5</v>
      </c>
      <c r="Z1611" s="1052">
        <v>100</v>
      </c>
      <c r="AA1611" s="181">
        <f>AE1611/4</f>
        <v>25</v>
      </c>
      <c r="AB1611" s="101">
        <f>(AE1611-AA1611)/3</f>
        <v>25</v>
      </c>
      <c r="AC1611" s="101">
        <f>(AE1611-AA1611-AB1611)/2</f>
        <v>25</v>
      </c>
      <c r="AD1611" s="101">
        <f>AE1611-AA1611-AB1611-AC1611</f>
        <v>25</v>
      </c>
      <c r="AE1611" s="208">
        <f>Z1611</f>
        <v>100</v>
      </c>
      <c r="AF1611" s="208">
        <f>AE1611</f>
        <v>100</v>
      </c>
      <c r="AG1611" s="208">
        <f t="shared" ref="AG1611:AL1611" si="1280">AF1611</f>
        <v>100</v>
      </c>
      <c r="AH1611" s="208">
        <f t="shared" si="1280"/>
        <v>100</v>
      </c>
      <c r="AI1611" s="208">
        <f t="shared" si="1280"/>
        <v>100</v>
      </c>
      <c r="AJ1611" s="208">
        <f t="shared" si="1280"/>
        <v>100</v>
      </c>
      <c r="AK1611" s="208">
        <f t="shared" si="1280"/>
        <v>100</v>
      </c>
      <c r="AL1611" s="208">
        <f t="shared" si="1280"/>
        <v>100</v>
      </c>
      <c r="AM1611" s="322"/>
      <c r="AN1611" s="322"/>
      <c r="AO1611" s="322"/>
      <c r="AP1611" s="322"/>
      <c r="AQ1611" s="322"/>
      <c r="AR1611" s="322"/>
      <c r="AS1611" s="322"/>
      <c r="AT1611" s="322"/>
      <c r="AU1611" s="322"/>
      <c r="AV1611" s="322"/>
      <c r="AW1611" s="322"/>
      <c r="AX1611" s="322"/>
      <c r="AY1611" s="322"/>
      <c r="AZ1611" s="322"/>
      <c r="BA1611" s="322"/>
      <c r="BB1611" s="322"/>
    </row>
    <row r="1612" spans="4:54" ht="9" customHeight="1">
      <c r="L1612" s="133"/>
      <c r="M1612" s="133"/>
      <c r="N1612" s="133"/>
      <c r="O1612" s="133"/>
      <c r="P1612" s="579"/>
      <c r="Q1612" s="133"/>
      <c r="R1612" s="133"/>
      <c r="S1612" s="133"/>
      <c r="T1612" s="133"/>
      <c r="U1612" s="579"/>
      <c r="V1612" s="133"/>
      <c r="W1612" s="133"/>
      <c r="X1612" s="133"/>
      <c r="Y1612" s="133"/>
      <c r="AA1612" s="752"/>
      <c r="AB1612" s="752"/>
      <c r="AC1612" s="752"/>
      <c r="AD1612" s="752"/>
    </row>
    <row r="1613" spans="4:54" s="83" customFormat="1">
      <c r="D1613" s="343" t="s">
        <v>402</v>
      </c>
      <c r="G1613" s="325">
        <f t="shared" ref="G1613:Y1613" si="1281">G1594+G1601+G1609+G1611</f>
        <v>-495</v>
      </c>
      <c r="H1613" s="325">
        <f t="shared" si="1281"/>
        <v>-743</v>
      </c>
      <c r="I1613" s="325">
        <f t="shared" si="1281"/>
        <v>-142</v>
      </c>
      <c r="J1613" s="325">
        <f t="shared" si="1281"/>
        <v>-480</v>
      </c>
      <c r="K1613" s="325">
        <f t="shared" si="1281"/>
        <v>-455</v>
      </c>
      <c r="L1613" s="326">
        <f t="shared" si="1281"/>
        <v>262</v>
      </c>
      <c r="M1613" s="326">
        <f t="shared" si="1281"/>
        <v>430</v>
      </c>
      <c r="N1613" s="326">
        <f t="shared" si="1281"/>
        <v>-76</v>
      </c>
      <c r="O1613" s="326">
        <f t="shared" si="1281"/>
        <v>264</v>
      </c>
      <c r="P1613" s="233">
        <f t="shared" si="1281"/>
        <v>1223</v>
      </c>
      <c r="Q1613" s="326">
        <f t="shared" si="1281"/>
        <v>734</v>
      </c>
      <c r="R1613" s="326">
        <f t="shared" si="1281"/>
        <v>-896.66666666666674</v>
      </c>
      <c r="S1613" s="326">
        <f t="shared" si="1281"/>
        <v>71</v>
      </c>
      <c r="T1613" s="326">
        <f t="shared" si="1281"/>
        <v>-1672.4786324786323</v>
      </c>
      <c r="U1613" s="233">
        <f t="shared" si="1281"/>
        <v>-1182</v>
      </c>
      <c r="V1613" s="326">
        <f>V1594+V1601+V1609+V1611</f>
        <v>-807</v>
      </c>
      <c r="W1613" s="326">
        <f>W1594+W1601+W1609+W1611</f>
        <v>117</v>
      </c>
      <c r="X1613" s="326">
        <f t="shared" ca="1" si="1281"/>
        <v>-443.94114426653221</v>
      </c>
      <c r="Y1613" s="326">
        <f t="shared" ca="1" si="1281"/>
        <v>974.32534503397494</v>
      </c>
      <c r="Z1613" s="325" t="e">
        <f t="shared" ref="Z1613:AF1613" ca="1" si="1282">Z1594+Z1601+Z1609+Z1611</f>
        <v>#VALUE!</v>
      </c>
      <c r="AA1613" s="326">
        <f t="shared" ca="1" si="1282"/>
        <v>410.22289431163244</v>
      </c>
      <c r="AB1613" s="326">
        <f t="shared" ca="1" si="1282"/>
        <v>375.91364126497569</v>
      </c>
      <c r="AC1613" s="326">
        <f t="shared" ca="1" si="1282"/>
        <v>518.88767156411495</v>
      </c>
      <c r="AD1613" s="326">
        <f t="shared" ca="1" si="1282"/>
        <v>602.41874674794235</v>
      </c>
      <c r="AE1613" s="325">
        <f t="shared" ca="1" si="1282"/>
        <v>1937.1244879813403</v>
      </c>
      <c r="AF1613" s="325">
        <f t="shared" ca="1" si="1282"/>
        <v>3656.6242136540168</v>
      </c>
      <c r="AG1613" s="325">
        <f t="shared" ref="AG1613:AL1613" ca="1" si="1283">AG1594+AG1601+AG1609+AG1611</f>
        <v>4365.9073286896755</v>
      </c>
      <c r="AH1613" s="325">
        <f t="shared" ca="1" si="1283"/>
        <v>4581.9747994914014</v>
      </c>
      <c r="AI1613" s="325">
        <f t="shared" ca="1" si="1283"/>
        <v>4810.2354414966685</v>
      </c>
      <c r="AJ1613" s="325">
        <f t="shared" ca="1" si="1283"/>
        <v>4916.6233100146246</v>
      </c>
      <c r="AK1613" s="325">
        <f t="shared" ca="1" si="1283"/>
        <v>4495.5774652107102</v>
      </c>
      <c r="AL1613" s="325">
        <f t="shared" ca="1" si="1283"/>
        <v>4497.2354652107115</v>
      </c>
      <c r="AM1613" s="322"/>
      <c r="AN1613" s="322"/>
      <c r="AO1613" s="322"/>
      <c r="AP1613" s="322"/>
      <c r="AQ1613" s="322"/>
      <c r="AR1613" s="322"/>
      <c r="AS1613" s="322"/>
      <c r="AT1613" s="322"/>
      <c r="AU1613" s="322"/>
      <c r="AV1613" s="322"/>
      <c r="AW1613" s="322"/>
      <c r="AX1613" s="322"/>
      <c r="AY1613" s="322"/>
      <c r="AZ1613" s="322"/>
      <c r="BA1613" s="322"/>
      <c r="BB1613" s="322"/>
    </row>
    <row r="1614" spans="4:54" s="83" customFormat="1">
      <c r="D1614" s="343"/>
      <c r="G1614" s="325"/>
      <c r="H1614" s="325"/>
      <c r="I1614" s="325"/>
      <c r="J1614" s="325"/>
      <c r="K1614" s="325"/>
      <c r="L1614" s="326"/>
      <c r="M1614" s="326"/>
      <c r="N1614" s="326"/>
      <c r="O1614" s="326"/>
      <c r="P1614" s="325"/>
      <c r="Q1614" s="326"/>
      <c r="R1614" s="326"/>
      <c r="S1614" s="326"/>
      <c r="T1614" s="326"/>
      <c r="U1614" s="325"/>
      <c r="V1614" s="326"/>
      <c r="W1614" s="326"/>
      <c r="X1614" s="326"/>
      <c r="Y1614" s="326"/>
      <c r="Z1614" s="325"/>
      <c r="AA1614" s="326"/>
      <c r="AB1614" s="326"/>
      <c r="AC1614" s="326"/>
      <c r="AD1614" s="326"/>
      <c r="AE1614" s="325"/>
      <c r="AF1614" s="325"/>
      <c r="AK1614" s="223"/>
      <c r="AL1614" s="322"/>
      <c r="AM1614" s="322"/>
      <c r="AN1614" s="322"/>
      <c r="AO1614" s="322"/>
      <c r="AP1614" s="322"/>
      <c r="AQ1614" s="322"/>
      <c r="AR1614" s="322"/>
      <c r="AS1614" s="322"/>
      <c r="AT1614" s="322"/>
      <c r="AU1614" s="322"/>
      <c r="AV1614" s="322"/>
      <c r="AW1614" s="322"/>
      <c r="AX1614" s="322"/>
      <c r="AY1614" s="322"/>
      <c r="AZ1614" s="322"/>
      <c r="BA1614" s="322"/>
      <c r="BB1614" s="322"/>
    </row>
    <row r="1615" spans="4:54" s="411" customFormat="1">
      <c r="D1615" s="408"/>
      <c r="E1615" s="408"/>
      <c r="F1615" s="408"/>
      <c r="G1615" s="408"/>
      <c r="H1615" s="410"/>
      <c r="I1615" s="410"/>
      <c r="J1615" s="410"/>
      <c r="K1615" s="410"/>
      <c r="L1615" s="410"/>
      <c r="M1615" s="410"/>
      <c r="N1615" s="410"/>
      <c r="O1615" s="410"/>
      <c r="P1615" s="410"/>
      <c r="Q1615" s="410"/>
      <c r="R1615" s="410"/>
      <c r="S1615" s="410"/>
      <c r="T1615" s="410"/>
      <c r="U1615" s="410"/>
      <c r="V1615" s="410"/>
      <c r="W1615" s="410"/>
      <c r="X1615" s="410"/>
      <c r="Y1615" s="410"/>
      <c r="Z1615" s="410"/>
      <c r="AA1615" s="410"/>
      <c r="AB1615" s="410"/>
      <c r="AC1615" s="410"/>
      <c r="AD1615" s="410"/>
      <c r="AE1615" s="410"/>
      <c r="AF1615" s="410"/>
      <c r="AK1615" s="412"/>
      <c r="AL1615" s="413"/>
      <c r="AM1615" s="413"/>
      <c r="AN1615" s="413"/>
      <c r="AO1615" s="413"/>
      <c r="AP1615" s="413"/>
      <c r="AQ1615" s="413"/>
      <c r="AR1615" s="413"/>
      <c r="AS1615" s="413"/>
      <c r="AT1615" s="413"/>
      <c r="AU1615" s="413"/>
      <c r="AV1615" s="413"/>
      <c r="AW1615" s="413"/>
      <c r="AX1615" s="413"/>
      <c r="AY1615" s="413"/>
      <c r="AZ1615" s="413"/>
      <c r="BA1615" s="413"/>
      <c r="BB1615" s="413"/>
    </row>
    <row r="1616" spans="4:54" s="411" customFormat="1">
      <c r="D1616" s="408"/>
      <c r="E1616" s="408"/>
      <c r="F1616" s="408"/>
      <c r="G1616" s="408"/>
      <c r="H1616" s="410"/>
      <c r="I1616" s="410"/>
      <c r="J1616" s="410"/>
      <c r="K1616" s="410"/>
      <c r="L1616" s="410"/>
      <c r="M1616" s="410"/>
      <c r="N1616" s="410"/>
      <c r="O1616" s="410"/>
      <c r="P1616" s="410"/>
      <c r="Q1616" s="410"/>
      <c r="R1616" s="410"/>
      <c r="S1616" s="410"/>
      <c r="T1616" s="410"/>
      <c r="U1616" s="410"/>
      <c r="V1616" s="410"/>
      <c r="W1616" s="410"/>
      <c r="X1616" s="410"/>
      <c r="Y1616" s="410"/>
      <c r="Z1616" s="410"/>
      <c r="AA1616" s="410"/>
      <c r="AB1616" s="410"/>
      <c r="AC1616" s="410"/>
      <c r="AD1616" s="410"/>
      <c r="AE1616" s="410"/>
      <c r="AF1616" s="410"/>
      <c r="AK1616" s="412"/>
      <c r="AL1616" s="413"/>
      <c r="AM1616" s="413"/>
      <c r="AN1616" s="413"/>
      <c r="AO1616" s="413"/>
      <c r="AP1616" s="413"/>
      <c r="AQ1616" s="413"/>
      <c r="AR1616" s="413"/>
      <c r="AS1616" s="413"/>
      <c r="AT1616" s="413"/>
      <c r="AU1616" s="413"/>
      <c r="AV1616" s="413"/>
      <c r="AW1616" s="413"/>
      <c r="AX1616" s="413"/>
      <c r="AY1616" s="413"/>
      <c r="AZ1616" s="413"/>
      <c r="BA1616" s="413"/>
      <c r="BB1616" s="413"/>
    </row>
    <row r="1617" spans="4:54" s="411" customFormat="1">
      <c r="D1617" s="408"/>
      <c r="E1617" s="408"/>
      <c r="F1617" s="408"/>
      <c r="G1617" s="408"/>
      <c r="H1617" s="410"/>
      <c r="I1617" s="410"/>
      <c r="J1617" s="410"/>
      <c r="K1617" s="410"/>
      <c r="L1617" s="410"/>
      <c r="M1617" s="410"/>
      <c r="N1617" s="410"/>
      <c r="O1617" s="410"/>
      <c r="P1617" s="410"/>
      <c r="Q1617" s="410"/>
      <c r="R1617" s="410"/>
      <c r="S1617" s="410"/>
      <c r="T1617" s="410"/>
      <c r="U1617" s="410"/>
      <c r="V1617" s="410"/>
      <c r="W1617" s="410"/>
      <c r="X1617" s="410"/>
      <c r="Y1617" s="410"/>
      <c r="Z1617" s="410"/>
      <c r="AA1617" s="410"/>
      <c r="AB1617" s="410"/>
      <c r="AC1617" s="410"/>
      <c r="AD1617" s="410"/>
      <c r="AE1617" s="410"/>
      <c r="AF1617" s="410"/>
      <c r="AK1617" s="412"/>
      <c r="AL1617" s="413"/>
      <c r="AM1617" s="413"/>
      <c r="AN1617" s="413"/>
      <c r="AO1617" s="413"/>
      <c r="AP1617" s="413"/>
      <c r="AQ1617" s="413"/>
      <c r="AR1617" s="413"/>
      <c r="AS1617" s="413"/>
      <c r="AT1617" s="413"/>
      <c r="AU1617" s="413"/>
      <c r="AV1617" s="413"/>
      <c r="AW1617" s="413"/>
      <c r="AX1617" s="413"/>
      <c r="AY1617" s="413"/>
      <c r="AZ1617" s="413"/>
      <c r="BA1617" s="413"/>
      <c r="BB1617" s="413"/>
    </row>
    <row r="1618" spans="4:54" s="411" customFormat="1">
      <c r="D1618" s="408"/>
      <c r="E1618" s="408"/>
      <c r="F1618" s="408"/>
      <c r="G1618" s="408"/>
      <c r="H1618" s="410"/>
      <c r="I1618" s="410"/>
      <c r="J1618" s="410"/>
      <c r="K1618" s="410"/>
      <c r="L1618" s="410"/>
      <c r="M1618" s="410"/>
      <c r="N1618" s="410"/>
      <c r="O1618" s="410"/>
      <c r="P1618" s="410"/>
      <c r="Q1618" s="410"/>
      <c r="R1618" s="410"/>
      <c r="S1618" s="410"/>
      <c r="T1618" s="410"/>
      <c r="U1618" s="410"/>
      <c r="V1618" s="410"/>
      <c r="W1618" s="410"/>
      <c r="X1618" s="410"/>
      <c r="Y1618" s="410"/>
      <c r="Z1618" s="410"/>
      <c r="AA1618" s="410"/>
      <c r="AB1618" s="410"/>
      <c r="AC1618" s="410"/>
      <c r="AD1618" s="410"/>
      <c r="AE1618" s="410"/>
      <c r="AF1618" s="410"/>
      <c r="AK1618" s="412"/>
      <c r="AL1618" s="413"/>
      <c r="AM1618" s="413"/>
      <c r="AN1618" s="413"/>
      <c r="AO1618" s="413"/>
      <c r="AP1618" s="413"/>
      <c r="AQ1618" s="413"/>
      <c r="AR1618" s="413"/>
      <c r="AS1618" s="413"/>
      <c r="AT1618" s="413"/>
      <c r="AU1618" s="413"/>
      <c r="AV1618" s="413"/>
      <c r="AW1618" s="413"/>
      <c r="AX1618" s="413"/>
      <c r="AY1618" s="413"/>
      <c r="AZ1618" s="413"/>
      <c r="BA1618" s="413"/>
      <c r="BB1618" s="413"/>
    </row>
    <row r="1619" spans="4:54" s="411" customFormat="1">
      <c r="D1619" s="408"/>
      <c r="E1619" s="408"/>
      <c r="F1619" s="408"/>
      <c r="G1619" s="408"/>
      <c r="H1619" s="410"/>
      <c r="I1619" s="410"/>
      <c r="J1619" s="410"/>
      <c r="K1619" s="410"/>
      <c r="L1619" s="410"/>
      <c r="M1619" s="410"/>
      <c r="N1619" s="410"/>
      <c r="O1619" s="410"/>
      <c r="P1619" s="410"/>
      <c r="Q1619" s="410"/>
      <c r="R1619" s="410"/>
      <c r="S1619" s="410"/>
      <c r="T1619" s="410"/>
      <c r="U1619" s="410"/>
      <c r="V1619" s="410"/>
      <c r="W1619" s="410"/>
      <c r="X1619" s="410"/>
      <c r="Y1619" s="410"/>
      <c r="Z1619" s="410"/>
      <c r="AA1619" s="410"/>
      <c r="AB1619" s="410"/>
      <c r="AC1619" s="410"/>
      <c r="AD1619" s="410"/>
      <c r="AE1619" s="410"/>
      <c r="AF1619" s="410"/>
      <c r="AK1619" s="412"/>
      <c r="AL1619" s="413"/>
      <c r="AM1619" s="413"/>
      <c r="AN1619" s="413"/>
      <c r="AO1619" s="413"/>
      <c r="AP1619" s="413"/>
      <c r="AQ1619" s="413"/>
      <c r="AR1619" s="413"/>
      <c r="AS1619" s="413"/>
      <c r="AT1619" s="413"/>
      <c r="AU1619" s="413"/>
      <c r="AV1619" s="413"/>
      <c r="AW1619" s="413"/>
      <c r="AX1619" s="413"/>
      <c r="AY1619" s="413"/>
      <c r="AZ1619" s="413"/>
      <c r="BA1619" s="413"/>
      <c r="BB1619" s="413"/>
    </row>
    <row r="1620" spans="4:54" s="411" customFormat="1">
      <c r="D1620" s="408"/>
      <c r="E1620" s="408"/>
      <c r="F1620" s="408"/>
      <c r="G1620" s="408"/>
      <c r="H1620" s="410"/>
      <c r="I1620" s="410"/>
      <c r="J1620" s="410"/>
      <c r="K1620" s="410"/>
      <c r="L1620" s="410"/>
      <c r="M1620" s="410"/>
      <c r="N1620" s="410"/>
      <c r="O1620" s="410"/>
      <c r="P1620" s="410"/>
      <c r="Q1620" s="410"/>
      <c r="R1620" s="410"/>
      <c r="S1620" s="410"/>
      <c r="T1620" s="410"/>
      <c r="U1620" s="410"/>
      <c r="V1620" s="410"/>
      <c r="W1620" s="410"/>
      <c r="X1620" s="410"/>
      <c r="Y1620" s="410"/>
      <c r="Z1620" s="410"/>
      <c r="AA1620" s="410"/>
      <c r="AB1620" s="410"/>
      <c r="AC1620" s="410"/>
      <c r="AD1620" s="410"/>
      <c r="AE1620" s="410"/>
      <c r="AF1620" s="410"/>
      <c r="AK1620" s="412"/>
      <c r="AL1620" s="413"/>
      <c r="AM1620" s="413"/>
      <c r="AN1620" s="413"/>
      <c r="AO1620" s="413"/>
      <c r="AP1620" s="413"/>
      <c r="AQ1620" s="413"/>
      <c r="AR1620" s="413"/>
      <c r="AS1620" s="413"/>
      <c r="AT1620" s="413"/>
      <c r="AU1620" s="413"/>
      <c r="AV1620" s="413"/>
      <c r="AW1620" s="413"/>
      <c r="AX1620" s="413"/>
      <c r="AY1620" s="413"/>
      <c r="AZ1620" s="413"/>
      <c r="BA1620" s="413"/>
      <c r="BB1620" s="413"/>
    </row>
    <row r="1621" spans="4:54" s="411" customFormat="1">
      <c r="D1621" s="408"/>
      <c r="E1621" s="408"/>
      <c r="F1621" s="408"/>
      <c r="G1621" s="408"/>
      <c r="H1621" s="410"/>
      <c r="I1621" s="410"/>
      <c r="J1621" s="410"/>
      <c r="K1621" s="410"/>
      <c r="L1621" s="410"/>
      <c r="M1621" s="410"/>
      <c r="N1621" s="410"/>
      <c r="O1621" s="410"/>
      <c r="P1621" s="410"/>
      <c r="Q1621" s="410"/>
      <c r="R1621" s="410"/>
      <c r="S1621" s="410"/>
      <c r="T1621" s="410"/>
      <c r="U1621" s="410"/>
      <c r="V1621" s="410"/>
      <c r="W1621" s="410"/>
      <c r="X1621" s="410"/>
      <c r="Y1621" s="410"/>
      <c r="Z1621" s="410"/>
      <c r="AA1621" s="410"/>
      <c r="AB1621" s="410"/>
      <c r="AC1621" s="410"/>
      <c r="AD1621" s="410"/>
      <c r="AE1621" s="410"/>
      <c r="AF1621" s="410"/>
      <c r="AK1621" s="412"/>
      <c r="AL1621" s="413"/>
      <c r="AM1621" s="413"/>
      <c r="AN1621" s="413"/>
      <c r="AO1621" s="413"/>
      <c r="AP1621" s="413"/>
      <c r="AQ1621" s="413"/>
      <c r="AR1621" s="413"/>
      <c r="AS1621" s="413"/>
      <c r="AT1621" s="413"/>
      <c r="AU1621" s="413"/>
      <c r="AV1621" s="413"/>
      <c r="AW1621" s="413"/>
      <c r="AX1621" s="413"/>
      <c r="AY1621" s="413"/>
      <c r="AZ1621" s="413"/>
      <c r="BA1621" s="413"/>
      <c r="BB1621" s="413"/>
    </row>
    <row r="1622" spans="4:54" s="411" customFormat="1">
      <c r="D1622" s="408"/>
      <c r="E1622" s="408"/>
      <c r="F1622" s="408"/>
      <c r="G1622" s="408"/>
      <c r="H1622" s="410"/>
      <c r="I1622" s="410"/>
      <c r="J1622" s="410"/>
      <c r="K1622" s="410"/>
      <c r="L1622" s="410"/>
      <c r="M1622" s="410"/>
      <c r="N1622" s="410"/>
      <c r="O1622" s="410"/>
      <c r="P1622" s="410"/>
      <c r="Q1622" s="410"/>
      <c r="R1622" s="410"/>
      <c r="S1622" s="410"/>
      <c r="T1622" s="410"/>
      <c r="U1622" s="410"/>
      <c r="V1622" s="410"/>
      <c r="W1622" s="410"/>
      <c r="X1622" s="410"/>
      <c r="Y1622" s="410"/>
      <c r="Z1622" s="410"/>
      <c r="AA1622" s="410"/>
      <c r="AB1622" s="410"/>
      <c r="AC1622" s="410"/>
      <c r="AD1622" s="410"/>
      <c r="AE1622" s="410"/>
      <c r="AF1622" s="410"/>
      <c r="AK1622" s="412"/>
      <c r="AL1622" s="413"/>
      <c r="AM1622" s="413"/>
      <c r="AN1622" s="413"/>
      <c r="AO1622" s="413"/>
      <c r="AP1622" s="413"/>
      <c r="AQ1622" s="413"/>
      <c r="AR1622" s="413"/>
      <c r="AS1622" s="413"/>
      <c r="AT1622" s="413"/>
      <c r="AU1622" s="413"/>
      <c r="AV1622" s="413"/>
      <c r="AW1622" s="413"/>
      <c r="AX1622" s="413"/>
      <c r="AY1622" s="413"/>
      <c r="AZ1622" s="413"/>
      <c r="BA1622" s="413"/>
      <c r="BB1622" s="413"/>
    </row>
    <row r="1623" spans="4:54" s="411" customFormat="1">
      <c r="D1623" s="408"/>
      <c r="E1623" s="408"/>
      <c r="F1623" s="408"/>
      <c r="G1623" s="408"/>
      <c r="H1623" s="410"/>
      <c r="I1623" s="410"/>
      <c r="J1623" s="410"/>
      <c r="K1623" s="410"/>
      <c r="L1623" s="410"/>
      <c r="M1623" s="410"/>
      <c r="N1623" s="410"/>
      <c r="O1623" s="410"/>
      <c r="P1623" s="410"/>
      <c r="Q1623" s="410"/>
      <c r="R1623" s="410"/>
      <c r="S1623" s="410"/>
      <c r="T1623" s="410"/>
      <c r="U1623" s="410"/>
      <c r="V1623" s="410"/>
      <c r="W1623" s="410"/>
      <c r="X1623" s="410"/>
      <c r="Y1623" s="410"/>
      <c r="Z1623" s="410"/>
      <c r="AA1623" s="410"/>
      <c r="AB1623" s="410"/>
      <c r="AC1623" s="410"/>
      <c r="AD1623" s="410"/>
      <c r="AE1623" s="410"/>
      <c r="AF1623" s="410"/>
      <c r="AK1623" s="412"/>
      <c r="AL1623" s="413"/>
      <c r="AM1623" s="413"/>
      <c r="AN1623" s="413"/>
      <c r="AO1623" s="413"/>
      <c r="AP1623" s="413"/>
      <c r="AQ1623" s="413"/>
      <c r="AR1623" s="413"/>
      <c r="AS1623" s="413"/>
      <c r="AT1623" s="413"/>
      <c r="AU1623" s="413"/>
      <c r="AV1623" s="413"/>
      <c r="AW1623" s="413"/>
      <c r="AX1623" s="413"/>
      <c r="AY1623" s="413"/>
      <c r="AZ1623" s="413"/>
      <c r="BA1623" s="413"/>
      <c r="BB1623" s="413"/>
    </row>
    <row r="1624" spans="4:54" s="411" customFormat="1">
      <c r="D1624" s="408"/>
      <c r="E1624" s="408"/>
      <c r="F1624" s="409"/>
      <c r="G1624" s="410"/>
      <c r="H1624" s="410"/>
      <c r="I1624" s="410"/>
      <c r="J1624" s="410"/>
      <c r="K1624" s="410"/>
      <c r="L1624" s="410"/>
      <c r="M1624" s="410"/>
      <c r="N1624" s="410"/>
      <c r="O1624" s="410"/>
      <c r="P1624" s="410"/>
      <c r="Q1624" s="410"/>
      <c r="R1624" s="410"/>
      <c r="S1624" s="410"/>
      <c r="T1624" s="410"/>
      <c r="U1624" s="410"/>
      <c r="V1624" s="410"/>
      <c r="W1624" s="410"/>
      <c r="X1624" s="410"/>
      <c r="Y1624" s="410"/>
      <c r="Z1624" s="410"/>
      <c r="AA1624" s="410"/>
      <c r="AB1624" s="410"/>
      <c r="AC1624" s="410"/>
      <c r="AD1624" s="410"/>
      <c r="AE1624" s="410"/>
      <c r="AF1624" s="410"/>
      <c r="AK1624" s="412"/>
      <c r="AL1624" s="413"/>
      <c r="AM1624" s="413"/>
      <c r="AN1624" s="413"/>
      <c r="AO1624" s="413"/>
      <c r="AP1624" s="413"/>
      <c r="AQ1624" s="413"/>
      <c r="AR1624" s="413"/>
      <c r="AS1624" s="413"/>
      <c r="AT1624" s="413"/>
      <c r="AU1624" s="413"/>
      <c r="AV1624" s="413"/>
      <c r="AW1624" s="413"/>
      <c r="AX1624" s="413"/>
      <c r="AY1624" s="413"/>
      <c r="AZ1624" s="413"/>
      <c r="BA1624" s="413"/>
      <c r="BB1624" s="413"/>
    </row>
    <row r="1625" spans="4:54" s="411" customFormat="1">
      <c r="D1625" s="408"/>
      <c r="E1625" s="408"/>
      <c r="F1625" s="409"/>
      <c r="G1625" s="410"/>
      <c r="H1625" s="410"/>
      <c r="I1625" s="410"/>
      <c r="J1625" s="410"/>
      <c r="K1625" s="410"/>
      <c r="L1625" s="410"/>
      <c r="M1625" s="410"/>
      <c r="N1625" s="410"/>
      <c r="O1625" s="410"/>
      <c r="P1625" s="410"/>
      <c r="Q1625" s="410"/>
      <c r="R1625" s="410"/>
      <c r="S1625" s="410"/>
      <c r="T1625" s="410"/>
      <c r="U1625" s="410"/>
      <c r="V1625" s="410"/>
      <c r="W1625" s="410"/>
      <c r="X1625" s="410"/>
      <c r="Y1625" s="410"/>
      <c r="Z1625" s="410"/>
      <c r="AA1625" s="410"/>
      <c r="AB1625" s="410"/>
      <c r="AC1625" s="410"/>
      <c r="AD1625" s="410"/>
      <c r="AE1625" s="410"/>
      <c r="AF1625" s="410"/>
      <c r="AK1625" s="412"/>
      <c r="AL1625" s="413"/>
      <c r="AM1625" s="413"/>
      <c r="AN1625" s="413"/>
      <c r="AO1625" s="413"/>
      <c r="AP1625" s="413"/>
      <c r="AQ1625" s="413"/>
      <c r="AR1625" s="413"/>
      <c r="AS1625" s="413"/>
      <c r="AT1625" s="413"/>
      <c r="AU1625" s="413"/>
      <c r="AV1625" s="413"/>
      <c r="AW1625" s="413"/>
      <c r="AX1625" s="413"/>
      <c r="AY1625" s="413"/>
      <c r="AZ1625" s="413"/>
      <c r="BA1625" s="413"/>
      <c r="BB1625" s="413"/>
    </row>
    <row r="1626" spans="4:54" s="411" customFormat="1">
      <c r="D1626" s="408"/>
      <c r="E1626" s="408"/>
      <c r="F1626" s="409"/>
      <c r="G1626" s="410"/>
      <c r="H1626" s="410"/>
      <c r="I1626" s="410"/>
      <c r="J1626" s="410"/>
      <c r="K1626" s="410"/>
      <c r="L1626" s="410"/>
      <c r="M1626" s="410"/>
      <c r="N1626" s="410"/>
      <c r="O1626" s="410"/>
      <c r="P1626" s="410"/>
      <c r="Q1626" s="410"/>
      <c r="R1626" s="410"/>
      <c r="S1626" s="410"/>
      <c r="T1626" s="410"/>
      <c r="U1626" s="410"/>
      <c r="V1626" s="410"/>
      <c r="W1626" s="410"/>
      <c r="X1626" s="410"/>
      <c r="Y1626" s="410"/>
      <c r="Z1626" s="410"/>
      <c r="AA1626" s="410"/>
      <c r="AB1626" s="410"/>
      <c r="AC1626" s="410"/>
      <c r="AD1626" s="410"/>
      <c r="AE1626" s="410"/>
      <c r="AF1626" s="410"/>
      <c r="AK1626" s="412"/>
      <c r="AL1626" s="413"/>
      <c r="AM1626" s="413"/>
      <c r="AN1626" s="413"/>
      <c r="AO1626" s="413"/>
      <c r="AP1626" s="413"/>
      <c r="AQ1626" s="413"/>
      <c r="AR1626" s="413"/>
      <c r="AS1626" s="413"/>
      <c r="AT1626" s="413"/>
      <c r="AU1626" s="413"/>
      <c r="AV1626" s="413"/>
      <c r="AW1626" s="413"/>
      <c r="AX1626" s="413"/>
      <c r="AY1626" s="413"/>
      <c r="AZ1626" s="413"/>
      <c r="BA1626" s="413"/>
      <c r="BB1626" s="413"/>
    </row>
    <row r="1627" spans="4:54" s="411" customFormat="1">
      <c r="D1627" s="408"/>
      <c r="E1627" s="408"/>
      <c r="F1627" s="409"/>
      <c r="G1627" s="410"/>
      <c r="H1627" s="410"/>
      <c r="I1627" s="410"/>
      <c r="J1627" s="410"/>
      <c r="K1627" s="410"/>
      <c r="L1627" s="410"/>
      <c r="M1627" s="410"/>
      <c r="N1627" s="410"/>
      <c r="O1627" s="410"/>
      <c r="P1627" s="410"/>
      <c r="Q1627" s="410"/>
      <c r="R1627" s="410"/>
      <c r="S1627" s="410"/>
      <c r="T1627" s="410"/>
      <c r="U1627" s="410"/>
      <c r="V1627" s="410"/>
      <c r="W1627" s="410"/>
      <c r="X1627" s="410"/>
      <c r="Y1627" s="410"/>
      <c r="Z1627" s="410"/>
      <c r="AA1627" s="410"/>
      <c r="AB1627" s="410"/>
      <c r="AC1627" s="410"/>
      <c r="AD1627" s="410"/>
      <c r="AE1627" s="410"/>
      <c r="AF1627" s="410"/>
      <c r="AK1627" s="412"/>
      <c r="AL1627" s="413"/>
      <c r="AM1627" s="413"/>
      <c r="AN1627" s="413"/>
      <c r="AO1627" s="413"/>
      <c r="AP1627" s="413"/>
      <c r="AQ1627" s="413"/>
      <c r="AR1627" s="413"/>
      <c r="AS1627" s="413"/>
      <c r="AT1627" s="413"/>
      <c r="AU1627" s="413"/>
      <c r="AV1627" s="413"/>
      <c r="AW1627" s="413"/>
      <c r="AX1627" s="413"/>
      <c r="AY1627" s="413"/>
      <c r="AZ1627" s="413"/>
      <c r="BA1627" s="413"/>
      <c r="BB1627" s="413"/>
    </row>
    <row r="1628" spans="4:54" s="411" customFormat="1">
      <c r="D1628" s="408"/>
      <c r="E1628" s="408"/>
      <c r="F1628" s="409"/>
      <c r="G1628" s="410"/>
      <c r="H1628" s="410"/>
      <c r="I1628" s="410"/>
      <c r="J1628" s="410"/>
      <c r="K1628" s="410"/>
      <c r="L1628" s="410"/>
      <c r="M1628" s="410"/>
      <c r="N1628" s="410"/>
      <c r="O1628" s="410"/>
      <c r="P1628" s="410"/>
      <c r="Q1628" s="410"/>
      <c r="R1628" s="410"/>
      <c r="S1628" s="410"/>
      <c r="T1628" s="410"/>
      <c r="U1628" s="410"/>
      <c r="V1628" s="410"/>
      <c r="W1628" s="410"/>
      <c r="X1628" s="410"/>
      <c r="Y1628" s="410"/>
      <c r="Z1628" s="410"/>
      <c r="AA1628" s="410"/>
      <c r="AB1628" s="410"/>
      <c r="AC1628" s="410"/>
      <c r="AD1628" s="410"/>
      <c r="AE1628" s="410"/>
      <c r="AF1628" s="410"/>
      <c r="AK1628" s="412"/>
      <c r="AL1628" s="413"/>
      <c r="AM1628" s="413"/>
      <c r="AN1628" s="413"/>
      <c r="AO1628" s="413"/>
      <c r="AP1628" s="413"/>
      <c r="AQ1628" s="413"/>
      <c r="AR1628" s="413"/>
      <c r="AS1628" s="413"/>
      <c r="AT1628" s="413"/>
      <c r="AU1628" s="413"/>
      <c r="AV1628" s="413"/>
      <c r="AW1628" s="413"/>
      <c r="AX1628" s="413"/>
      <c r="AY1628" s="413"/>
      <c r="AZ1628" s="413"/>
      <c r="BA1628" s="413"/>
      <c r="BB1628" s="413"/>
    </row>
    <row r="1629" spans="4:54" s="411" customFormat="1">
      <c r="D1629" s="408"/>
      <c r="E1629" s="408"/>
      <c r="F1629" s="409"/>
      <c r="G1629" s="410"/>
      <c r="H1629" s="410"/>
      <c r="I1629" s="410"/>
      <c r="J1629" s="410"/>
      <c r="K1629" s="410"/>
      <c r="L1629" s="410"/>
      <c r="M1629" s="410"/>
      <c r="N1629" s="410"/>
      <c r="O1629" s="410"/>
      <c r="P1629" s="410"/>
      <c r="Q1629" s="410"/>
      <c r="R1629" s="410"/>
      <c r="S1629" s="410"/>
      <c r="T1629" s="410"/>
      <c r="U1629" s="410"/>
      <c r="V1629" s="410"/>
      <c r="W1629" s="410"/>
      <c r="X1629" s="410"/>
      <c r="Y1629" s="410"/>
      <c r="Z1629" s="410"/>
      <c r="AA1629" s="410"/>
      <c r="AB1629" s="410"/>
      <c r="AC1629" s="410"/>
      <c r="AD1629" s="410"/>
      <c r="AE1629" s="410"/>
      <c r="AF1629" s="410"/>
      <c r="AK1629" s="412"/>
      <c r="AL1629" s="413"/>
      <c r="AM1629" s="413"/>
      <c r="AN1629" s="413"/>
      <c r="AO1629" s="413"/>
      <c r="AP1629" s="413"/>
      <c r="AQ1629" s="413"/>
      <c r="AR1629" s="413"/>
      <c r="AS1629" s="413"/>
      <c r="AT1629" s="413"/>
      <c r="AU1629" s="413"/>
      <c r="AV1629" s="413"/>
      <c r="AW1629" s="413"/>
      <c r="AX1629" s="413"/>
      <c r="AY1629" s="413"/>
      <c r="AZ1629" s="413"/>
      <c r="BA1629" s="413"/>
      <c r="BB1629" s="413"/>
    </row>
    <row r="1630" spans="4:54" s="411" customFormat="1">
      <c r="D1630" s="408"/>
      <c r="E1630" s="408"/>
      <c r="F1630" s="409"/>
      <c r="G1630" s="410"/>
      <c r="H1630" s="410"/>
      <c r="I1630" s="410"/>
      <c r="J1630" s="410"/>
      <c r="K1630" s="410"/>
      <c r="L1630" s="410"/>
      <c r="M1630" s="410"/>
      <c r="N1630" s="410"/>
      <c r="O1630" s="410"/>
      <c r="P1630" s="410"/>
      <c r="Q1630" s="410"/>
      <c r="R1630" s="410"/>
      <c r="S1630" s="410"/>
      <c r="T1630" s="410"/>
      <c r="U1630" s="410"/>
      <c r="V1630" s="410"/>
      <c r="W1630" s="410"/>
      <c r="X1630" s="410"/>
      <c r="Y1630" s="410"/>
      <c r="Z1630" s="410"/>
      <c r="AA1630" s="410"/>
      <c r="AB1630" s="410"/>
      <c r="AC1630" s="410"/>
      <c r="AD1630" s="410"/>
      <c r="AE1630" s="410"/>
      <c r="AF1630" s="410"/>
      <c r="AK1630" s="412"/>
      <c r="AL1630" s="413"/>
      <c r="AM1630" s="413"/>
      <c r="AN1630" s="413"/>
      <c r="AO1630" s="413"/>
      <c r="AP1630" s="413"/>
      <c r="AQ1630" s="413"/>
      <c r="AR1630" s="413"/>
      <c r="AS1630" s="413"/>
      <c r="AT1630" s="413"/>
      <c r="AU1630" s="413"/>
      <c r="AV1630" s="413"/>
      <c r="AW1630" s="413"/>
      <c r="AX1630" s="413"/>
      <c r="AY1630" s="413"/>
      <c r="AZ1630" s="413"/>
      <c r="BA1630" s="413"/>
      <c r="BB1630" s="413"/>
    </row>
    <row r="1631" spans="4:54" s="411" customFormat="1">
      <c r="D1631" s="408"/>
      <c r="E1631" s="408"/>
      <c r="F1631" s="409"/>
      <c r="G1631" s="410"/>
      <c r="H1631" s="410"/>
      <c r="I1631" s="410"/>
      <c r="J1631" s="410"/>
      <c r="K1631" s="410"/>
      <c r="L1631" s="410"/>
      <c r="M1631" s="410"/>
      <c r="N1631" s="410"/>
      <c r="O1631" s="410"/>
      <c r="P1631" s="410"/>
      <c r="Q1631" s="410"/>
      <c r="R1631" s="410"/>
      <c r="S1631" s="410"/>
      <c r="T1631" s="410"/>
      <c r="U1631" s="410"/>
      <c r="V1631" s="410"/>
      <c r="W1631" s="410"/>
      <c r="X1631" s="410"/>
      <c r="Y1631" s="410"/>
      <c r="Z1631" s="410"/>
      <c r="AA1631" s="410"/>
      <c r="AB1631" s="410"/>
      <c r="AC1631" s="410"/>
      <c r="AD1631" s="410"/>
      <c r="AE1631" s="410"/>
      <c r="AF1631" s="410"/>
      <c r="AK1631" s="412"/>
      <c r="AL1631" s="413"/>
      <c r="AM1631" s="413"/>
      <c r="AN1631" s="413"/>
      <c r="AO1631" s="413"/>
      <c r="AP1631" s="413"/>
      <c r="AQ1631" s="413"/>
      <c r="AR1631" s="413"/>
      <c r="AS1631" s="413"/>
      <c r="AT1631" s="413"/>
      <c r="AU1631" s="413"/>
      <c r="AV1631" s="413"/>
      <c r="AW1631" s="413"/>
      <c r="AX1631" s="413"/>
      <c r="AY1631" s="413"/>
      <c r="AZ1631" s="413"/>
      <c r="BA1631" s="413"/>
      <c r="BB1631" s="413"/>
    </row>
    <row r="1632" spans="4:54" s="411" customFormat="1">
      <c r="D1632" s="408"/>
      <c r="E1632" s="408"/>
      <c r="F1632" s="409"/>
      <c r="G1632" s="410"/>
      <c r="H1632" s="410"/>
      <c r="I1632" s="410"/>
      <c r="J1632" s="410"/>
      <c r="K1632" s="410"/>
      <c r="L1632" s="410"/>
      <c r="M1632" s="410"/>
      <c r="N1632" s="410"/>
      <c r="O1632" s="410"/>
      <c r="P1632" s="410"/>
      <c r="Q1632" s="410"/>
      <c r="R1632" s="410"/>
      <c r="S1632" s="410"/>
      <c r="T1632" s="410"/>
      <c r="U1632" s="410"/>
      <c r="V1632" s="410"/>
      <c r="W1632" s="410"/>
      <c r="X1632" s="410"/>
      <c r="Y1632" s="410"/>
      <c r="Z1632" s="410"/>
      <c r="AA1632" s="410"/>
      <c r="AB1632" s="410"/>
      <c r="AC1632" s="410"/>
      <c r="AD1632" s="410"/>
      <c r="AE1632" s="410"/>
      <c r="AF1632" s="410"/>
      <c r="AK1632" s="412"/>
      <c r="AL1632" s="413"/>
      <c r="AM1632" s="413"/>
      <c r="AN1632" s="413"/>
      <c r="AO1632" s="413"/>
      <c r="AP1632" s="413"/>
      <c r="AQ1632" s="413"/>
      <c r="AR1632" s="413"/>
      <c r="AS1632" s="413"/>
      <c r="AT1632" s="413"/>
      <c r="AU1632" s="413"/>
      <c r="AV1632" s="413"/>
      <c r="AW1632" s="413"/>
      <c r="AX1632" s="413"/>
      <c r="AY1632" s="413"/>
      <c r="AZ1632" s="413"/>
      <c r="BA1632" s="413"/>
      <c r="BB1632" s="413"/>
    </row>
    <row r="1633" spans="4:54" s="411" customFormat="1">
      <c r="D1633" s="408"/>
      <c r="E1633" s="408"/>
      <c r="F1633" s="409"/>
      <c r="G1633" s="410"/>
      <c r="H1633" s="410"/>
      <c r="I1633" s="410"/>
      <c r="J1633" s="410"/>
      <c r="K1633" s="410"/>
      <c r="L1633" s="410"/>
      <c r="M1633" s="410"/>
      <c r="N1633" s="410"/>
      <c r="O1633" s="410"/>
      <c r="P1633" s="410"/>
      <c r="Q1633" s="410"/>
      <c r="R1633" s="410"/>
      <c r="S1633" s="410"/>
      <c r="T1633" s="410"/>
      <c r="U1633" s="410"/>
      <c r="V1633" s="410"/>
      <c r="W1633" s="410"/>
      <c r="X1633" s="410"/>
      <c r="Y1633" s="410"/>
      <c r="Z1633" s="410"/>
      <c r="AA1633" s="410"/>
      <c r="AB1633" s="410"/>
      <c r="AC1633" s="410"/>
      <c r="AD1633" s="410"/>
      <c r="AE1633" s="410"/>
      <c r="AF1633" s="410"/>
      <c r="AK1633" s="412"/>
      <c r="AL1633" s="413"/>
      <c r="AM1633" s="413"/>
      <c r="AN1633" s="413"/>
      <c r="AO1633" s="413"/>
      <c r="AP1633" s="413"/>
      <c r="AQ1633" s="413"/>
      <c r="AR1633" s="413"/>
      <c r="AS1633" s="413"/>
      <c r="AT1633" s="413"/>
      <c r="AU1633" s="413"/>
      <c r="AV1633" s="413"/>
      <c r="AW1633" s="413"/>
      <c r="AX1633" s="413"/>
      <c r="AY1633" s="413"/>
      <c r="AZ1633" s="413"/>
      <c r="BA1633" s="413"/>
      <c r="BB1633" s="413"/>
    </row>
    <row r="1634" spans="4:54" s="411" customFormat="1">
      <c r="D1634" s="408"/>
      <c r="E1634" s="408"/>
      <c r="F1634" s="409"/>
      <c r="G1634" s="410"/>
      <c r="H1634" s="410"/>
      <c r="I1634" s="410"/>
      <c r="J1634" s="410"/>
      <c r="K1634" s="410"/>
      <c r="L1634" s="410"/>
      <c r="M1634" s="410"/>
      <c r="N1634" s="410"/>
      <c r="O1634" s="410"/>
      <c r="P1634" s="410"/>
      <c r="Q1634" s="410"/>
      <c r="R1634" s="410"/>
      <c r="S1634" s="410"/>
      <c r="T1634" s="410"/>
      <c r="U1634" s="410"/>
      <c r="V1634" s="410"/>
      <c r="W1634" s="410"/>
      <c r="X1634" s="410"/>
      <c r="Y1634" s="410"/>
      <c r="Z1634" s="410"/>
      <c r="AA1634" s="410"/>
      <c r="AB1634" s="410"/>
      <c r="AC1634" s="410"/>
      <c r="AD1634" s="410"/>
      <c r="AE1634" s="410"/>
      <c r="AF1634" s="410"/>
      <c r="AK1634" s="412"/>
      <c r="AL1634" s="413"/>
      <c r="AM1634" s="413"/>
      <c r="AN1634" s="413"/>
      <c r="AO1634" s="413"/>
      <c r="AP1634" s="413"/>
      <c r="AQ1634" s="413"/>
      <c r="AR1634" s="413"/>
      <c r="AS1634" s="413"/>
      <c r="AT1634" s="413"/>
      <c r="AU1634" s="413"/>
      <c r="AV1634" s="413"/>
      <c r="AW1634" s="413"/>
      <c r="AX1634" s="413"/>
      <c r="AY1634" s="413"/>
      <c r="AZ1634" s="413"/>
      <c r="BA1634" s="413"/>
      <c r="BB1634" s="413"/>
    </row>
    <row r="1635" spans="4:54" s="411" customFormat="1">
      <c r="D1635" s="408"/>
      <c r="E1635" s="408"/>
      <c r="F1635" s="409"/>
      <c r="G1635" s="410"/>
      <c r="H1635" s="410"/>
      <c r="I1635" s="410"/>
      <c r="J1635" s="410"/>
      <c r="K1635" s="410"/>
      <c r="L1635" s="410"/>
      <c r="M1635" s="410"/>
      <c r="N1635" s="410"/>
      <c r="O1635" s="410"/>
      <c r="P1635" s="410"/>
      <c r="Q1635" s="410"/>
      <c r="R1635" s="410"/>
      <c r="S1635" s="410"/>
      <c r="T1635" s="410"/>
      <c r="U1635" s="410"/>
      <c r="V1635" s="410"/>
      <c r="W1635" s="410"/>
      <c r="X1635" s="410"/>
      <c r="Y1635" s="410"/>
      <c r="Z1635" s="410"/>
      <c r="AA1635" s="410"/>
      <c r="AB1635" s="410"/>
      <c r="AC1635" s="410"/>
      <c r="AD1635" s="410"/>
      <c r="AE1635" s="410"/>
      <c r="AF1635" s="410"/>
      <c r="AK1635" s="412"/>
      <c r="AL1635" s="413"/>
      <c r="AM1635" s="413"/>
      <c r="AN1635" s="413"/>
      <c r="AO1635" s="413"/>
      <c r="AP1635" s="413"/>
      <c r="AQ1635" s="413"/>
      <c r="AR1635" s="413"/>
      <c r="AS1635" s="413"/>
      <c r="AT1635" s="413"/>
      <c r="AU1635" s="413"/>
      <c r="AV1635" s="413"/>
      <c r="AW1635" s="413"/>
      <c r="AX1635" s="413"/>
      <c r="AY1635" s="413"/>
      <c r="AZ1635" s="413"/>
      <c r="BA1635" s="413"/>
      <c r="BB1635" s="413"/>
    </row>
    <row r="1636" spans="4:54" s="411" customFormat="1">
      <c r="D1636" s="408"/>
      <c r="E1636" s="408"/>
      <c r="F1636" s="409"/>
      <c r="G1636" s="410"/>
      <c r="H1636" s="410"/>
      <c r="I1636" s="410"/>
      <c r="J1636" s="410"/>
      <c r="K1636" s="410"/>
      <c r="L1636" s="410"/>
      <c r="M1636" s="410"/>
      <c r="N1636" s="410"/>
      <c r="O1636" s="410"/>
      <c r="P1636" s="410"/>
      <c r="Q1636" s="410"/>
      <c r="R1636" s="410"/>
      <c r="S1636" s="410"/>
      <c r="T1636" s="410"/>
      <c r="U1636" s="410"/>
      <c r="V1636" s="410"/>
      <c r="W1636" s="410"/>
      <c r="X1636" s="410"/>
      <c r="Y1636" s="410"/>
      <c r="Z1636" s="410"/>
      <c r="AA1636" s="410"/>
      <c r="AB1636" s="410"/>
      <c r="AC1636" s="410"/>
      <c r="AD1636" s="410"/>
      <c r="AE1636" s="410"/>
      <c r="AF1636" s="410"/>
      <c r="AK1636" s="412"/>
      <c r="AL1636" s="413"/>
      <c r="AM1636" s="413"/>
      <c r="AN1636" s="413"/>
      <c r="AO1636" s="413"/>
      <c r="AP1636" s="413"/>
      <c r="AQ1636" s="413"/>
      <c r="AR1636" s="413"/>
      <c r="AS1636" s="413"/>
      <c r="AT1636" s="413"/>
      <c r="AU1636" s="413"/>
      <c r="AV1636" s="413"/>
      <c r="AW1636" s="413"/>
      <c r="AX1636" s="413"/>
      <c r="AY1636" s="413"/>
      <c r="AZ1636" s="413"/>
      <c r="BA1636" s="413"/>
      <c r="BB1636" s="413"/>
    </row>
    <row r="1637" spans="4:54" s="411" customFormat="1">
      <c r="D1637" s="408"/>
      <c r="E1637" s="408"/>
      <c r="F1637" s="409"/>
      <c r="G1637" s="410"/>
      <c r="H1637" s="410"/>
      <c r="I1637" s="410"/>
      <c r="J1637" s="410"/>
      <c r="K1637" s="410"/>
      <c r="L1637" s="410"/>
      <c r="M1637" s="410"/>
      <c r="N1637" s="410"/>
      <c r="O1637" s="410"/>
      <c r="P1637" s="410"/>
      <c r="Q1637" s="410"/>
      <c r="R1637" s="410"/>
      <c r="S1637" s="410"/>
      <c r="T1637" s="410"/>
      <c r="U1637" s="410"/>
      <c r="V1637" s="410"/>
      <c r="W1637" s="410"/>
      <c r="X1637" s="410"/>
      <c r="Y1637" s="410"/>
      <c r="Z1637" s="410"/>
      <c r="AA1637" s="410"/>
      <c r="AB1637" s="410"/>
      <c r="AC1637" s="410"/>
      <c r="AD1637" s="410"/>
      <c r="AE1637" s="410"/>
      <c r="AF1637" s="410"/>
      <c r="AK1637" s="412"/>
      <c r="AL1637" s="413"/>
      <c r="AM1637" s="413"/>
      <c r="AN1637" s="413"/>
      <c r="AO1637" s="413"/>
      <c r="AP1637" s="413"/>
      <c r="AQ1637" s="413"/>
      <c r="AR1637" s="413"/>
      <c r="AS1637" s="413"/>
      <c r="AT1637" s="413"/>
      <c r="AU1637" s="413"/>
      <c r="AV1637" s="413"/>
      <c r="AW1637" s="413"/>
      <c r="AX1637" s="413"/>
      <c r="AY1637" s="413"/>
      <c r="AZ1637" s="413"/>
      <c r="BA1637" s="413"/>
      <c r="BB1637" s="413"/>
    </row>
    <row r="1638" spans="4:54" s="411" customFormat="1">
      <c r="D1638" s="408"/>
      <c r="E1638" s="408"/>
      <c r="F1638" s="409"/>
      <c r="G1638" s="410"/>
      <c r="H1638" s="410"/>
      <c r="I1638" s="410"/>
      <c r="J1638" s="410"/>
      <c r="K1638" s="410"/>
      <c r="L1638" s="410"/>
      <c r="M1638" s="410"/>
      <c r="N1638" s="410"/>
      <c r="O1638" s="410"/>
      <c r="P1638" s="410"/>
      <c r="Q1638" s="410"/>
      <c r="R1638" s="410"/>
      <c r="S1638" s="410"/>
      <c r="T1638" s="410"/>
      <c r="U1638" s="410"/>
      <c r="V1638" s="410"/>
      <c r="W1638" s="410"/>
      <c r="X1638" s="410"/>
      <c r="Y1638" s="410"/>
      <c r="Z1638" s="410"/>
      <c r="AA1638" s="410"/>
      <c r="AB1638" s="410"/>
      <c r="AC1638" s="410"/>
      <c r="AD1638" s="410"/>
      <c r="AE1638" s="410"/>
      <c r="AF1638" s="410"/>
      <c r="AK1638" s="412"/>
      <c r="AL1638" s="413"/>
      <c r="AM1638" s="413"/>
      <c r="AN1638" s="413"/>
      <c r="AO1638" s="413"/>
      <c r="AP1638" s="413"/>
      <c r="AQ1638" s="413"/>
      <c r="AR1638" s="413"/>
      <c r="AS1638" s="413"/>
      <c r="AT1638" s="413"/>
      <c r="AU1638" s="413"/>
      <c r="AV1638" s="413"/>
      <c r="AW1638" s="413"/>
      <c r="AX1638" s="413"/>
      <c r="AY1638" s="413"/>
      <c r="AZ1638" s="413"/>
      <c r="BA1638" s="413"/>
      <c r="BB1638" s="413"/>
    </row>
    <row r="1639" spans="4:54" s="411" customFormat="1">
      <c r="D1639" s="408"/>
      <c r="E1639" s="408"/>
      <c r="F1639" s="409"/>
      <c r="G1639" s="410"/>
      <c r="H1639" s="410"/>
      <c r="I1639" s="410"/>
      <c r="J1639" s="410"/>
      <c r="K1639" s="410"/>
      <c r="L1639" s="410"/>
      <c r="M1639" s="410"/>
      <c r="N1639" s="410"/>
      <c r="O1639" s="410"/>
      <c r="P1639" s="410"/>
      <c r="Q1639" s="410"/>
      <c r="R1639" s="410"/>
      <c r="S1639" s="410"/>
      <c r="T1639" s="410"/>
      <c r="U1639" s="410"/>
      <c r="V1639" s="410"/>
      <c r="W1639" s="410"/>
      <c r="X1639" s="410"/>
      <c r="Y1639" s="410"/>
      <c r="Z1639" s="410"/>
      <c r="AA1639" s="410"/>
      <c r="AB1639" s="410"/>
      <c r="AC1639" s="410"/>
      <c r="AD1639" s="410"/>
      <c r="AE1639" s="410"/>
      <c r="AF1639" s="410"/>
      <c r="AK1639" s="412"/>
      <c r="AL1639" s="413"/>
      <c r="AM1639" s="413"/>
      <c r="AN1639" s="413"/>
      <c r="AO1639" s="413"/>
      <c r="AP1639" s="413"/>
      <c r="AQ1639" s="413"/>
      <c r="AR1639" s="413"/>
      <c r="AS1639" s="413"/>
      <c r="AT1639" s="413"/>
      <c r="AU1639" s="413"/>
      <c r="AV1639" s="413"/>
      <c r="AW1639" s="413"/>
      <c r="AX1639" s="413"/>
      <c r="AY1639" s="413"/>
      <c r="AZ1639" s="413"/>
      <c r="BA1639" s="413"/>
      <c r="BB1639" s="413"/>
    </row>
    <row r="1640" spans="4:54" s="411" customFormat="1">
      <c r="D1640" s="408"/>
      <c r="E1640" s="408"/>
      <c r="F1640" s="409"/>
      <c r="G1640" s="410"/>
      <c r="H1640" s="410"/>
      <c r="I1640" s="410"/>
      <c r="J1640" s="410"/>
      <c r="K1640" s="410"/>
      <c r="L1640" s="410"/>
      <c r="M1640" s="410"/>
      <c r="N1640" s="410"/>
      <c r="O1640" s="410"/>
      <c r="P1640" s="410"/>
      <c r="Q1640" s="410"/>
      <c r="R1640" s="410"/>
      <c r="S1640" s="410"/>
      <c r="T1640" s="410"/>
      <c r="U1640" s="410"/>
      <c r="V1640" s="410"/>
      <c r="W1640" s="410"/>
      <c r="X1640" s="410"/>
      <c r="Y1640" s="410"/>
      <c r="Z1640" s="410"/>
      <c r="AA1640" s="410"/>
      <c r="AB1640" s="410"/>
      <c r="AC1640" s="410"/>
      <c r="AD1640" s="410"/>
      <c r="AE1640" s="410"/>
      <c r="AF1640" s="410"/>
      <c r="AK1640" s="412"/>
      <c r="AL1640" s="413"/>
      <c r="AM1640" s="413"/>
      <c r="AN1640" s="413"/>
      <c r="AO1640" s="413"/>
      <c r="AP1640" s="413"/>
      <c r="AQ1640" s="413"/>
      <c r="AR1640" s="413"/>
      <c r="AS1640" s="413"/>
      <c r="AT1640" s="413"/>
      <c r="AU1640" s="413"/>
      <c r="AV1640" s="413"/>
      <c r="AW1640" s="413"/>
      <c r="AX1640" s="413"/>
      <c r="AY1640" s="413"/>
      <c r="AZ1640" s="413"/>
      <c r="BA1640" s="413"/>
      <c r="BB1640" s="413"/>
    </row>
    <row r="1641" spans="4:54" s="411" customFormat="1">
      <c r="D1641" s="408"/>
      <c r="E1641" s="408"/>
      <c r="F1641" s="409"/>
      <c r="G1641" s="410"/>
      <c r="H1641" s="410"/>
      <c r="I1641" s="410"/>
      <c r="J1641" s="410"/>
      <c r="K1641" s="410"/>
      <c r="L1641" s="410"/>
      <c r="M1641" s="410"/>
      <c r="N1641" s="410"/>
      <c r="O1641" s="410"/>
      <c r="P1641" s="410"/>
      <c r="Q1641" s="410"/>
      <c r="R1641" s="410"/>
      <c r="S1641" s="410"/>
      <c r="T1641" s="410"/>
      <c r="U1641" s="410"/>
      <c r="V1641" s="410"/>
      <c r="W1641" s="410"/>
      <c r="X1641" s="410"/>
      <c r="Y1641" s="410"/>
      <c r="Z1641" s="410"/>
      <c r="AA1641" s="410"/>
      <c r="AB1641" s="410"/>
      <c r="AC1641" s="410"/>
      <c r="AD1641" s="410"/>
      <c r="AE1641" s="410"/>
      <c r="AF1641" s="410"/>
      <c r="AK1641" s="412"/>
      <c r="AL1641" s="413"/>
      <c r="AM1641" s="413"/>
      <c r="AN1641" s="413"/>
      <c r="AO1641" s="413"/>
      <c r="AP1641" s="413"/>
      <c r="AQ1641" s="413"/>
      <c r="AR1641" s="413"/>
      <c r="AS1641" s="413"/>
      <c r="AT1641" s="413"/>
      <c r="AU1641" s="413"/>
      <c r="AV1641" s="413"/>
      <c r="AW1641" s="413"/>
      <c r="AX1641" s="413"/>
      <c r="AY1641" s="413"/>
      <c r="AZ1641" s="413"/>
      <c r="BA1641" s="413"/>
      <c r="BB1641" s="413"/>
    </row>
    <row r="1642" spans="4:54" s="83" customFormat="1">
      <c r="D1642" s="343"/>
      <c r="E1642" s="343"/>
      <c r="F1642" s="119"/>
      <c r="G1642" s="325"/>
      <c r="H1642" s="325"/>
      <c r="I1642" s="325"/>
      <c r="J1642" s="325"/>
      <c r="K1642" s="325"/>
      <c r="L1642" s="325"/>
      <c r="M1642" s="325"/>
      <c r="N1642" s="325"/>
      <c r="O1642" s="325"/>
      <c r="P1642" s="325"/>
      <c r="Q1642" s="325"/>
      <c r="R1642" s="325"/>
      <c r="S1642" s="325"/>
      <c r="T1642" s="325"/>
      <c r="U1642" s="325"/>
      <c r="V1642" s="325"/>
      <c r="W1642" s="325"/>
      <c r="X1642" s="325"/>
      <c r="Y1642" s="325"/>
      <c r="Z1642" s="325"/>
      <c r="AA1642" s="325"/>
      <c r="AB1642" s="325"/>
      <c r="AC1642" s="325"/>
      <c r="AD1642" s="325"/>
      <c r="AE1642" s="325"/>
      <c r="AF1642" s="325"/>
      <c r="AK1642" s="223"/>
      <c r="AL1642" s="322"/>
      <c r="AM1642" s="322"/>
      <c r="AN1642" s="322"/>
      <c r="AO1642" s="322"/>
      <c r="AP1642" s="322"/>
      <c r="AQ1642" s="322"/>
      <c r="AR1642" s="322"/>
      <c r="AS1642" s="322"/>
      <c r="AT1642" s="322"/>
      <c r="AU1642" s="322"/>
      <c r="AV1642" s="322"/>
      <c r="AW1642" s="322"/>
      <c r="AX1642" s="322"/>
      <c r="AY1642" s="322"/>
      <c r="AZ1642" s="322"/>
      <c r="BA1642" s="322"/>
      <c r="BB1642" s="322"/>
    </row>
    <row r="1643" spans="4:54" s="83" customFormat="1">
      <c r="D1643" s="343"/>
      <c r="E1643" s="343"/>
      <c r="F1643" s="119"/>
      <c r="G1643" s="325"/>
      <c r="H1643" s="325"/>
      <c r="I1643" s="325"/>
      <c r="J1643" s="325"/>
      <c r="K1643" s="325"/>
      <c r="L1643" s="325"/>
      <c r="M1643" s="325"/>
      <c r="N1643" s="325"/>
      <c r="O1643" s="325"/>
      <c r="P1643" s="325"/>
      <c r="Q1643" s="325"/>
      <c r="R1643" s="325"/>
      <c r="S1643" s="325"/>
      <c r="T1643" s="325"/>
      <c r="U1643" s="325"/>
      <c r="V1643" s="325"/>
      <c r="W1643" s="325"/>
      <c r="X1643" s="325"/>
      <c r="Y1643" s="325"/>
      <c r="Z1643" s="325"/>
      <c r="AA1643" s="325"/>
      <c r="AB1643" s="325"/>
      <c r="AC1643" s="325"/>
      <c r="AD1643" s="325"/>
      <c r="AE1643" s="325"/>
      <c r="AF1643" s="325"/>
      <c r="AK1643" s="223"/>
      <c r="AL1643" s="322"/>
      <c r="AM1643" s="322"/>
      <c r="AN1643" s="322"/>
      <c r="AO1643" s="322"/>
      <c r="AP1643" s="322"/>
      <c r="AQ1643" s="322"/>
      <c r="AR1643" s="322"/>
      <c r="AS1643" s="322"/>
      <c r="AT1643" s="322"/>
      <c r="AU1643" s="322"/>
      <c r="AV1643" s="322"/>
      <c r="AW1643" s="322"/>
      <c r="AX1643" s="322"/>
      <c r="AY1643" s="322"/>
      <c r="AZ1643" s="322"/>
      <c r="BA1643" s="322"/>
      <c r="BB1643" s="322"/>
    </row>
    <row r="1644" spans="4:54" s="83" customFormat="1">
      <c r="D1644" s="343"/>
      <c r="E1644" s="343"/>
      <c r="F1644" s="119"/>
      <c r="G1644" s="325"/>
      <c r="H1644" s="325"/>
      <c r="I1644" s="325"/>
      <c r="J1644" s="325"/>
      <c r="K1644" s="325"/>
      <c r="L1644" s="325"/>
      <c r="M1644" s="325"/>
      <c r="N1644" s="325"/>
      <c r="O1644" s="325"/>
      <c r="P1644" s="325"/>
      <c r="Q1644" s="325"/>
      <c r="R1644" s="325"/>
      <c r="S1644" s="325"/>
      <c r="T1644" s="325"/>
      <c r="U1644" s="325"/>
      <c r="V1644" s="325"/>
      <c r="W1644" s="325"/>
      <c r="X1644" s="325"/>
      <c r="Y1644" s="325"/>
      <c r="Z1644" s="325"/>
      <c r="AA1644" s="325"/>
      <c r="AB1644" s="325"/>
      <c r="AC1644" s="325"/>
      <c r="AD1644" s="325"/>
      <c r="AE1644" s="325"/>
      <c r="AF1644" s="325"/>
      <c r="AK1644" s="223"/>
      <c r="AL1644" s="322"/>
      <c r="AM1644" s="322"/>
      <c r="AN1644" s="322"/>
      <c r="AO1644" s="322"/>
      <c r="AP1644" s="322"/>
      <c r="AQ1644" s="322"/>
      <c r="AR1644" s="322"/>
      <c r="AS1644" s="322"/>
      <c r="AT1644" s="322"/>
      <c r="AU1644" s="322"/>
      <c r="AV1644" s="322"/>
      <c r="AW1644" s="322"/>
      <c r="AX1644" s="322"/>
      <c r="AY1644" s="322"/>
      <c r="AZ1644" s="322"/>
      <c r="BA1644" s="322"/>
      <c r="BB1644" s="322"/>
    </row>
    <row r="1645" spans="4:54" s="83" customFormat="1">
      <c r="D1645" s="343"/>
      <c r="E1645" s="343"/>
      <c r="F1645" s="119"/>
      <c r="G1645" s="325"/>
      <c r="H1645" s="325"/>
      <c r="I1645" s="325"/>
      <c r="J1645" s="325"/>
      <c r="K1645" s="325"/>
      <c r="L1645" s="325"/>
      <c r="M1645" s="325"/>
      <c r="N1645" s="325"/>
      <c r="O1645" s="325"/>
      <c r="P1645" s="325"/>
      <c r="Q1645" s="325"/>
      <c r="R1645" s="325"/>
      <c r="S1645" s="325"/>
      <c r="T1645" s="325"/>
      <c r="U1645" s="325"/>
      <c r="V1645" s="325"/>
      <c r="W1645" s="325"/>
      <c r="X1645" s="325"/>
      <c r="Y1645" s="325"/>
      <c r="Z1645" s="325"/>
      <c r="AA1645" s="325"/>
      <c r="AB1645" s="325"/>
      <c r="AC1645" s="325"/>
      <c r="AD1645" s="325"/>
      <c r="AE1645" s="325"/>
      <c r="AF1645" s="325"/>
      <c r="AK1645" s="223"/>
      <c r="AL1645" s="322"/>
      <c r="AM1645" s="322"/>
      <c r="AN1645" s="322"/>
      <c r="AO1645" s="322"/>
      <c r="AP1645" s="322"/>
      <c r="AQ1645" s="322"/>
      <c r="AR1645" s="322"/>
      <c r="AS1645" s="322"/>
      <c r="AT1645" s="322"/>
      <c r="AU1645" s="322"/>
      <c r="AV1645" s="322"/>
      <c r="AW1645" s="322"/>
      <c r="AX1645" s="322"/>
      <c r="AY1645" s="322"/>
      <c r="AZ1645" s="322"/>
      <c r="BA1645" s="322"/>
      <c r="BB1645" s="322"/>
    </row>
    <row r="1646" spans="4:54" s="83" customFormat="1">
      <c r="D1646" s="343"/>
      <c r="E1646" s="343"/>
      <c r="F1646" s="119"/>
      <c r="G1646" s="325"/>
      <c r="H1646" s="325"/>
      <c r="I1646" s="325"/>
      <c r="J1646" s="325"/>
      <c r="K1646" s="325"/>
      <c r="L1646" s="325"/>
      <c r="M1646" s="325"/>
      <c r="N1646" s="325"/>
      <c r="O1646" s="325"/>
      <c r="P1646" s="325"/>
      <c r="Q1646" s="325"/>
      <c r="R1646" s="325"/>
      <c r="S1646" s="325"/>
      <c r="T1646" s="325"/>
      <c r="U1646" s="325"/>
      <c r="V1646" s="325"/>
      <c r="W1646" s="325"/>
      <c r="X1646" s="325"/>
      <c r="Y1646" s="325"/>
      <c r="Z1646" s="325"/>
      <c r="AA1646" s="325"/>
      <c r="AB1646" s="325"/>
      <c r="AC1646" s="325"/>
      <c r="AD1646" s="325"/>
      <c r="AE1646" s="325"/>
      <c r="AF1646" s="325"/>
      <c r="AK1646" s="223"/>
      <c r="AL1646" s="322"/>
      <c r="AM1646" s="322"/>
      <c r="AN1646" s="322"/>
      <c r="AO1646" s="322"/>
      <c r="AP1646" s="322"/>
      <c r="AQ1646" s="322"/>
      <c r="AR1646" s="322"/>
      <c r="AS1646" s="322"/>
      <c r="AT1646" s="322"/>
      <c r="AU1646" s="322"/>
      <c r="AV1646" s="322"/>
      <c r="AW1646" s="322"/>
      <c r="AX1646" s="322"/>
      <c r="AY1646" s="322"/>
      <c r="AZ1646" s="322"/>
      <c r="BA1646" s="322"/>
      <c r="BB1646" s="322"/>
    </row>
    <row r="1647" spans="4:54" s="83" customFormat="1">
      <c r="D1647" s="343"/>
      <c r="E1647" s="343"/>
      <c r="F1647" s="119"/>
      <c r="G1647" s="325"/>
      <c r="H1647" s="325"/>
      <c r="I1647" s="325"/>
      <c r="J1647" s="325"/>
      <c r="K1647" s="325"/>
      <c r="L1647" s="325"/>
      <c r="M1647" s="325"/>
      <c r="N1647" s="325"/>
      <c r="O1647" s="325"/>
      <c r="P1647" s="325"/>
      <c r="Q1647" s="325"/>
      <c r="R1647" s="325"/>
      <c r="S1647" s="325"/>
      <c r="T1647" s="325"/>
      <c r="U1647" s="325"/>
      <c r="V1647" s="325"/>
      <c r="W1647" s="325"/>
      <c r="X1647" s="325"/>
      <c r="Y1647" s="325"/>
      <c r="Z1647" s="325"/>
      <c r="AA1647" s="325"/>
      <c r="AB1647" s="325"/>
      <c r="AC1647" s="325"/>
      <c r="AD1647" s="325"/>
      <c r="AE1647" s="325"/>
      <c r="AF1647" s="325"/>
      <c r="AK1647" s="223"/>
      <c r="AL1647" s="322"/>
      <c r="AM1647" s="322"/>
      <c r="AN1647" s="322"/>
      <c r="AO1647" s="322"/>
      <c r="AP1647" s="322"/>
      <c r="AQ1647" s="322"/>
      <c r="AR1647" s="322"/>
      <c r="AS1647" s="322"/>
      <c r="AT1647" s="322"/>
      <c r="AU1647" s="322"/>
      <c r="AV1647" s="322"/>
      <c r="AW1647" s="322"/>
      <c r="AX1647" s="322"/>
      <c r="AY1647" s="322"/>
      <c r="AZ1647" s="322"/>
      <c r="BA1647" s="322"/>
      <c r="BB1647" s="322"/>
    </row>
    <row r="1648" spans="4:54" s="83" customFormat="1">
      <c r="D1648" s="343"/>
      <c r="E1648" s="343"/>
      <c r="F1648" s="119"/>
      <c r="G1648" s="325"/>
      <c r="H1648" s="325"/>
      <c r="I1648" s="325"/>
      <c r="J1648" s="325"/>
      <c r="K1648" s="325"/>
      <c r="L1648" s="325"/>
      <c r="M1648" s="325"/>
      <c r="N1648" s="325"/>
      <c r="O1648" s="325"/>
      <c r="P1648" s="325"/>
      <c r="Q1648" s="325"/>
      <c r="R1648" s="325"/>
      <c r="S1648" s="325"/>
      <c r="T1648" s="325"/>
      <c r="U1648" s="325"/>
      <c r="V1648" s="325"/>
      <c r="W1648" s="325"/>
      <c r="X1648" s="325"/>
      <c r="Y1648" s="325"/>
      <c r="Z1648" s="325"/>
      <c r="AA1648" s="325"/>
      <c r="AB1648" s="325"/>
      <c r="AC1648" s="325"/>
      <c r="AD1648" s="325"/>
      <c r="AE1648" s="325"/>
      <c r="AF1648" s="325"/>
      <c r="AK1648" s="223"/>
      <c r="AL1648" s="322"/>
      <c r="AM1648" s="322"/>
      <c r="AN1648" s="322"/>
      <c r="AO1648" s="322"/>
      <c r="AP1648" s="322"/>
      <c r="AQ1648" s="322"/>
      <c r="AR1648" s="322"/>
      <c r="AS1648" s="322"/>
      <c r="AT1648" s="322"/>
      <c r="AU1648" s="322"/>
      <c r="AV1648" s="322"/>
      <c r="AW1648" s="322"/>
      <c r="AX1648" s="322"/>
      <c r="AY1648" s="322"/>
      <c r="AZ1648" s="322"/>
      <c r="BA1648" s="322"/>
      <c r="BB1648" s="322"/>
    </row>
    <row r="1649" spans="4:54" s="83" customFormat="1">
      <c r="D1649" s="343"/>
      <c r="E1649" s="343"/>
      <c r="F1649" s="119"/>
      <c r="G1649" s="325"/>
      <c r="H1649" s="325"/>
      <c r="I1649" s="325"/>
      <c r="J1649" s="325"/>
      <c r="K1649" s="325"/>
      <c r="L1649" s="325"/>
      <c r="M1649" s="325"/>
      <c r="N1649" s="325"/>
      <c r="O1649" s="325"/>
      <c r="P1649" s="325"/>
      <c r="Q1649" s="325"/>
      <c r="R1649" s="325"/>
      <c r="S1649" s="325"/>
      <c r="T1649" s="325"/>
      <c r="U1649" s="325"/>
      <c r="V1649" s="325"/>
      <c r="W1649" s="325"/>
      <c r="X1649" s="325"/>
      <c r="Y1649" s="325"/>
      <c r="Z1649" s="325"/>
      <c r="AA1649" s="325"/>
      <c r="AB1649" s="325"/>
      <c r="AC1649" s="325"/>
      <c r="AD1649" s="325"/>
      <c r="AE1649" s="325"/>
      <c r="AF1649" s="325"/>
      <c r="AK1649" s="223"/>
      <c r="AL1649" s="322"/>
      <c r="AM1649" s="322"/>
      <c r="AN1649" s="322"/>
      <c r="AO1649" s="322"/>
      <c r="AP1649" s="322"/>
      <c r="AQ1649" s="322"/>
      <c r="AR1649" s="322"/>
      <c r="AS1649" s="322"/>
      <c r="AT1649" s="322"/>
      <c r="AU1649" s="322"/>
      <c r="AV1649" s="322"/>
      <c r="AW1649" s="322"/>
      <c r="AX1649" s="322"/>
      <c r="AY1649" s="322"/>
      <c r="AZ1649" s="322"/>
      <c r="BA1649" s="322"/>
      <c r="BB1649" s="322"/>
    </row>
    <row r="1650" spans="4:54" s="83" customFormat="1">
      <c r="D1650" s="343"/>
      <c r="E1650" s="343"/>
      <c r="F1650" s="119"/>
      <c r="G1650" s="325"/>
      <c r="H1650" s="325"/>
      <c r="I1650" s="325"/>
      <c r="J1650" s="325"/>
      <c r="K1650" s="325"/>
      <c r="L1650" s="325"/>
      <c r="M1650" s="325"/>
      <c r="N1650" s="325"/>
      <c r="O1650" s="325"/>
      <c r="P1650" s="325"/>
      <c r="Q1650" s="325"/>
      <c r="R1650" s="325"/>
      <c r="S1650" s="325"/>
      <c r="T1650" s="325"/>
      <c r="U1650" s="325"/>
      <c r="V1650" s="325"/>
      <c r="W1650" s="325"/>
      <c r="X1650" s="325"/>
      <c r="Y1650" s="325"/>
      <c r="Z1650" s="325"/>
      <c r="AA1650" s="325"/>
      <c r="AB1650" s="325"/>
      <c r="AC1650" s="325"/>
      <c r="AD1650" s="325"/>
      <c r="AE1650" s="325"/>
      <c r="AF1650" s="325"/>
      <c r="AK1650" s="223"/>
      <c r="AL1650" s="322"/>
      <c r="AM1650" s="322"/>
      <c r="AN1650" s="322"/>
      <c r="AO1650" s="322"/>
      <c r="AP1650" s="322"/>
      <c r="AQ1650" s="322"/>
      <c r="AR1650" s="322"/>
      <c r="AS1650" s="322"/>
      <c r="AT1650" s="322"/>
      <c r="AU1650" s="322"/>
      <c r="AV1650" s="322"/>
      <c r="AW1650" s="322"/>
      <c r="AX1650" s="322"/>
      <c r="AY1650" s="322"/>
      <c r="AZ1650" s="322"/>
      <c r="BA1650" s="322"/>
      <c r="BB1650" s="322"/>
    </row>
    <row r="1651" spans="4:54" s="83" customFormat="1">
      <c r="D1651" s="343"/>
      <c r="E1651" s="343"/>
      <c r="F1651" s="119"/>
      <c r="G1651" s="325"/>
      <c r="H1651" s="325"/>
      <c r="I1651" s="325"/>
      <c r="J1651" s="325"/>
      <c r="K1651" s="325"/>
      <c r="L1651" s="325"/>
      <c r="M1651" s="325"/>
      <c r="N1651" s="325"/>
      <c r="O1651" s="325"/>
      <c r="P1651" s="325"/>
      <c r="Q1651" s="325"/>
      <c r="R1651" s="325"/>
      <c r="S1651" s="325"/>
      <c r="T1651" s="325"/>
      <c r="U1651" s="325"/>
      <c r="V1651" s="325"/>
      <c r="W1651" s="325"/>
      <c r="X1651" s="325"/>
      <c r="Y1651" s="325"/>
      <c r="Z1651" s="325"/>
      <c r="AA1651" s="325"/>
      <c r="AB1651" s="325"/>
      <c r="AC1651" s="325"/>
      <c r="AD1651" s="325"/>
      <c r="AE1651" s="325"/>
      <c r="AF1651" s="325"/>
      <c r="AK1651" s="223"/>
      <c r="AL1651" s="322"/>
      <c r="AM1651" s="322"/>
      <c r="AN1651" s="322"/>
      <c r="AO1651" s="322"/>
      <c r="AP1651" s="322"/>
      <c r="AQ1651" s="322"/>
      <c r="AR1651" s="322"/>
      <c r="AS1651" s="322"/>
      <c r="AT1651" s="322"/>
      <c r="AU1651" s="322"/>
      <c r="AV1651" s="322"/>
      <c r="AW1651" s="322"/>
      <c r="AX1651" s="322"/>
      <c r="AY1651" s="322"/>
      <c r="AZ1651" s="322"/>
      <c r="BA1651" s="322"/>
      <c r="BB1651" s="322"/>
    </row>
    <row r="1652" spans="4:54" s="83" customFormat="1">
      <c r="D1652" s="343"/>
      <c r="E1652" s="343"/>
      <c r="F1652" s="119"/>
      <c r="G1652" s="325"/>
      <c r="H1652" s="325"/>
      <c r="I1652" s="325"/>
      <c r="J1652" s="325"/>
      <c r="K1652" s="325"/>
      <c r="L1652" s="325"/>
      <c r="M1652" s="325"/>
      <c r="N1652" s="325"/>
      <c r="O1652" s="325"/>
      <c r="P1652" s="325"/>
      <c r="Q1652" s="325"/>
      <c r="R1652" s="325"/>
      <c r="S1652" s="325"/>
      <c r="T1652" s="325"/>
      <c r="U1652" s="325"/>
      <c r="V1652" s="325"/>
      <c r="W1652" s="325"/>
      <c r="X1652" s="325"/>
      <c r="Y1652" s="325"/>
      <c r="Z1652" s="325"/>
      <c r="AA1652" s="325"/>
      <c r="AB1652" s="325"/>
      <c r="AC1652" s="325"/>
      <c r="AD1652" s="325"/>
      <c r="AE1652" s="325"/>
      <c r="AF1652" s="325"/>
      <c r="AK1652" s="223"/>
      <c r="AL1652" s="322"/>
      <c r="AM1652" s="322"/>
      <c r="AN1652" s="322"/>
      <c r="AO1652" s="322"/>
      <c r="AP1652" s="322"/>
      <c r="AQ1652" s="322"/>
      <c r="AR1652" s="322"/>
      <c r="AS1652" s="322"/>
      <c r="AT1652" s="322"/>
      <c r="AU1652" s="322"/>
      <c r="AV1652" s="322"/>
      <c r="AW1652" s="322"/>
      <c r="AX1652" s="322"/>
      <c r="AY1652" s="322"/>
      <c r="AZ1652" s="322"/>
      <c r="BA1652" s="322"/>
      <c r="BB1652" s="322"/>
    </row>
    <row r="1653" spans="4:54" s="83" customFormat="1">
      <c r="D1653" s="343"/>
      <c r="E1653" s="343"/>
      <c r="F1653" s="119"/>
      <c r="G1653" s="325"/>
      <c r="H1653" s="325"/>
      <c r="I1653" s="325"/>
      <c r="J1653" s="325"/>
      <c r="K1653" s="325"/>
      <c r="L1653" s="325"/>
      <c r="M1653" s="325"/>
      <c r="N1653" s="325"/>
      <c r="O1653" s="325"/>
      <c r="P1653" s="325"/>
      <c r="Q1653" s="325"/>
      <c r="R1653" s="325"/>
      <c r="S1653" s="325"/>
      <c r="T1653" s="325"/>
      <c r="U1653" s="325"/>
      <c r="V1653" s="325"/>
      <c r="W1653" s="325"/>
      <c r="X1653" s="325"/>
      <c r="Y1653" s="325"/>
      <c r="Z1653" s="325"/>
      <c r="AA1653" s="325"/>
      <c r="AB1653" s="325"/>
      <c r="AC1653" s="325"/>
      <c r="AD1653" s="325"/>
      <c r="AE1653" s="325"/>
      <c r="AF1653" s="325"/>
      <c r="AK1653" s="223"/>
      <c r="AL1653" s="322"/>
      <c r="AM1653" s="322"/>
      <c r="AN1653" s="322"/>
      <c r="AO1653" s="322"/>
      <c r="AP1653" s="322"/>
      <c r="AQ1653" s="322"/>
      <c r="AR1653" s="322"/>
      <c r="AS1653" s="322"/>
      <c r="AT1653" s="322"/>
      <c r="AU1653" s="322"/>
      <c r="AV1653" s="322"/>
      <c r="AW1653" s="322"/>
      <c r="AX1653" s="322"/>
      <c r="AY1653" s="322"/>
      <c r="AZ1653" s="322"/>
      <c r="BA1653" s="322"/>
      <c r="BB1653" s="322"/>
    </row>
    <row r="1654" spans="4:54" s="83" customFormat="1">
      <c r="AK1654" s="223"/>
      <c r="AL1654" s="322"/>
      <c r="AM1654" s="322"/>
      <c r="AN1654" s="322"/>
      <c r="AO1654" s="322"/>
      <c r="AP1654" s="322"/>
      <c r="AQ1654" s="322"/>
      <c r="AR1654" s="322"/>
      <c r="AS1654" s="322"/>
      <c r="AT1654" s="322"/>
      <c r="AU1654" s="322"/>
      <c r="AV1654" s="322"/>
      <c r="AW1654" s="322"/>
      <c r="AX1654" s="322"/>
      <c r="AY1654" s="322"/>
      <c r="AZ1654" s="322"/>
      <c r="BA1654" s="322"/>
      <c r="BB1654" s="322"/>
    </row>
    <row r="1655" spans="4:54" s="83" customFormat="1">
      <c r="D1655" s="83" t="s">
        <v>101</v>
      </c>
      <c r="G1655" s="414"/>
      <c r="H1655" s="414"/>
      <c r="I1655" s="414"/>
      <c r="J1655" s="414"/>
      <c r="K1655" s="414"/>
      <c r="L1655" s="415"/>
      <c r="M1655" s="415"/>
      <c r="N1655" s="415"/>
      <c r="O1655" s="415"/>
      <c r="P1655" s="414"/>
      <c r="Q1655" s="415"/>
      <c r="R1655" s="415"/>
      <c r="S1655" s="415"/>
      <c r="T1655" s="415"/>
      <c r="U1655" s="223"/>
      <c r="V1655" s="415"/>
      <c r="W1655" s="415"/>
      <c r="X1655" s="415"/>
      <c r="Y1655" s="223"/>
      <c r="Z1655" s="223"/>
      <c r="AA1655" s="223"/>
      <c r="AB1655" s="223"/>
      <c r="AC1655" s="223"/>
      <c r="AD1655" s="223"/>
      <c r="AE1655" s="223"/>
      <c r="AF1655" s="223"/>
      <c r="AG1655" s="223"/>
      <c r="AH1655" s="223"/>
      <c r="AI1655" s="223"/>
      <c r="AJ1655" s="223"/>
      <c r="AK1655" s="223"/>
      <c r="AL1655" s="322"/>
      <c r="AM1655" s="322"/>
      <c r="AN1655" s="322"/>
      <c r="AO1655" s="322"/>
      <c r="AP1655" s="322"/>
      <c r="AQ1655" s="322"/>
      <c r="AR1655" s="322"/>
      <c r="AS1655" s="322"/>
      <c r="AT1655" s="322"/>
      <c r="AU1655" s="322"/>
      <c r="AV1655" s="322"/>
      <c r="AW1655" s="322"/>
      <c r="AX1655" s="322"/>
      <c r="AY1655" s="322"/>
      <c r="AZ1655" s="322"/>
      <c r="BA1655" s="322"/>
      <c r="BB1655" s="322"/>
    </row>
    <row r="1656" spans="4:54" s="83" customFormat="1">
      <c r="D1656" s="343" t="s">
        <v>66</v>
      </c>
      <c r="E1656" s="343"/>
      <c r="G1656" s="414"/>
      <c r="H1656" s="414"/>
      <c r="I1656" s="414"/>
      <c r="J1656" s="414"/>
      <c r="K1656" s="414"/>
      <c r="L1656" s="415"/>
      <c r="M1656" s="415"/>
      <c r="N1656" s="415"/>
      <c r="O1656" s="415"/>
      <c r="P1656" s="414"/>
      <c r="Q1656" s="415"/>
      <c r="R1656" s="415"/>
      <c r="S1656" s="415"/>
      <c r="T1656" s="415"/>
      <c r="U1656" s="414"/>
      <c r="V1656" s="415"/>
      <c r="W1656" s="415"/>
      <c r="X1656" s="415"/>
      <c r="Y1656" s="223"/>
      <c r="Z1656" s="223"/>
      <c r="AA1656" s="223"/>
      <c r="AB1656" s="223"/>
      <c r="AC1656" s="223"/>
      <c r="AD1656" s="223"/>
      <c r="AE1656" s="223"/>
      <c r="AF1656" s="223"/>
      <c r="AG1656" s="223"/>
      <c r="AH1656" s="223"/>
      <c r="AI1656" s="223"/>
      <c r="AJ1656" s="223"/>
      <c r="AK1656" s="223"/>
      <c r="AL1656" s="322"/>
      <c r="AM1656" s="322"/>
      <c r="AN1656" s="322"/>
      <c r="AO1656" s="322"/>
      <c r="AP1656" s="322"/>
      <c r="AQ1656" s="322"/>
      <c r="AR1656" s="322"/>
      <c r="AS1656" s="322"/>
      <c r="AT1656" s="322"/>
      <c r="AU1656" s="322"/>
      <c r="AV1656" s="322"/>
      <c r="AW1656" s="322"/>
      <c r="AX1656" s="322"/>
      <c r="AY1656" s="322"/>
      <c r="AZ1656" s="322"/>
      <c r="BA1656" s="322"/>
      <c r="BB1656" s="322"/>
    </row>
    <row r="1657" spans="4:54" s="83" customFormat="1">
      <c r="D1657" s="327" t="s">
        <v>23</v>
      </c>
      <c r="E1657" s="327"/>
      <c r="G1657" s="130">
        <f>G1283</f>
        <v>1019</v>
      </c>
      <c r="H1657" s="130">
        <f>H1283</f>
        <v>385</v>
      </c>
      <c r="I1657" s="90">
        <v>-2484</v>
      </c>
      <c r="J1657" s="130">
        <f>J1283</f>
        <v>1041</v>
      </c>
      <c r="K1657" s="90">
        <v>2489</v>
      </c>
      <c r="L1657" s="91">
        <v>766</v>
      </c>
      <c r="M1657" s="91">
        <v>644</v>
      </c>
      <c r="N1657" s="91">
        <v>1290</v>
      </c>
      <c r="O1657" s="91">
        <v>445</v>
      </c>
      <c r="P1657" s="130">
        <f>P1283</f>
        <v>3139</v>
      </c>
      <c r="Q1657" s="91">
        <v>644</v>
      </c>
      <c r="R1657" s="91">
        <v>250</v>
      </c>
      <c r="S1657" s="91">
        <v>373</v>
      </c>
      <c r="T1657" s="91">
        <f>L1657</f>
        <v>766</v>
      </c>
      <c r="U1657" s="130">
        <f>SUM(Q1657:T1657)</f>
        <v>2033</v>
      </c>
      <c r="V1657" s="91">
        <v>-311</v>
      </c>
      <c r="W1657" s="91">
        <v>-185</v>
      </c>
      <c r="X1657" s="91">
        <v>25</v>
      </c>
      <c r="Y1657" s="130"/>
      <c r="Z1657" s="130" t="e">
        <f>#REF!</f>
        <v>#REF!</v>
      </c>
      <c r="AA1657" s="130"/>
      <c r="AB1657" s="130"/>
      <c r="AC1657" s="130"/>
      <c r="AD1657" s="130"/>
      <c r="AE1657" s="130" t="e">
        <f>#REF!</f>
        <v>#REF!</v>
      </c>
      <c r="AF1657" s="130" t="e">
        <f>#REF!</f>
        <v>#REF!</v>
      </c>
      <c r="AG1657" s="223"/>
      <c r="AH1657" s="223"/>
      <c r="AI1657" s="223"/>
      <c r="AJ1657" s="223"/>
      <c r="AK1657" s="223"/>
      <c r="AL1657" s="322"/>
      <c r="AM1657" s="322"/>
      <c r="AN1657" s="322"/>
      <c r="AO1657" s="322"/>
      <c r="AP1657" s="322"/>
      <c r="AQ1657" s="322"/>
      <c r="AR1657" s="322"/>
      <c r="AS1657" s="322"/>
      <c r="AT1657" s="322"/>
      <c r="AU1657" s="322"/>
      <c r="AV1657" s="322"/>
      <c r="AW1657" s="322"/>
      <c r="AX1657" s="322"/>
      <c r="AY1657" s="322"/>
      <c r="AZ1657" s="322"/>
      <c r="BA1657" s="322"/>
      <c r="BB1657" s="322"/>
    </row>
    <row r="1658" spans="4:54" s="83" customFormat="1">
      <c r="D1658" s="327" t="s">
        <v>67</v>
      </c>
      <c r="E1658" s="327"/>
      <c r="G1658" s="90">
        <v>1233</v>
      </c>
      <c r="H1658" s="90">
        <v>1344</v>
      </c>
      <c r="I1658" s="90">
        <v>1366</v>
      </c>
      <c r="J1658" s="90">
        <v>1385</v>
      </c>
      <c r="K1658" s="90">
        <v>1492</v>
      </c>
      <c r="L1658" s="91">
        <v>350</v>
      </c>
      <c r="M1658" s="91">
        <v>353</v>
      </c>
      <c r="N1658" s="91">
        <v>380</v>
      </c>
      <c r="O1658" s="91">
        <v>400</v>
      </c>
      <c r="P1658" s="90">
        <v>1483</v>
      </c>
      <c r="Q1658" s="148">
        <v>373</v>
      </c>
      <c r="R1658" s="148">
        <v>395</v>
      </c>
      <c r="S1658" s="148">
        <v>436</v>
      </c>
      <c r="T1658" s="148">
        <v>415</v>
      </c>
      <c r="U1658" s="130">
        <f>SUM(Q1658:T1658)</f>
        <v>1619</v>
      </c>
      <c r="V1658" s="148">
        <v>378</v>
      </c>
      <c r="W1658" s="148">
        <v>314</v>
      </c>
      <c r="X1658" s="148">
        <v>412</v>
      </c>
      <c r="Y1658" s="208"/>
      <c r="Z1658" s="208" t="e">
        <f>-#REF!</f>
        <v>#REF!</v>
      </c>
      <c r="AA1658" s="208"/>
      <c r="AB1658" s="208"/>
      <c r="AC1658" s="208"/>
      <c r="AD1658" s="208"/>
      <c r="AE1658" s="208" t="e">
        <f>-#REF!</f>
        <v>#REF!</v>
      </c>
      <c r="AF1658" s="208" t="e">
        <f>-#REF!</f>
        <v>#REF!</v>
      </c>
      <c r="AG1658" s="223"/>
      <c r="AH1658" s="223"/>
      <c r="AI1658" s="223"/>
      <c r="AJ1658" s="223"/>
      <c r="AK1658" s="223"/>
      <c r="AL1658" s="322"/>
      <c r="AM1658" s="322"/>
      <c r="AN1658" s="322"/>
      <c r="AO1658" s="322"/>
      <c r="AP1658" s="322"/>
      <c r="AQ1658" s="322"/>
      <c r="AR1658" s="322"/>
      <c r="AS1658" s="322"/>
      <c r="AT1658" s="322"/>
      <c r="AU1658" s="322"/>
      <c r="AV1658" s="322"/>
      <c r="AW1658" s="322"/>
      <c r="AX1658" s="322"/>
      <c r="AY1658" s="322"/>
      <c r="AZ1658" s="322"/>
      <c r="BA1658" s="322"/>
      <c r="BB1658" s="322"/>
    </row>
    <row r="1659" spans="4:54" s="83" customFormat="1">
      <c r="D1659" s="327" t="s">
        <v>68</v>
      </c>
      <c r="E1659" s="327"/>
      <c r="G1659" s="90">
        <v>106</v>
      </c>
      <c r="H1659" s="90">
        <v>342</v>
      </c>
      <c r="I1659" s="90">
        <v>-836</v>
      </c>
      <c r="J1659" s="90">
        <v>587</v>
      </c>
      <c r="K1659" s="90">
        <v>1425</v>
      </c>
      <c r="L1659" s="91">
        <v>407</v>
      </c>
      <c r="M1659" s="91">
        <v>368</v>
      </c>
      <c r="N1659" s="91">
        <v>329</v>
      </c>
      <c r="O1659" s="91">
        <v>261</v>
      </c>
      <c r="P1659" s="90">
        <v>1365</v>
      </c>
      <c r="Q1659" s="91">
        <v>339</v>
      </c>
      <c r="R1659" s="91">
        <v>120</v>
      </c>
      <c r="S1659" s="91">
        <v>171</v>
      </c>
      <c r="T1659" s="91">
        <v>-325</v>
      </c>
      <c r="U1659" s="130">
        <f>SUM(Q1659:T1659)</f>
        <v>305</v>
      </c>
      <c r="V1659" s="91">
        <v>-69</v>
      </c>
      <c r="W1659" s="91">
        <v>-66</v>
      </c>
      <c r="X1659" s="91">
        <v>19</v>
      </c>
      <c r="Y1659" s="328"/>
      <c r="Z1659" s="328">
        <f>V1659</f>
        <v>-69</v>
      </c>
      <c r="AA1659" s="328"/>
      <c r="AB1659" s="328"/>
      <c r="AC1659" s="328"/>
      <c r="AD1659" s="328"/>
      <c r="AE1659" s="328" t="e">
        <f>-#REF!</f>
        <v>#REF!</v>
      </c>
      <c r="AF1659" s="328" t="e">
        <f>-#REF!</f>
        <v>#REF!</v>
      </c>
      <c r="AG1659" s="223"/>
      <c r="AH1659" s="223"/>
      <c r="AI1659" s="223"/>
      <c r="AJ1659" s="223"/>
      <c r="AK1659" s="223"/>
      <c r="AL1659" s="322"/>
      <c r="AM1659" s="322"/>
      <c r="AN1659" s="322"/>
      <c r="AO1659" s="322"/>
      <c r="AP1659" s="322"/>
      <c r="AQ1659" s="322"/>
      <c r="AR1659" s="322"/>
      <c r="AS1659" s="322"/>
      <c r="AT1659" s="322"/>
      <c r="AU1659" s="322"/>
      <c r="AV1659" s="322"/>
      <c r="AW1659" s="322"/>
      <c r="AX1659" s="322"/>
      <c r="AY1659" s="322"/>
      <c r="AZ1659" s="322"/>
      <c r="BA1659" s="322"/>
      <c r="BB1659" s="322"/>
    </row>
    <row r="1660" spans="4:54" s="83" customFormat="1">
      <c r="D1660" s="327" t="s">
        <v>69</v>
      </c>
      <c r="E1660" s="327"/>
      <c r="G1660" s="90">
        <v>2</v>
      </c>
      <c r="H1660" s="90" t="s">
        <v>0</v>
      </c>
      <c r="I1660" s="90" t="s">
        <v>0</v>
      </c>
      <c r="J1660" s="90" t="s">
        <v>0</v>
      </c>
      <c r="K1660" s="90" t="s">
        <v>0</v>
      </c>
      <c r="L1660" s="91"/>
      <c r="M1660" s="91"/>
      <c r="N1660" s="91"/>
      <c r="O1660" s="91"/>
      <c r="P1660" s="90" t="s">
        <v>0</v>
      </c>
      <c r="Q1660" s="91"/>
      <c r="R1660" s="91"/>
      <c r="S1660" s="91"/>
      <c r="T1660" s="91"/>
      <c r="U1660" s="90"/>
      <c r="V1660" s="91"/>
      <c r="W1660" s="91"/>
      <c r="X1660" s="91"/>
      <c r="Y1660" s="223"/>
      <c r="Z1660" s="223"/>
      <c r="AA1660" s="223"/>
      <c r="AB1660" s="223"/>
      <c r="AC1660" s="223"/>
      <c r="AD1660" s="223"/>
      <c r="AE1660" s="223"/>
      <c r="AF1660" s="223"/>
      <c r="AG1660" s="223"/>
      <c r="AH1660" s="223"/>
      <c r="AI1660" s="223"/>
      <c r="AJ1660" s="223"/>
      <c r="AK1660" s="223"/>
      <c r="AL1660" s="322"/>
      <c r="AM1660" s="322"/>
      <c r="AN1660" s="322"/>
      <c r="AO1660" s="322"/>
      <c r="AP1660" s="322"/>
      <c r="AQ1660" s="322"/>
      <c r="AR1660" s="322"/>
      <c r="AS1660" s="322"/>
      <c r="AT1660" s="322"/>
      <c r="AU1660" s="322"/>
      <c r="AV1660" s="322"/>
      <c r="AW1660" s="322"/>
      <c r="AX1660" s="322"/>
      <c r="AY1660" s="322"/>
      <c r="AZ1660" s="322"/>
      <c r="BA1660" s="322"/>
      <c r="BB1660" s="322"/>
    </row>
    <row r="1661" spans="4:54" s="83" customFormat="1">
      <c r="D1661" s="327" t="s">
        <v>70</v>
      </c>
      <c r="E1661" s="327"/>
      <c r="G1661" s="90">
        <v>-43</v>
      </c>
      <c r="H1661" s="90">
        <v>2</v>
      </c>
      <c r="I1661" s="90">
        <v>-120</v>
      </c>
      <c r="J1661" s="90">
        <v>-96</v>
      </c>
      <c r="K1661" s="90">
        <v>-51</v>
      </c>
      <c r="L1661" s="91">
        <v>-2</v>
      </c>
      <c r="M1661" s="91">
        <v>0</v>
      </c>
      <c r="N1661" s="91">
        <v>-889</v>
      </c>
      <c r="O1661" s="91">
        <v>-1</v>
      </c>
      <c r="P1661" s="90">
        <v>-892</v>
      </c>
      <c r="Q1661" s="91">
        <v>-7</v>
      </c>
      <c r="R1661" s="91">
        <v>0</v>
      </c>
      <c r="S1661" s="91">
        <v>-3</v>
      </c>
      <c r="T1661" s="91">
        <v>-7</v>
      </c>
      <c r="U1661" s="130">
        <f>SUM(Q1661:T1661)</f>
        <v>-17</v>
      </c>
      <c r="V1661" s="91">
        <v>-20</v>
      </c>
      <c r="W1661" s="91"/>
      <c r="X1661" s="91"/>
      <c r="Y1661" s="223"/>
      <c r="Z1661" s="223"/>
      <c r="AA1661" s="223"/>
      <c r="AB1661" s="223"/>
      <c r="AC1661" s="223"/>
      <c r="AD1661" s="223"/>
      <c r="AE1661" s="223"/>
      <c r="AF1661" s="223"/>
      <c r="AG1661" s="223"/>
      <c r="AH1661" s="223"/>
      <c r="AI1661" s="223"/>
      <c r="AJ1661" s="223"/>
      <c r="AK1661" s="223"/>
      <c r="AL1661" s="322"/>
      <c r="AM1661" s="322"/>
      <c r="AN1661" s="322"/>
      <c r="AO1661" s="322"/>
      <c r="AP1661" s="322"/>
      <c r="AQ1661" s="322"/>
      <c r="AR1661" s="322"/>
      <c r="AS1661" s="322"/>
      <c r="AT1661" s="322"/>
      <c r="AU1661" s="322"/>
      <c r="AV1661" s="322"/>
      <c r="AW1661" s="322"/>
      <c r="AX1661" s="322"/>
      <c r="AY1661" s="322"/>
      <c r="AZ1661" s="322"/>
      <c r="BA1661" s="322"/>
      <c r="BB1661" s="322"/>
    </row>
    <row r="1662" spans="4:54" s="83" customFormat="1">
      <c r="D1662" s="327" t="s">
        <v>71</v>
      </c>
      <c r="E1662" s="327"/>
      <c r="G1662" s="90">
        <v>0</v>
      </c>
      <c r="H1662" s="90">
        <v>0</v>
      </c>
      <c r="I1662" s="90" t="s">
        <v>0</v>
      </c>
      <c r="J1662" s="90" t="s">
        <v>0</v>
      </c>
      <c r="K1662" s="90" t="s">
        <v>0</v>
      </c>
      <c r="L1662" s="91"/>
      <c r="M1662" s="91"/>
      <c r="N1662" s="91"/>
      <c r="O1662" s="91"/>
      <c r="P1662" s="90" t="s">
        <v>0</v>
      </c>
      <c r="Q1662" s="91"/>
      <c r="R1662" s="91"/>
      <c r="S1662" s="91"/>
      <c r="T1662" s="91"/>
      <c r="U1662" s="90"/>
      <c r="V1662" s="91"/>
      <c r="W1662" s="91"/>
      <c r="X1662" s="91"/>
      <c r="Y1662" s="223"/>
      <c r="Z1662" s="223"/>
      <c r="AA1662" s="223"/>
      <c r="AB1662" s="223"/>
      <c r="AC1662" s="223"/>
      <c r="AD1662" s="223"/>
      <c r="AE1662" s="223"/>
      <c r="AF1662" s="223"/>
      <c r="AG1662" s="223"/>
      <c r="AH1662" s="223"/>
      <c r="AI1662" s="223"/>
      <c r="AJ1662" s="223"/>
      <c r="AK1662" s="223"/>
      <c r="AL1662" s="322"/>
      <c r="AM1662" s="322"/>
      <c r="AN1662" s="322"/>
      <c r="AO1662" s="322"/>
      <c r="AP1662" s="322"/>
      <c r="AQ1662" s="322"/>
      <c r="AR1662" s="322"/>
      <c r="AS1662" s="322"/>
      <c r="AT1662" s="322"/>
      <c r="AU1662" s="322"/>
      <c r="AV1662" s="322"/>
      <c r="AW1662" s="322"/>
      <c r="AX1662" s="322"/>
      <c r="AY1662" s="322"/>
      <c r="AZ1662" s="322"/>
      <c r="BA1662" s="322"/>
      <c r="BB1662" s="322"/>
    </row>
    <row r="1663" spans="4:54" s="83" customFormat="1">
      <c r="D1663" s="327" t="s">
        <v>72</v>
      </c>
      <c r="E1663" s="327"/>
      <c r="G1663" s="90">
        <v>0</v>
      </c>
      <c r="H1663" s="90">
        <v>12</v>
      </c>
      <c r="I1663" s="90">
        <v>3631</v>
      </c>
      <c r="J1663" s="90">
        <v>294</v>
      </c>
      <c r="K1663" s="90">
        <v>-163</v>
      </c>
      <c r="L1663" s="91"/>
      <c r="M1663" s="91"/>
      <c r="N1663" s="91"/>
      <c r="O1663" s="91">
        <v>41</v>
      </c>
      <c r="P1663" s="90">
        <v>41</v>
      </c>
      <c r="Q1663" s="91">
        <v>0</v>
      </c>
      <c r="R1663" s="91">
        <v>171</v>
      </c>
      <c r="S1663" s="91">
        <v>0</v>
      </c>
      <c r="T1663" s="91">
        <v>1390</v>
      </c>
      <c r="U1663" s="130">
        <f>SUM(Q1663:T1663)</f>
        <v>1561</v>
      </c>
      <c r="V1663" s="91">
        <v>647</v>
      </c>
      <c r="W1663" s="91">
        <v>0</v>
      </c>
      <c r="X1663" s="91"/>
      <c r="Y1663" s="223"/>
      <c r="Z1663" s="223"/>
      <c r="AA1663" s="223"/>
      <c r="AB1663" s="223"/>
      <c r="AC1663" s="223"/>
      <c r="AD1663" s="223"/>
      <c r="AE1663" s="223"/>
      <c r="AF1663" s="223"/>
      <c r="AG1663" s="223"/>
      <c r="AH1663" s="223"/>
      <c r="AI1663" s="223"/>
      <c r="AJ1663" s="223"/>
      <c r="AK1663" s="223"/>
      <c r="AL1663" s="322"/>
      <c r="AM1663" s="322"/>
      <c r="AN1663" s="322"/>
      <c r="AO1663" s="322"/>
      <c r="AP1663" s="322"/>
      <c r="AQ1663" s="322"/>
      <c r="AR1663" s="322"/>
      <c r="AS1663" s="322"/>
      <c r="AT1663" s="322"/>
      <c r="AU1663" s="322"/>
      <c r="AV1663" s="322"/>
      <c r="AW1663" s="322"/>
      <c r="AX1663" s="322"/>
      <c r="AY1663" s="322"/>
      <c r="AZ1663" s="322"/>
      <c r="BA1663" s="322"/>
      <c r="BB1663" s="322"/>
    </row>
    <row r="1664" spans="4:54" s="83" customFormat="1">
      <c r="D1664" s="327" t="s">
        <v>73</v>
      </c>
      <c r="E1664" s="327"/>
      <c r="G1664" s="90">
        <v>12</v>
      </c>
      <c r="H1664" s="90">
        <v>9</v>
      </c>
      <c r="I1664" s="90">
        <v>76</v>
      </c>
      <c r="J1664" s="90">
        <v>-46</v>
      </c>
      <c r="K1664" s="90">
        <v>-5</v>
      </c>
      <c r="L1664" s="91">
        <v>0</v>
      </c>
      <c r="M1664" s="91">
        <v>-8</v>
      </c>
      <c r="N1664" s="91">
        <v>-15</v>
      </c>
      <c r="O1664" s="91">
        <v>7</v>
      </c>
      <c r="P1664" s="90">
        <v>-16</v>
      </c>
      <c r="Q1664" s="91">
        <v>-5</v>
      </c>
      <c r="R1664" s="91">
        <v>18</v>
      </c>
      <c r="S1664" s="91">
        <v>-1</v>
      </c>
      <c r="T1664" s="91">
        <v>-8</v>
      </c>
      <c r="U1664" s="130">
        <f>SUM(Q1664:T1664)</f>
        <v>4</v>
      </c>
      <c r="V1664" s="91">
        <v>-8</v>
      </c>
      <c r="W1664" s="91"/>
      <c r="X1664" s="91"/>
      <c r="Y1664" s="223"/>
      <c r="Z1664" s="223"/>
      <c r="AA1664" s="223"/>
      <c r="AB1664" s="223"/>
      <c r="AC1664" s="223"/>
      <c r="AD1664" s="223"/>
      <c r="AE1664" s="223"/>
      <c r="AF1664" s="223"/>
      <c r="AG1664" s="223"/>
      <c r="AH1664" s="223"/>
      <c r="AI1664" s="223"/>
      <c r="AJ1664" s="223"/>
      <c r="AK1664" s="223"/>
      <c r="AL1664" s="322"/>
      <c r="AM1664" s="322"/>
      <c r="AN1664" s="322"/>
      <c r="AO1664" s="322"/>
      <c r="AP1664" s="322"/>
      <c r="AQ1664" s="322"/>
      <c r="AR1664" s="322"/>
      <c r="AS1664" s="322"/>
      <c r="AT1664" s="322"/>
      <c r="AU1664" s="322"/>
      <c r="AV1664" s="322"/>
      <c r="AW1664" s="322"/>
      <c r="AX1664" s="322"/>
      <c r="AY1664" s="322"/>
      <c r="AZ1664" s="322"/>
      <c r="BA1664" s="322"/>
      <c r="BB1664" s="322"/>
    </row>
    <row r="1665" spans="4:54" s="83" customFormat="1">
      <c r="D1665" s="327" t="s">
        <v>350</v>
      </c>
      <c r="E1665" s="327"/>
      <c r="G1665" s="90">
        <v>0</v>
      </c>
      <c r="H1665" s="90">
        <v>0</v>
      </c>
      <c r="I1665" s="90" t="s">
        <v>0</v>
      </c>
      <c r="J1665" s="90">
        <v>-49</v>
      </c>
      <c r="K1665" s="90">
        <v>216</v>
      </c>
      <c r="L1665" s="91"/>
      <c r="M1665" s="91">
        <v>0</v>
      </c>
      <c r="N1665" s="91">
        <v>26</v>
      </c>
      <c r="O1665" s="91">
        <v>0</v>
      </c>
      <c r="P1665" s="90">
        <v>26</v>
      </c>
      <c r="Q1665" s="91">
        <v>0</v>
      </c>
      <c r="R1665" s="91">
        <v>224</v>
      </c>
      <c r="S1665" s="91"/>
      <c r="T1665" s="91"/>
      <c r="U1665" s="130">
        <f>SUM(Q1665:T1665)</f>
        <v>224</v>
      </c>
      <c r="V1665" s="91"/>
      <c r="W1665" s="91">
        <v>11</v>
      </c>
      <c r="X1665" s="91"/>
      <c r="Y1665" s="223"/>
      <c r="Z1665" s="223"/>
      <c r="AA1665" s="223"/>
      <c r="AB1665" s="223"/>
      <c r="AC1665" s="223"/>
      <c r="AD1665" s="223"/>
      <c r="AE1665" s="223"/>
      <c r="AF1665" s="223"/>
      <c r="AG1665" s="223"/>
      <c r="AH1665" s="223"/>
      <c r="AI1665" s="223"/>
      <c r="AJ1665" s="223"/>
      <c r="AK1665" s="223"/>
      <c r="AL1665" s="322"/>
      <c r="AM1665" s="322"/>
      <c r="AN1665" s="322"/>
      <c r="AO1665" s="322"/>
      <c r="AP1665" s="322"/>
      <c r="AQ1665" s="322"/>
      <c r="AR1665" s="322"/>
      <c r="AS1665" s="322"/>
      <c r="AT1665" s="322"/>
      <c r="AU1665" s="322"/>
      <c r="AV1665" s="322"/>
      <c r="AW1665" s="322"/>
      <c r="AX1665" s="322"/>
      <c r="AY1665" s="322"/>
      <c r="AZ1665" s="322"/>
      <c r="BA1665" s="322"/>
      <c r="BB1665" s="322"/>
    </row>
    <row r="1666" spans="4:54" s="83" customFormat="1">
      <c r="D1666" s="327" t="s">
        <v>75</v>
      </c>
      <c r="E1666" s="327"/>
      <c r="G1666" s="90" t="s">
        <v>0</v>
      </c>
      <c r="H1666" s="90" t="s">
        <v>0</v>
      </c>
      <c r="I1666" s="90">
        <v>0</v>
      </c>
      <c r="J1666" s="90">
        <v>-113</v>
      </c>
      <c r="K1666" s="90">
        <v>-51</v>
      </c>
      <c r="L1666" s="91">
        <v>12</v>
      </c>
      <c r="M1666" s="91">
        <v>20</v>
      </c>
      <c r="N1666" s="91">
        <v>-23</v>
      </c>
      <c r="O1666" s="91">
        <v>33</v>
      </c>
      <c r="P1666" s="90">
        <v>42</v>
      </c>
      <c r="Q1666" s="91">
        <v>-70</v>
      </c>
      <c r="R1666" s="91">
        <v>-35</v>
      </c>
      <c r="S1666" s="91">
        <v>0</v>
      </c>
      <c r="T1666" s="91">
        <v>0</v>
      </c>
      <c r="U1666" s="130">
        <f>SUM(Q1666:T1666)</f>
        <v>-105</v>
      </c>
      <c r="V1666" s="91">
        <v>0</v>
      </c>
      <c r="W1666" s="91">
        <v>0</v>
      </c>
      <c r="X1666" s="91"/>
      <c r="Y1666" s="223"/>
      <c r="Z1666" s="223"/>
      <c r="AA1666" s="223"/>
      <c r="AB1666" s="223"/>
      <c r="AC1666" s="223"/>
      <c r="AD1666" s="223"/>
      <c r="AE1666" s="223"/>
      <c r="AF1666" s="223"/>
      <c r="AG1666" s="223"/>
      <c r="AH1666" s="223"/>
      <c r="AI1666" s="223"/>
      <c r="AJ1666" s="223"/>
      <c r="AK1666" s="223"/>
      <c r="AL1666" s="322"/>
      <c r="AM1666" s="322"/>
      <c r="AN1666" s="322"/>
      <c r="AO1666" s="322"/>
      <c r="AP1666" s="322"/>
      <c r="AQ1666" s="322"/>
      <c r="AR1666" s="322"/>
      <c r="AS1666" s="322"/>
      <c r="AT1666" s="322"/>
      <c r="AU1666" s="322"/>
      <c r="AV1666" s="322"/>
      <c r="AW1666" s="322"/>
      <c r="AX1666" s="322"/>
      <c r="AY1666" s="322"/>
      <c r="AZ1666" s="322"/>
      <c r="BA1666" s="322"/>
      <c r="BB1666" s="322"/>
    </row>
    <row r="1667" spans="4:54" s="83" customFormat="1">
      <c r="D1667" s="327" t="s">
        <v>18</v>
      </c>
      <c r="E1667" s="327"/>
      <c r="G1667" s="90">
        <v>339</v>
      </c>
      <c r="H1667" s="90">
        <v>304</v>
      </c>
      <c r="I1667" s="90">
        <v>316</v>
      </c>
      <c r="J1667" s="90">
        <v>354</v>
      </c>
      <c r="K1667" s="90">
        <v>212</v>
      </c>
      <c r="L1667" s="91">
        <v>39</v>
      </c>
      <c r="M1667" s="91">
        <v>48</v>
      </c>
      <c r="N1667" s="91"/>
      <c r="O1667" s="91"/>
      <c r="P1667" s="90">
        <v>219</v>
      </c>
      <c r="Q1667" s="91">
        <v>54</v>
      </c>
      <c r="R1667" s="91">
        <v>62</v>
      </c>
      <c r="S1667" s="91">
        <v>0</v>
      </c>
      <c r="T1667" s="91">
        <v>0</v>
      </c>
      <c r="U1667" s="130">
        <f>SUM(Q1667:T1667)</f>
        <v>116</v>
      </c>
      <c r="V1667" s="91">
        <v>47</v>
      </c>
      <c r="W1667" s="91">
        <v>114</v>
      </c>
      <c r="X1667" s="91">
        <v>63</v>
      </c>
      <c r="Y1667" s="223"/>
      <c r="Z1667" s="223"/>
      <c r="AA1667" s="223"/>
      <c r="AB1667" s="223"/>
      <c r="AC1667" s="223"/>
      <c r="AD1667" s="223"/>
      <c r="AE1667" s="223"/>
      <c r="AF1667" s="223"/>
      <c r="AG1667" s="223"/>
      <c r="AH1667" s="223"/>
      <c r="AI1667" s="223"/>
      <c r="AJ1667" s="223"/>
      <c r="AK1667" s="223"/>
      <c r="AL1667" s="322"/>
      <c r="AM1667" s="322"/>
      <c r="AN1667" s="322"/>
      <c r="AO1667" s="322"/>
      <c r="AP1667" s="322"/>
      <c r="AQ1667" s="322"/>
      <c r="AR1667" s="322"/>
      <c r="AS1667" s="322"/>
      <c r="AT1667" s="322"/>
      <c r="AU1667" s="322"/>
      <c r="AV1667" s="322"/>
      <c r="AW1667" s="322"/>
      <c r="AX1667" s="322"/>
      <c r="AY1667" s="322"/>
      <c r="AZ1667" s="322"/>
      <c r="BA1667" s="322"/>
      <c r="BB1667" s="322"/>
    </row>
    <row r="1668" spans="4:54" s="83" customFormat="1">
      <c r="D1668" s="327" t="s">
        <v>17</v>
      </c>
      <c r="E1668" s="327"/>
      <c r="G1668" s="90">
        <v>0</v>
      </c>
      <c r="H1668" s="90">
        <v>0</v>
      </c>
      <c r="I1668" s="90" t="s">
        <v>0</v>
      </c>
      <c r="J1668" s="90" t="s">
        <v>0</v>
      </c>
      <c r="K1668" s="90" t="s">
        <v>0</v>
      </c>
      <c r="L1668" s="91"/>
      <c r="M1668" s="91"/>
      <c r="N1668" s="91"/>
      <c r="O1668" s="91"/>
      <c r="P1668" s="90" t="s">
        <v>0</v>
      </c>
      <c r="Q1668" s="91"/>
      <c r="R1668" s="91"/>
      <c r="S1668" s="91"/>
      <c r="T1668" s="91"/>
      <c r="U1668" s="90"/>
      <c r="V1668" s="91"/>
      <c r="W1668" s="91"/>
      <c r="X1668" s="91"/>
      <c r="Y1668" s="223"/>
      <c r="Z1668" s="223"/>
      <c r="AA1668" s="223"/>
      <c r="AB1668" s="223"/>
      <c r="AC1668" s="223"/>
      <c r="AD1668" s="223"/>
      <c r="AE1668" s="223"/>
      <c r="AF1668" s="223"/>
      <c r="AG1668" s="223"/>
      <c r="AH1668" s="223"/>
      <c r="AI1668" s="223"/>
      <c r="AJ1668" s="223"/>
      <c r="AK1668" s="223"/>
      <c r="AL1668" s="322"/>
      <c r="AM1668" s="322"/>
      <c r="AN1668" s="322"/>
      <c r="AO1668" s="322"/>
      <c r="AP1668" s="322"/>
      <c r="AQ1668" s="322"/>
      <c r="AR1668" s="322"/>
      <c r="AS1668" s="322"/>
      <c r="AT1668" s="322"/>
      <c r="AU1668" s="322"/>
      <c r="AV1668" s="322"/>
      <c r="AW1668" s="322"/>
      <c r="AX1668" s="322"/>
      <c r="AY1668" s="322"/>
      <c r="AZ1668" s="322"/>
      <c r="BA1668" s="322"/>
      <c r="BB1668" s="322"/>
    </row>
    <row r="1669" spans="4:54" s="83" customFormat="1">
      <c r="D1669" s="327" t="s">
        <v>76</v>
      </c>
      <c r="E1669" s="327"/>
      <c r="G1669" s="90" t="s">
        <v>0</v>
      </c>
      <c r="H1669" s="90">
        <v>-406</v>
      </c>
      <c r="I1669" s="90">
        <v>-255</v>
      </c>
      <c r="J1669" s="90">
        <v>-272</v>
      </c>
      <c r="K1669" s="90">
        <v>-879</v>
      </c>
      <c r="L1669" s="91">
        <v>-164</v>
      </c>
      <c r="M1669" s="91">
        <v>-329</v>
      </c>
      <c r="N1669" s="91">
        <v>-150</v>
      </c>
      <c r="O1669" s="91">
        <v>-137</v>
      </c>
      <c r="P1669" s="90">
        <v>-780</v>
      </c>
      <c r="Q1669" s="91">
        <v>-160</v>
      </c>
      <c r="R1669" s="91">
        <v>-214</v>
      </c>
      <c r="S1669" s="91">
        <v>-150</v>
      </c>
      <c r="T1669" s="91">
        <v>-71</v>
      </c>
      <c r="U1669" s="130">
        <f t="shared" ref="U1669:U1674" si="1284">SUM(Q1669:T1669)</f>
        <v>-595</v>
      </c>
      <c r="V1669" s="91">
        <v>-76</v>
      </c>
      <c r="W1669" s="91">
        <v>-24</v>
      </c>
      <c r="X1669" s="91">
        <v>-55</v>
      </c>
      <c r="Y1669" s="223"/>
      <c r="Z1669" s="223"/>
      <c r="AA1669" s="223"/>
      <c r="AB1669" s="223"/>
      <c r="AC1669" s="223"/>
      <c r="AD1669" s="223"/>
      <c r="AE1669" s="223"/>
      <c r="AF1669" s="223"/>
      <c r="AG1669" s="223"/>
      <c r="AH1669" s="223"/>
      <c r="AI1669" s="223"/>
      <c r="AJ1669" s="223"/>
      <c r="AK1669" s="223"/>
      <c r="AL1669" s="322"/>
      <c r="AM1669" s="322"/>
      <c r="AN1669" s="322"/>
      <c r="AO1669" s="322"/>
      <c r="AP1669" s="322"/>
      <c r="AQ1669" s="322"/>
      <c r="AR1669" s="322"/>
      <c r="AS1669" s="322"/>
      <c r="AT1669" s="322"/>
      <c r="AU1669" s="322"/>
      <c r="AV1669" s="322"/>
      <c r="AW1669" s="322"/>
      <c r="AX1669" s="322"/>
      <c r="AY1669" s="322"/>
      <c r="AZ1669" s="322"/>
      <c r="BA1669" s="322"/>
      <c r="BB1669" s="322"/>
    </row>
    <row r="1670" spans="4:54" s="83" customFormat="1">
      <c r="D1670" s="327" t="s">
        <v>77</v>
      </c>
      <c r="E1670" s="327"/>
      <c r="G1670" s="90">
        <v>-16</v>
      </c>
      <c r="H1670" s="90">
        <v>6</v>
      </c>
      <c r="I1670" s="90">
        <v>54</v>
      </c>
      <c r="J1670" s="90">
        <v>331</v>
      </c>
      <c r="K1670" s="90">
        <v>195</v>
      </c>
      <c r="L1670" s="91">
        <v>5</v>
      </c>
      <c r="M1670" s="91">
        <v>4</v>
      </c>
      <c r="N1670" s="91">
        <v>31</v>
      </c>
      <c r="O1670" s="91">
        <v>-206</v>
      </c>
      <c r="P1670" s="90">
        <v>-166</v>
      </c>
      <c r="Q1670" s="91">
        <v>50</v>
      </c>
      <c r="R1670" s="91">
        <v>-10</v>
      </c>
      <c r="S1670" s="91">
        <v>-9</v>
      </c>
      <c r="T1670" s="91">
        <v>43</v>
      </c>
      <c r="U1670" s="130">
        <f t="shared" si="1284"/>
        <v>74</v>
      </c>
      <c r="V1670" s="91">
        <v>-170</v>
      </c>
      <c r="W1670" s="91">
        <v>60</v>
      </c>
      <c r="X1670" s="91" t="s">
        <v>0</v>
      </c>
      <c r="Y1670" s="223"/>
      <c r="Z1670" s="223"/>
      <c r="AA1670" s="223"/>
      <c r="AB1670" s="223"/>
      <c r="AC1670" s="223"/>
      <c r="AD1670" s="223"/>
      <c r="AE1670" s="223"/>
      <c r="AF1670" s="223"/>
      <c r="AG1670" s="223"/>
      <c r="AH1670" s="223"/>
      <c r="AI1670" s="223"/>
      <c r="AJ1670" s="223"/>
      <c r="AK1670" s="223"/>
      <c r="AL1670" s="322"/>
      <c r="AM1670" s="322"/>
      <c r="AN1670" s="322"/>
      <c r="AO1670" s="322"/>
      <c r="AP1670" s="322"/>
      <c r="AQ1670" s="322"/>
      <c r="AR1670" s="322"/>
      <c r="AS1670" s="322"/>
      <c r="AT1670" s="322"/>
      <c r="AU1670" s="322"/>
      <c r="AV1670" s="322"/>
      <c r="AW1670" s="322"/>
      <c r="AX1670" s="322"/>
      <c r="AY1670" s="322"/>
      <c r="AZ1670" s="322"/>
      <c r="BA1670" s="322"/>
      <c r="BB1670" s="322"/>
    </row>
    <row r="1671" spans="4:54" s="83" customFormat="1">
      <c r="D1671" s="327" t="s">
        <v>332</v>
      </c>
      <c r="E1671" s="327"/>
      <c r="G1671" s="90">
        <f t="shared" ref="G1671:R1671" si="1285">SUM(G1659:G1670)</f>
        <v>400</v>
      </c>
      <c r="H1671" s="90">
        <f t="shared" si="1285"/>
        <v>269</v>
      </c>
      <c r="I1671" s="90">
        <f t="shared" si="1285"/>
        <v>2866</v>
      </c>
      <c r="J1671" s="90">
        <f t="shared" si="1285"/>
        <v>990</v>
      </c>
      <c r="K1671" s="90">
        <f t="shared" si="1285"/>
        <v>899</v>
      </c>
      <c r="L1671" s="91">
        <f>SUM(L1659:L1670)</f>
        <v>297</v>
      </c>
      <c r="M1671" s="91">
        <f t="shared" si="1285"/>
        <v>103</v>
      </c>
      <c r="N1671" s="91">
        <f t="shared" si="1285"/>
        <v>-691</v>
      </c>
      <c r="O1671" s="91">
        <f t="shared" si="1285"/>
        <v>-2</v>
      </c>
      <c r="P1671" s="90">
        <f t="shared" si="1285"/>
        <v>-161</v>
      </c>
      <c r="Q1671" s="91">
        <f>SUM(Q1659:Q1670)</f>
        <v>201</v>
      </c>
      <c r="R1671" s="91">
        <f t="shared" si="1285"/>
        <v>336</v>
      </c>
      <c r="S1671" s="91">
        <f>SUM(S1661:S1670)</f>
        <v>-163</v>
      </c>
      <c r="T1671" s="91">
        <f>SUM(T1661:T1670)</f>
        <v>1347</v>
      </c>
      <c r="U1671" s="130">
        <f t="shared" si="1284"/>
        <v>1721</v>
      </c>
      <c r="V1671" s="91">
        <f>SUM(V1659:V1670)</f>
        <v>351</v>
      </c>
      <c r="W1671" s="91">
        <f>SUM(W1659:W1670)</f>
        <v>95</v>
      </c>
      <c r="X1671" s="91">
        <v>0</v>
      </c>
      <c r="Y1671" s="328"/>
      <c r="Z1671" s="328">
        <v>0</v>
      </c>
      <c r="AA1671" s="328"/>
      <c r="AB1671" s="328"/>
      <c r="AC1671" s="328"/>
      <c r="AD1671" s="328"/>
      <c r="AE1671" s="328">
        <v>0</v>
      </c>
      <c r="AF1671" s="328">
        <v>0</v>
      </c>
      <c r="AG1671" s="223"/>
      <c r="AH1671" s="223"/>
      <c r="AI1671" s="223"/>
      <c r="AJ1671" s="223"/>
      <c r="AK1671" s="223"/>
      <c r="AL1671" s="322"/>
      <c r="AM1671" s="322"/>
      <c r="AN1671" s="322"/>
      <c r="AO1671" s="322"/>
      <c r="AP1671" s="322"/>
      <c r="AQ1671" s="322"/>
      <c r="AR1671" s="322"/>
      <c r="AS1671" s="322"/>
      <c r="AT1671" s="322"/>
      <c r="AU1671" s="322"/>
      <c r="AV1671" s="322"/>
      <c r="AW1671" s="322"/>
      <c r="AX1671" s="322"/>
      <c r="AY1671" s="322"/>
      <c r="AZ1671" s="322"/>
      <c r="BA1671" s="322"/>
      <c r="BB1671" s="322"/>
    </row>
    <row r="1672" spans="4:54" s="83" customFormat="1">
      <c r="D1672" s="343" t="s">
        <v>78</v>
      </c>
      <c r="E1672" s="343"/>
      <c r="G1672" s="321">
        <v>2643</v>
      </c>
      <c r="H1672" s="321">
        <v>1995</v>
      </c>
      <c r="I1672" s="321">
        <v>1748</v>
      </c>
      <c r="J1672" s="321">
        <v>3416</v>
      </c>
      <c r="K1672" s="321">
        <v>4880</v>
      </c>
      <c r="L1672" s="314">
        <f>SUM(L1657:L1670)</f>
        <v>1413</v>
      </c>
      <c r="M1672" s="314">
        <f>SUM(M1657:M1670)</f>
        <v>1100</v>
      </c>
      <c r="N1672" s="314">
        <v>1053</v>
      </c>
      <c r="O1672" s="314">
        <v>901</v>
      </c>
      <c r="P1672" s="321">
        <f>SUM(P1657:P1670)</f>
        <v>4461</v>
      </c>
      <c r="Q1672" s="314">
        <f>SUM(Q1657:Q1670)</f>
        <v>1218</v>
      </c>
      <c r="R1672" s="314">
        <f>SUM(R1657:R1670)</f>
        <v>981</v>
      </c>
      <c r="S1672" s="314">
        <v>873</v>
      </c>
      <c r="T1672" s="314">
        <v>572</v>
      </c>
      <c r="U1672" s="130">
        <f t="shared" si="1284"/>
        <v>3644</v>
      </c>
      <c r="V1672" s="314">
        <f>SUM(V1657:V1670)</f>
        <v>418</v>
      </c>
      <c r="W1672" s="314">
        <f>SUM(W1657:W1670)</f>
        <v>224</v>
      </c>
      <c r="X1672" s="314">
        <f>SUM(X1657:X1670)</f>
        <v>464</v>
      </c>
      <c r="Y1672" s="233"/>
      <c r="Z1672" s="233" t="e">
        <f>SUM(Z1657:Z1671)</f>
        <v>#REF!</v>
      </c>
      <c r="AA1672" s="233"/>
      <c r="AB1672" s="233"/>
      <c r="AC1672" s="233"/>
      <c r="AD1672" s="233"/>
      <c r="AE1672" s="233" t="e">
        <f>SUM(AE1657:AE1671)</f>
        <v>#REF!</v>
      </c>
      <c r="AF1672" s="233" t="e">
        <f>SUM(AF1657:AF1671)</f>
        <v>#REF!</v>
      </c>
      <c r="AG1672" s="223"/>
      <c r="AH1672" s="223"/>
      <c r="AI1672" s="223"/>
      <c r="AJ1672" s="223"/>
      <c r="AK1672" s="223"/>
      <c r="AL1672" s="322"/>
      <c r="AM1672" s="322"/>
      <c r="AN1672" s="322"/>
      <c r="AO1672" s="322"/>
      <c r="AP1672" s="322"/>
      <c r="AQ1672" s="322"/>
      <c r="AR1672" s="322"/>
      <c r="AS1672" s="322"/>
      <c r="AT1672" s="322"/>
      <c r="AU1672" s="322"/>
      <c r="AV1672" s="322"/>
      <c r="AW1672" s="322"/>
      <c r="AX1672" s="322"/>
      <c r="AY1672" s="322"/>
      <c r="AZ1672" s="322"/>
      <c r="BA1672" s="322"/>
      <c r="BB1672" s="322"/>
    </row>
    <row r="1673" spans="4:54" s="83" customFormat="1">
      <c r="D1673" s="327" t="s">
        <v>79</v>
      </c>
      <c r="E1673" s="327"/>
      <c r="G1673" s="90">
        <v>235</v>
      </c>
      <c r="H1673" s="90">
        <v>283</v>
      </c>
      <c r="I1673" s="90">
        <v>214</v>
      </c>
      <c r="J1673" s="90">
        <v>-360</v>
      </c>
      <c r="K1673" s="90">
        <v>169</v>
      </c>
      <c r="L1673" s="91">
        <v>-294</v>
      </c>
      <c r="M1673" s="91">
        <v>5</v>
      </c>
      <c r="N1673" s="91">
        <v>-176</v>
      </c>
      <c r="O1673" s="91">
        <v>436</v>
      </c>
      <c r="P1673" s="90">
        <v>-29</v>
      </c>
      <c r="Q1673" s="91">
        <v>-698</v>
      </c>
      <c r="R1673" s="91">
        <v>139</v>
      </c>
      <c r="S1673" s="91">
        <v>189</v>
      </c>
      <c r="T1673" s="91">
        <v>210</v>
      </c>
      <c r="U1673" s="130">
        <f t="shared" si="1284"/>
        <v>-160</v>
      </c>
      <c r="V1673" s="91">
        <v>-139</v>
      </c>
      <c r="W1673" s="91">
        <v>76</v>
      </c>
      <c r="X1673" s="91">
        <v>-74</v>
      </c>
      <c r="Y1673" s="231"/>
      <c r="Z1673" s="231">
        <f ca="1">Z1569</f>
        <v>154.77355743117391</v>
      </c>
      <c r="AA1673" s="231"/>
      <c r="AB1673" s="231"/>
      <c r="AC1673" s="231"/>
      <c r="AD1673" s="231"/>
      <c r="AE1673" s="231">
        <f ca="1">AE1569</f>
        <v>-350.0174815513252</v>
      </c>
      <c r="AF1673" s="231">
        <f ca="1">AF1569</f>
        <v>-40.566032774617156</v>
      </c>
      <c r="AG1673" s="223"/>
      <c r="AH1673" s="223"/>
      <c r="AI1673" s="223"/>
      <c r="AJ1673" s="223"/>
      <c r="AK1673" s="223"/>
      <c r="AL1673" s="322"/>
      <c r="AM1673" s="322"/>
      <c r="AN1673" s="322"/>
      <c r="AO1673" s="322"/>
      <c r="AP1673" s="322"/>
      <c r="AQ1673" s="322"/>
      <c r="AR1673" s="322"/>
      <c r="AS1673" s="322"/>
      <c r="AT1673" s="322"/>
      <c r="AU1673" s="322"/>
      <c r="AV1673" s="322"/>
      <c r="AW1673" s="322"/>
      <c r="AX1673" s="322"/>
      <c r="AY1673" s="322"/>
      <c r="AZ1673" s="322"/>
      <c r="BA1673" s="322"/>
      <c r="BB1673" s="322"/>
    </row>
    <row r="1674" spans="4:54" s="83" customFormat="1">
      <c r="D1674" s="132" t="s">
        <v>80</v>
      </c>
      <c r="E1674" s="132"/>
      <c r="F1674" s="135"/>
      <c r="G1674" s="184">
        <v>2878</v>
      </c>
      <c r="H1674" s="184">
        <v>2278</v>
      </c>
      <c r="I1674" s="184">
        <v>1962</v>
      </c>
      <c r="J1674" s="184">
        <v>3056</v>
      </c>
      <c r="K1674" s="184">
        <v>5049</v>
      </c>
      <c r="L1674" s="106">
        <f>L1672+L1673</f>
        <v>1119</v>
      </c>
      <c r="M1674" s="106">
        <f>M1672+M1673</f>
        <v>1105</v>
      </c>
      <c r="N1674" s="106">
        <v>877</v>
      </c>
      <c r="O1674" s="106">
        <v>1337</v>
      </c>
      <c r="P1674" s="184">
        <v>4438</v>
      </c>
      <c r="Q1674" s="106">
        <v>520</v>
      </c>
      <c r="R1674" s="106">
        <f>R1672+R1673</f>
        <v>1120</v>
      </c>
      <c r="S1674" s="106">
        <v>1062</v>
      </c>
      <c r="T1674" s="106">
        <v>782</v>
      </c>
      <c r="U1674" s="130">
        <f t="shared" si="1284"/>
        <v>3484</v>
      </c>
      <c r="V1674" s="106">
        <v>279</v>
      </c>
      <c r="W1674" s="106">
        <f>W1672+W1673</f>
        <v>300</v>
      </c>
      <c r="X1674" s="106">
        <f>X1672+X1673</f>
        <v>390</v>
      </c>
      <c r="Y1674" s="109"/>
      <c r="Z1674" s="109" t="e">
        <f ca="1">Z1672+Z1673</f>
        <v>#REF!</v>
      </c>
      <c r="AA1674" s="109"/>
      <c r="AB1674" s="109"/>
      <c r="AC1674" s="109"/>
      <c r="AD1674" s="109"/>
      <c r="AE1674" s="109" t="e">
        <f ca="1">AE1672+AE1673</f>
        <v>#REF!</v>
      </c>
      <c r="AF1674" s="109" t="e">
        <f ca="1">AF1672+AF1673</f>
        <v>#REF!</v>
      </c>
      <c r="AG1674" s="394"/>
      <c r="AH1674" s="394"/>
      <c r="AI1674" s="394"/>
      <c r="AJ1674" s="223"/>
      <c r="AK1674" s="223"/>
      <c r="AL1674" s="322"/>
      <c r="AM1674" s="322"/>
      <c r="AN1674" s="322"/>
      <c r="AO1674" s="322"/>
      <c r="AP1674" s="322"/>
      <c r="AQ1674" s="322"/>
      <c r="AR1674" s="322"/>
      <c r="AS1674" s="322"/>
      <c r="AT1674" s="322"/>
      <c r="AU1674" s="322"/>
      <c r="AV1674" s="322"/>
      <c r="AW1674" s="322"/>
      <c r="AX1674" s="322"/>
      <c r="AY1674" s="322"/>
      <c r="AZ1674" s="322"/>
      <c r="BA1674" s="322"/>
      <c r="BB1674" s="322"/>
    </row>
    <row r="1675" spans="4:54" s="83" customFormat="1">
      <c r="D1675" s="343"/>
      <c r="E1675" s="343"/>
      <c r="G1675" s="321"/>
      <c r="H1675" s="321"/>
      <c r="I1675" s="321"/>
      <c r="J1675" s="321"/>
      <c r="K1675" s="321"/>
      <c r="L1675" s="314"/>
      <c r="M1675" s="314"/>
      <c r="N1675" s="314"/>
      <c r="O1675" s="314"/>
      <c r="P1675" s="321"/>
      <c r="Q1675" s="314"/>
      <c r="R1675" s="314"/>
      <c r="S1675" s="314"/>
      <c r="T1675" s="314"/>
      <c r="U1675" s="321"/>
      <c r="V1675" s="314"/>
      <c r="W1675" s="314"/>
      <c r="X1675" s="314"/>
      <c r="Y1675" s="406"/>
      <c r="Z1675" s="406"/>
      <c r="AA1675" s="406"/>
      <c r="AB1675" s="406"/>
      <c r="AC1675" s="406"/>
      <c r="AD1675" s="406"/>
      <c r="AE1675" s="406"/>
      <c r="AF1675" s="406"/>
      <c r="AG1675" s="223"/>
      <c r="AH1675" s="223"/>
      <c r="AI1675" s="223"/>
      <c r="AJ1675" s="223"/>
      <c r="AK1675" s="223"/>
      <c r="AL1675" s="322"/>
      <c r="AM1675" s="322"/>
      <c r="AN1675" s="322"/>
      <c r="AO1675" s="322"/>
      <c r="AP1675" s="322"/>
      <c r="AQ1675" s="322"/>
      <c r="AR1675" s="322"/>
      <c r="AS1675" s="322"/>
      <c r="AT1675" s="322"/>
      <c r="AU1675" s="322"/>
      <c r="AV1675" s="322"/>
      <c r="AW1675" s="322"/>
      <c r="AX1675" s="322"/>
      <c r="AY1675" s="322"/>
      <c r="AZ1675" s="322"/>
      <c r="BA1675" s="322"/>
      <c r="BB1675" s="322"/>
    </row>
    <row r="1676" spans="4:54" s="83" customFormat="1">
      <c r="D1676" s="343" t="s">
        <v>81</v>
      </c>
      <c r="E1676" s="343"/>
      <c r="G1676" s="362" t="s">
        <v>0</v>
      </c>
      <c r="H1676" s="362" t="s">
        <v>0</v>
      </c>
      <c r="I1676" s="362" t="s">
        <v>0</v>
      </c>
      <c r="J1676" s="362" t="s">
        <v>0</v>
      </c>
      <c r="K1676" s="362" t="s">
        <v>0</v>
      </c>
      <c r="L1676" s="397"/>
      <c r="M1676" s="397"/>
      <c r="N1676" s="397"/>
      <c r="O1676" s="397"/>
      <c r="P1676" s="362" t="s">
        <v>0</v>
      </c>
      <c r="Q1676" s="397"/>
      <c r="R1676" s="397"/>
      <c r="S1676" s="397"/>
      <c r="T1676" s="397"/>
      <c r="U1676" s="362"/>
      <c r="V1676" s="397"/>
      <c r="W1676" s="397"/>
      <c r="X1676" s="397"/>
      <c r="Y1676" s="223"/>
      <c r="Z1676" s="223"/>
      <c r="AA1676" s="223"/>
      <c r="AB1676" s="223"/>
      <c r="AC1676" s="223"/>
      <c r="AD1676" s="223"/>
      <c r="AE1676" s="223"/>
      <c r="AF1676" s="223"/>
      <c r="AG1676" s="223"/>
      <c r="AH1676" s="223"/>
      <c r="AI1676" s="223"/>
      <c r="AJ1676" s="223"/>
      <c r="AK1676" s="223"/>
      <c r="AL1676" s="322"/>
      <c r="AM1676" s="322"/>
      <c r="AN1676" s="322"/>
      <c r="AO1676" s="322"/>
      <c r="AP1676" s="322"/>
      <c r="AQ1676" s="322"/>
      <c r="AR1676" s="322"/>
      <c r="AS1676" s="322"/>
      <c r="AT1676" s="322"/>
      <c r="AU1676" s="322"/>
      <c r="AV1676" s="322"/>
      <c r="AW1676" s="322"/>
      <c r="AX1676" s="322"/>
      <c r="AY1676" s="322"/>
      <c r="AZ1676" s="322"/>
      <c r="BA1676" s="322"/>
      <c r="BB1676" s="322"/>
    </row>
    <row r="1677" spans="4:54" s="83" customFormat="1">
      <c r="D1677" s="327" t="s">
        <v>50</v>
      </c>
      <c r="E1677" s="327"/>
      <c r="G1677" s="90">
        <v>-1858</v>
      </c>
      <c r="H1677" s="90">
        <v>-1498</v>
      </c>
      <c r="I1677" s="90">
        <v>-1581</v>
      </c>
      <c r="J1677" s="90">
        <v>-1416</v>
      </c>
      <c r="K1677" s="90">
        <v>-1621</v>
      </c>
      <c r="L1677" s="91">
        <v>-465</v>
      </c>
      <c r="M1677" s="91">
        <v>-354</v>
      </c>
      <c r="N1677" s="91">
        <v>-421</v>
      </c>
      <c r="O1677" s="91">
        <v>-666</v>
      </c>
      <c r="P1677" s="90">
        <v>-1906</v>
      </c>
      <c r="Q1677" s="91">
        <v>-482</v>
      </c>
      <c r="R1677" s="91">
        <v>-599</v>
      </c>
      <c r="S1677" s="91">
        <v>-824</v>
      </c>
      <c r="T1677" s="91">
        <v>-883</v>
      </c>
      <c r="U1677" s="130">
        <f>SUM(Q1677:T1677)</f>
        <v>-2788</v>
      </c>
      <c r="V1677" s="91">
        <v>-818</v>
      </c>
      <c r="W1677" s="91">
        <v>-792</v>
      </c>
      <c r="X1677" s="91">
        <v>-589</v>
      </c>
      <c r="Y1677" s="130"/>
      <c r="Z1677" s="130">
        <f>-Z1545</f>
        <v>-3123</v>
      </c>
      <c r="AA1677" s="130"/>
      <c r="AB1677" s="130"/>
      <c r="AC1677" s="130"/>
      <c r="AD1677" s="130"/>
      <c r="AE1677" s="130">
        <f>-AE1545</f>
        <v>-3412</v>
      </c>
      <c r="AF1677" s="130">
        <f>-AF1545</f>
        <v>-1882</v>
      </c>
      <c r="AG1677" s="223"/>
      <c r="AH1677" s="223"/>
      <c r="AI1677" s="223"/>
      <c r="AJ1677" s="223"/>
      <c r="AK1677" s="223"/>
      <c r="AL1677" s="322"/>
      <c r="AM1677" s="322"/>
      <c r="AN1677" s="322"/>
      <c r="AO1677" s="322"/>
      <c r="AP1677" s="322"/>
      <c r="AQ1677" s="322"/>
      <c r="AR1677" s="322"/>
      <c r="AS1677" s="322"/>
      <c r="AT1677" s="322"/>
      <c r="AU1677" s="322"/>
      <c r="AV1677" s="322"/>
      <c r="AW1677" s="322"/>
      <c r="AX1677" s="322"/>
      <c r="AY1677" s="322"/>
      <c r="AZ1677" s="322"/>
      <c r="BA1677" s="322"/>
      <c r="BB1677" s="322"/>
    </row>
    <row r="1678" spans="4:54" s="83" customFormat="1">
      <c r="D1678" s="327" t="s">
        <v>82</v>
      </c>
      <c r="E1678" s="327"/>
      <c r="G1678" s="90">
        <v>-744</v>
      </c>
      <c r="H1678" s="90">
        <v>-715</v>
      </c>
      <c r="I1678" s="90">
        <v>-663</v>
      </c>
      <c r="J1678" s="90">
        <v>-477</v>
      </c>
      <c r="K1678" s="90">
        <v>-678</v>
      </c>
      <c r="L1678" s="91">
        <v>-197</v>
      </c>
      <c r="M1678" s="91">
        <v>-175</v>
      </c>
      <c r="N1678" s="91">
        <v>-162</v>
      </c>
      <c r="O1678" s="91">
        <v>-173</v>
      </c>
      <c r="P1678" s="90">
        <v>-707</v>
      </c>
      <c r="Q1678" s="91">
        <v>-199</v>
      </c>
      <c r="R1678" s="91">
        <v>-170</v>
      </c>
      <c r="S1678" s="91">
        <v>-159</v>
      </c>
      <c r="T1678" s="91">
        <v>-152</v>
      </c>
      <c r="U1678" s="130">
        <f>SUM(Q1678:T1678)</f>
        <v>-680</v>
      </c>
      <c r="V1678" s="91">
        <v>-172</v>
      </c>
      <c r="W1678" s="91">
        <v>-97</v>
      </c>
      <c r="X1678" s="91">
        <v>-110</v>
      </c>
      <c r="Y1678" s="130"/>
      <c r="Z1678" s="130">
        <f>-Z1547</f>
        <v>-499</v>
      </c>
      <c r="AA1678" s="130"/>
      <c r="AB1678" s="130"/>
      <c r="AC1678" s="130"/>
      <c r="AD1678" s="130"/>
      <c r="AE1678" s="130">
        <f>-AE1547</f>
        <v>-492</v>
      </c>
      <c r="AF1678" s="130">
        <f>-AF1547</f>
        <v>-499</v>
      </c>
      <c r="AG1678" s="223"/>
      <c r="AH1678" s="223"/>
      <c r="AI1678" s="223"/>
      <c r="AJ1678" s="223"/>
      <c r="AK1678" s="223"/>
      <c r="AL1678" s="322"/>
      <c r="AM1678" s="322"/>
      <c r="AN1678" s="322"/>
      <c r="AO1678" s="322"/>
      <c r="AP1678" s="322"/>
      <c r="AQ1678" s="322"/>
      <c r="AR1678" s="322"/>
      <c r="AS1678" s="322"/>
      <c r="AT1678" s="322"/>
      <c r="AU1678" s="322"/>
      <c r="AV1678" s="322"/>
      <c r="AW1678" s="322"/>
      <c r="AX1678" s="322"/>
      <c r="AY1678" s="322"/>
      <c r="AZ1678" s="322"/>
      <c r="BA1678" s="322"/>
      <c r="BB1678" s="322"/>
    </row>
    <row r="1679" spans="4:54" s="83" customFormat="1">
      <c r="D1679" s="327" t="s">
        <v>83</v>
      </c>
      <c r="E1679" s="327"/>
      <c r="G1679" s="90">
        <v>-325</v>
      </c>
      <c r="H1679" s="90">
        <v>-44</v>
      </c>
      <c r="I1679" s="90">
        <v>-82</v>
      </c>
      <c r="J1679" s="90">
        <v>-114</v>
      </c>
      <c r="K1679" s="90">
        <v>-309</v>
      </c>
      <c r="L1679" s="91">
        <v>-26</v>
      </c>
      <c r="M1679" s="91">
        <v>-110</v>
      </c>
      <c r="N1679" s="91">
        <v>-116</v>
      </c>
      <c r="O1679" s="91">
        <v>-32</v>
      </c>
      <c r="P1679" s="90">
        <v>-284</v>
      </c>
      <c r="Q1679" s="91">
        <v>-32</v>
      </c>
      <c r="R1679" s="91">
        <v>-48</v>
      </c>
      <c r="S1679" s="91">
        <v>-43</v>
      </c>
      <c r="T1679" s="91">
        <v>-55</v>
      </c>
      <c r="U1679" s="130">
        <f>SUM(Q1679:T1679)</f>
        <v>-178</v>
      </c>
      <c r="V1679" s="91">
        <v>-29</v>
      </c>
      <c r="W1679" s="91">
        <v>-52</v>
      </c>
      <c r="X1679" s="91">
        <v>-54</v>
      </c>
      <c r="Y1679" s="328"/>
      <c r="Z1679" s="328">
        <v>0</v>
      </c>
      <c r="AA1679" s="328"/>
      <c r="AB1679" s="328"/>
      <c r="AC1679" s="328"/>
      <c r="AD1679" s="328"/>
      <c r="AE1679" s="328">
        <v>0</v>
      </c>
      <c r="AF1679" s="328">
        <v>0</v>
      </c>
      <c r="AG1679" s="223"/>
      <c r="AH1679" s="223"/>
      <c r="AI1679" s="223"/>
      <c r="AJ1679" s="223"/>
      <c r="AK1679" s="223"/>
      <c r="AL1679" s="322"/>
      <c r="AM1679" s="322"/>
      <c r="AN1679" s="322"/>
      <c r="AO1679" s="322"/>
      <c r="AP1679" s="322"/>
      <c r="AQ1679" s="322"/>
      <c r="AR1679" s="322"/>
      <c r="AS1679" s="322"/>
      <c r="AT1679" s="322"/>
      <c r="AU1679" s="322"/>
      <c r="AV1679" s="322"/>
      <c r="AW1679" s="322"/>
      <c r="AX1679" s="322"/>
      <c r="AY1679" s="322"/>
      <c r="AZ1679" s="322"/>
      <c r="BA1679" s="322"/>
      <c r="BB1679" s="322"/>
    </row>
    <row r="1680" spans="4:54" s="83" customFormat="1">
      <c r="D1680" s="327" t="s">
        <v>84</v>
      </c>
      <c r="E1680" s="327"/>
      <c r="G1680" s="90">
        <v>0</v>
      </c>
      <c r="H1680" s="90">
        <v>0</v>
      </c>
      <c r="I1680" s="90" t="s">
        <v>0</v>
      </c>
      <c r="J1680" s="90" t="s">
        <v>0</v>
      </c>
      <c r="K1680" s="90" t="s">
        <v>0</v>
      </c>
      <c r="L1680" s="91"/>
      <c r="M1680" s="91"/>
      <c r="N1680" s="91"/>
      <c r="O1680" s="91"/>
      <c r="P1680" s="90" t="s">
        <v>0</v>
      </c>
      <c r="Q1680" s="91"/>
      <c r="R1680" s="91"/>
      <c r="S1680" s="91"/>
      <c r="T1680" s="91"/>
      <c r="U1680" s="90">
        <v>0</v>
      </c>
      <c r="V1680" s="91"/>
      <c r="W1680" s="91"/>
      <c r="X1680" s="91"/>
      <c r="Y1680" s="328"/>
      <c r="Z1680" s="328">
        <v>0</v>
      </c>
      <c r="AA1680" s="328"/>
      <c r="AB1680" s="328"/>
      <c r="AC1680" s="328"/>
      <c r="AD1680" s="328"/>
      <c r="AE1680" s="328">
        <v>0</v>
      </c>
      <c r="AF1680" s="328">
        <v>0</v>
      </c>
      <c r="AG1680" s="223"/>
      <c r="AH1680" s="223"/>
      <c r="AI1680" s="223"/>
      <c r="AJ1680" s="223"/>
      <c r="AK1680" s="223"/>
      <c r="AL1680" s="322"/>
      <c r="AM1680" s="322"/>
      <c r="AN1680" s="322"/>
      <c r="AO1680" s="322"/>
      <c r="AP1680" s="322"/>
      <c r="AQ1680" s="322"/>
      <c r="AR1680" s="322"/>
      <c r="AS1680" s="322"/>
      <c r="AT1680" s="322"/>
      <c r="AU1680" s="322"/>
      <c r="AV1680" s="322"/>
      <c r="AW1680" s="322"/>
      <c r="AX1680" s="322"/>
      <c r="AY1680" s="322"/>
      <c r="AZ1680" s="322"/>
      <c r="BA1680" s="322"/>
      <c r="BB1680" s="322"/>
    </row>
    <row r="1681" spans="1:54" s="83" customFormat="1">
      <c r="D1681" s="327" t="s">
        <v>85</v>
      </c>
      <c r="E1681" s="327"/>
      <c r="G1681" s="90">
        <v>502</v>
      </c>
      <c r="H1681" s="90">
        <v>34</v>
      </c>
      <c r="I1681" s="90">
        <v>1222</v>
      </c>
      <c r="J1681" s="90">
        <v>170</v>
      </c>
      <c r="K1681" s="90">
        <v>126</v>
      </c>
      <c r="L1681" s="91">
        <v>41</v>
      </c>
      <c r="M1681" s="91">
        <v>32</v>
      </c>
      <c r="N1681" s="91">
        <v>1206</v>
      </c>
      <c r="O1681" s="91">
        <v>13</v>
      </c>
      <c r="P1681" s="90">
        <v>1292</v>
      </c>
      <c r="Q1681" s="91">
        <v>13</v>
      </c>
      <c r="R1681" s="91">
        <v>33</v>
      </c>
      <c r="S1681" s="91">
        <v>20</v>
      </c>
      <c r="T1681" s="91">
        <v>14</v>
      </c>
      <c r="U1681" s="130">
        <f>SUM(Q1681:T1681)</f>
        <v>80</v>
      </c>
      <c r="V1681" s="91">
        <v>61</v>
      </c>
      <c r="W1681" s="91">
        <v>9</v>
      </c>
      <c r="X1681" s="91">
        <v>68</v>
      </c>
      <c r="Y1681" s="328"/>
      <c r="Z1681" s="328">
        <v>0</v>
      </c>
      <c r="AA1681" s="328"/>
      <c r="AB1681" s="328"/>
      <c r="AC1681" s="328"/>
      <c r="AD1681" s="328"/>
      <c r="AE1681" s="328">
        <v>0</v>
      </c>
      <c r="AF1681" s="328">
        <v>0</v>
      </c>
      <c r="AG1681" s="223"/>
      <c r="AH1681" s="223"/>
      <c r="AI1681" s="223"/>
      <c r="AJ1681" s="223"/>
      <c r="AK1681" s="223"/>
      <c r="AL1681" s="322"/>
      <c r="AM1681" s="322"/>
      <c r="AN1681" s="322"/>
      <c r="AO1681" s="322"/>
      <c r="AP1681" s="322"/>
      <c r="AQ1681" s="322"/>
      <c r="AR1681" s="322"/>
      <c r="AS1681" s="322"/>
      <c r="AT1681" s="322"/>
      <c r="AU1681" s="322"/>
      <c r="AV1681" s="322"/>
      <c r="AW1681" s="322"/>
      <c r="AX1681" s="322"/>
      <c r="AY1681" s="322"/>
      <c r="AZ1681" s="322"/>
      <c r="BA1681" s="322"/>
      <c r="BB1681" s="322"/>
    </row>
    <row r="1682" spans="1:54" s="83" customFormat="1">
      <c r="D1682" s="327" t="s">
        <v>86</v>
      </c>
      <c r="E1682" s="327"/>
      <c r="G1682" s="90" t="s">
        <v>0</v>
      </c>
      <c r="H1682" s="90" t="s">
        <v>0</v>
      </c>
      <c r="I1682" s="90" t="s">
        <v>0</v>
      </c>
      <c r="J1682" s="90" t="s">
        <v>0</v>
      </c>
      <c r="K1682" s="90" t="s">
        <v>0</v>
      </c>
      <c r="L1682" s="91"/>
      <c r="M1682" s="91"/>
      <c r="N1682" s="91"/>
      <c r="O1682" s="91"/>
      <c r="P1682" s="90" t="s">
        <v>0</v>
      </c>
      <c r="Q1682" s="91"/>
      <c r="R1682" s="91"/>
      <c r="S1682" s="91"/>
      <c r="T1682" s="91"/>
      <c r="U1682" s="90">
        <v>0</v>
      </c>
      <c r="V1682" s="91"/>
      <c r="W1682" s="91"/>
      <c r="X1682" s="91"/>
      <c r="Y1682" s="328"/>
      <c r="Z1682" s="328">
        <v>0</v>
      </c>
      <c r="AA1682" s="328"/>
      <c r="AB1682" s="328"/>
      <c r="AC1682" s="328"/>
      <c r="AD1682" s="328"/>
      <c r="AE1682" s="328">
        <v>0</v>
      </c>
      <c r="AF1682" s="328">
        <v>0</v>
      </c>
      <c r="AG1682" s="223"/>
      <c r="AH1682" s="223"/>
      <c r="AI1682" s="223"/>
      <c r="AJ1682" s="223"/>
      <c r="AK1682" s="223"/>
      <c r="AL1682" s="322"/>
      <c r="AM1682" s="322"/>
      <c r="AN1682" s="322"/>
      <c r="AO1682" s="322"/>
      <c r="AP1682" s="322"/>
      <c r="AQ1682" s="322"/>
      <c r="AR1682" s="322"/>
      <c r="AS1682" s="322"/>
      <c r="AT1682" s="322"/>
      <c r="AU1682" s="322"/>
      <c r="AV1682" s="322"/>
      <c r="AW1682" s="322"/>
      <c r="AX1682" s="322"/>
      <c r="AY1682" s="322"/>
      <c r="AZ1682" s="322"/>
      <c r="BA1682" s="322"/>
      <c r="BB1682" s="322"/>
    </row>
    <row r="1683" spans="1:54" s="141" customFormat="1">
      <c r="A1683" s="83"/>
      <c r="B1683" s="83"/>
      <c r="C1683" s="83"/>
      <c r="D1683" s="416" t="s">
        <v>87</v>
      </c>
      <c r="E1683" s="416"/>
      <c r="F1683" s="135"/>
      <c r="G1683" s="184">
        <v>-2425</v>
      </c>
      <c r="H1683" s="184">
        <v>-2223</v>
      </c>
      <c r="I1683" s="184">
        <v>-1104</v>
      </c>
      <c r="J1683" s="184">
        <v>-1837</v>
      </c>
      <c r="K1683" s="184">
        <v>-2482</v>
      </c>
      <c r="L1683" s="106">
        <f>SUM(L1677:L1682)</f>
        <v>-647</v>
      </c>
      <c r="M1683" s="106">
        <f>SUM(M1677:M1682)</f>
        <v>-607</v>
      </c>
      <c r="N1683" s="106">
        <v>507</v>
      </c>
      <c r="O1683" s="106">
        <v>-858</v>
      </c>
      <c r="P1683" s="184">
        <v>-1605</v>
      </c>
      <c r="Q1683" s="106">
        <f>SUM(Q1677:Q1682)</f>
        <v>-700</v>
      </c>
      <c r="R1683" s="106">
        <f>SUM(R1677:R1682)</f>
        <v>-784</v>
      </c>
      <c r="S1683" s="106">
        <v>-1006</v>
      </c>
      <c r="T1683" s="106">
        <v>-1076</v>
      </c>
      <c r="U1683" s="130">
        <f>SUM(Q1683:T1683)</f>
        <v>-3566</v>
      </c>
      <c r="V1683" s="106">
        <v>-958</v>
      </c>
      <c r="W1683" s="106">
        <v>-932</v>
      </c>
      <c r="X1683" s="106">
        <f>SUM(X1677:X1682)</f>
        <v>-685</v>
      </c>
      <c r="Y1683" s="109"/>
      <c r="Z1683" s="109">
        <f>SUM(Z1677:Z1682)</f>
        <v>-3622</v>
      </c>
      <c r="AA1683" s="109"/>
      <c r="AB1683" s="109"/>
      <c r="AC1683" s="109"/>
      <c r="AD1683" s="109"/>
      <c r="AE1683" s="109">
        <f>SUM(AE1677:AE1682)</f>
        <v>-3904</v>
      </c>
      <c r="AF1683" s="109">
        <f>SUM(AF1677:AF1682)</f>
        <v>-2381</v>
      </c>
      <c r="AG1683" s="394"/>
      <c r="AH1683" s="394"/>
      <c r="AI1683" s="394"/>
      <c r="AJ1683" s="223"/>
      <c r="AK1683" s="113"/>
    </row>
    <row r="1684" spans="1:54" s="83" customFormat="1">
      <c r="D1684" s="417"/>
      <c r="E1684" s="417"/>
      <c r="G1684" s="321"/>
      <c r="H1684" s="321"/>
      <c r="I1684" s="321"/>
      <c r="J1684" s="321"/>
      <c r="K1684" s="321"/>
      <c r="L1684" s="314"/>
      <c r="M1684" s="314"/>
      <c r="N1684" s="314"/>
      <c r="O1684" s="314"/>
      <c r="P1684" s="321"/>
      <c r="Q1684" s="314"/>
      <c r="R1684" s="314"/>
      <c r="S1684" s="314"/>
      <c r="T1684" s="314"/>
      <c r="U1684" s="321"/>
      <c r="V1684" s="314"/>
      <c r="W1684" s="314"/>
      <c r="X1684" s="314"/>
      <c r="Y1684" s="223"/>
      <c r="Z1684" s="223"/>
      <c r="AA1684" s="223"/>
      <c r="AB1684" s="223"/>
      <c r="AC1684" s="223"/>
      <c r="AD1684" s="223"/>
      <c r="AE1684" s="223"/>
      <c r="AF1684" s="223"/>
      <c r="AG1684" s="223"/>
      <c r="AH1684" s="223"/>
      <c r="AI1684" s="223"/>
      <c r="AJ1684" s="223"/>
      <c r="AK1684" s="223"/>
      <c r="AL1684" s="322"/>
      <c r="AM1684" s="322"/>
      <c r="AN1684" s="322"/>
      <c r="AO1684" s="322"/>
      <c r="AP1684" s="322"/>
      <c r="AQ1684" s="322"/>
      <c r="AR1684" s="322"/>
      <c r="AS1684" s="322"/>
      <c r="AT1684" s="322"/>
      <c r="AU1684" s="322"/>
      <c r="AV1684" s="322"/>
      <c r="AW1684" s="322"/>
      <c r="AX1684" s="322"/>
      <c r="AY1684" s="322"/>
      <c r="AZ1684" s="322"/>
      <c r="BA1684" s="322"/>
      <c r="BB1684" s="322"/>
    </row>
    <row r="1685" spans="1:54" s="83" customFormat="1">
      <c r="D1685" s="343" t="s">
        <v>88</v>
      </c>
      <c r="E1685" s="343"/>
      <c r="G1685" s="362" t="s">
        <v>0</v>
      </c>
      <c r="H1685" s="362" t="s">
        <v>0</v>
      </c>
      <c r="I1685" s="362" t="s">
        <v>0</v>
      </c>
      <c r="J1685" s="362" t="s">
        <v>0</v>
      </c>
      <c r="K1685" s="362" t="s">
        <v>0</v>
      </c>
      <c r="L1685" s="397"/>
      <c r="M1685" s="397"/>
      <c r="N1685" s="397"/>
      <c r="O1685" s="397"/>
      <c r="P1685" s="362" t="s">
        <v>0</v>
      </c>
      <c r="Q1685" s="397"/>
      <c r="R1685" s="397"/>
      <c r="S1685" s="397"/>
      <c r="T1685" s="397"/>
      <c r="U1685" s="362"/>
      <c r="V1685" s="397"/>
      <c r="W1685" s="397"/>
      <c r="X1685" s="397"/>
      <c r="Y1685" s="223"/>
      <c r="Z1685" s="223"/>
      <c r="AA1685" s="223"/>
      <c r="AB1685" s="223"/>
      <c r="AC1685" s="223"/>
      <c r="AD1685" s="223"/>
      <c r="AE1685" s="223"/>
      <c r="AF1685" s="223"/>
      <c r="AG1685" s="223"/>
      <c r="AH1685" s="223"/>
      <c r="AI1685" s="223"/>
      <c r="AJ1685" s="223"/>
      <c r="AK1685" s="223"/>
      <c r="AL1685" s="322"/>
      <c r="AM1685" s="322"/>
      <c r="AN1685" s="322"/>
      <c r="AO1685" s="322"/>
      <c r="AP1685" s="322"/>
      <c r="AQ1685" s="322"/>
      <c r="AR1685" s="322"/>
      <c r="AS1685" s="322"/>
      <c r="AT1685" s="322"/>
      <c r="AU1685" s="322"/>
      <c r="AV1685" s="322"/>
      <c r="AW1685" s="322"/>
      <c r="AX1685" s="322"/>
      <c r="AY1685" s="322"/>
      <c r="AZ1685" s="322"/>
      <c r="BA1685" s="322"/>
      <c r="BB1685" s="322"/>
    </row>
    <row r="1686" spans="1:54" s="83" customFormat="1">
      <c r="D1686" s="327" t="s">
        <v>89</v>
      </c>
      <c r="E1686" s="327"/>
      <c r="G1686" s="90">
        <v>0</v>
      </c>
      <c r="H1686" s="90">
        <v>12</v>
      </c>
      <c r="I1686" s="90">
        <v>28</v>
      </c>
      <c r="J1686" s="90">
        <v>1567</v>
      </c>
      <c r="K1686" s="90">
        <v>0</v>
      </c>
      <c r="L1686" s="91"/>
      <c r="M1686" s="91"/>
      <c r="N1686" s="91"/>
      <c r="O1686" s="91"/>
      <c r="P1686" s="90">
        <v>0</v>
      </c>
      <c r="Q1686" s="91"/>
      <c r="R1686" s="91">
        <v>0</v>
      </c>
      <c r="S1686" s="91"/>
      <c r="T1686" s="91"/>
      <c r="U1686" s="90"/>
      <c r="V1686" s="91"/>
      <c r="W1686" s="91">
        <v>2684</v>
      </c>
      <c r="X1686" s="91">
        <v>1406</v>
      </c>
      <c r="Y1686" s="113"/>
      <c r="Z1686" s="113"/>
      <c r="AA1686" s="113"/>
      <c r="AB1686" s="113"/>
      <c r="AC1686" s="113"/>
      <c r="AD1686" s="113"/>
      <c r="AE1686" s="113"/>
      <c r="AF1686" s="113"/>
      <c r="AG1686" s="113"/>
      <c r="AH1686" s="113"/>
      <c r="AI1686" s="113"/>
      <c r="AJ1686" s="223"/>
      <c r="AK1686" s="223"/>
      <c r="AL1686" s="322"/>
      <c r="AM1686" s="322"/>
      <c r="AN1686" s="322"/>
      <c r="AO1686" s="322"/>
      <c r="AP1686" s="322"/>
      <c r="AQ1686" s="322"/>
      <c r="AR1686" s="322"/>
      <c r="AS1686" s="322"/>
      <c r="AT1686" s="322"/>
      <c r="AU1686" s="322"/>
      <c r="AV1686" s="322"/>
      <c r="AW1686" s="322"/>
      <c r="AX1686" s="322"/>
      <c r="AY1686" s="322"/>
      <c r="AZ1686" s="322"/>
      <c r="BA1686" s="322"/>
      <c r="BB1686" s="322"/>
    </row>
    <row r="1687" spans="1:54" s="83" customFormat="1">
      <c r="D1687" s="327" t="s">
        <v>367</v>
      </c>
      <c r="E1687" s="327"/>
      <c r="G1687" s="90">
        <v>-39</v>
      </c>
      <c r="H1687" s="90">
        <v>-70</v>
      </c>
      <c r="I1687" s="90">
        <v>-476</v>
      </c>
      <c r="J1687" s="90">
        <v>-2560</v>
      </c>
      <c r="K1687" s="90">
        <v>-1929</v>
      </c>
      <c r="L1687" s="91">
        <v>-28</v>
      </c>
      <c r="M1687" s="91">
        <v>0</v>
      </c>
      <c r="N1687" s="91">
        <v>-1327</v>
      </c>
      <c r="O1687" s="91">
        <v>0</v>
      </c>
      <c r="P1687" s="90">
        <v>-1410</v>
      </c>
      <c r="Q1687" s="91">
        <v>0</v>
      </c>
      <c r="R1687" s="91">
        <v>-835</v>
      </c>
      <c r="S1687" s="91">
        <v>0</v>
      </c>
      <c r="T1687" s="91">
        <v>0</v>
      </c>
      <c r="U1687" s="130">
        <f t="shared" ref="U1687:U1696" si="1286">SUM(Q1687:T1687)</f>
        <v>-835</v>
      </c>
      <c r="V1687" s="91">
        <v>220</v>
      </c>
      <c r="W1687" s="91">
        <v>-1796</v>
      </c>
      <c r="X1687" s="91">
        <v>-866</v>
      </c>
      <c r="Y1687" s="113"/>
      <c r="Z1687" s="113"/>
      <c r="AA1687" s="113"/>
      <c r="AB1687" s="113"/>
      <c r="AC1687" s="113"/>
      <c r="AD1687" s="113"/>
      <c r="AE1687" s="113"/>
      <c r="AF1687" s="113"/>
      <c r="AG1687" s="113"/>
      <c r="AH1687" s="113"/>
      <c r="AI1687" s="113"/>
      <c r="AJ1687" s="223"/>
      <c r="AK1687" s="223"/>
      <c r="AL1687" s="322"/>
      <c r="AM1687" s="322"/>
      <c r="AN1687" s="322"/>
      <c r="AO1687" s="322"/>
      <c r="AP1687" s="322"/>
      <c r="AQ1687" s="322"/>
      <c r="AR1687" s="322"/>
      <c r="AS1687" s="322"/>
      <c r="AT1687" s="322"/>
      <c r="AU1687" s="322"/>
      <c r="AV1687" s="322"/>
      <c r="AW1687" s="322"/>
      <c r="AX1687" s="322"/>
      <c r="AY1687" s="322"/>
      <c r="AZ1687" s="322"/>
      <c r="BA1687" s="322"/>
      <c r="BB1687" s="322"/>
    </row>
    <row r="1688" spans="1:54" s="83" customFormat="1">
      <c r="D1688" s="327" t="s">
        <v>91</v>
      </c>
      <c r="E1688" s="327"/>
      <c r="G1688" s="90">
        <v>-355</v>
      </c>
      <c r="H1688" s="90">
        <v>-381</v>
      </c>
      <c r="I1688" s="90">
        <v>-455</v>
      </c>
      <c r="J1688" s="90">
        <v>-571</v>
      </c>
      <c r="K1688" s="90">
        <v>-495</v>
      </c>
      <c r="L1688" s="91">
        <v>-134</v>
      </c>
      <c r="M1688" s="91">
        <v>-75</v>
      </c>
      <c r="N1688" s="91">
        <v>-140</v>
      </c>
      <c r="O1688" s="91">
        <v>-81</v>
      </c>
      <c r="P1688" s="90">
        <v>-407</v>
      </c>
      <c r="Q1688" s="91">
        <v>-110</v>
      </c>
      <c r="R1688" s="91">
        <v>-101</v>
      </c>
      <c r="S1688" s="91">
        <v>-104</v>
      </c>
      <c r="T1688" s="91">
        <v>-71</v>
      </c>
      <c r="U1688" s="130">
        <f t="shared" si="1286"/>
        <v>-386</v>
      </c>
      <c r="V1688" s="91">
        <v>-109</v>
      </c>
      <c r="W1688" s="91">
        <v>-78</v>
      </c>
      <c r="X1688" s="91">
        <v>-104</v>
      </c>
      <c r="Y1688" s="113"/>
      <c r="Z1688" s="113"/>
      <c r="AA1688" s="113"/>
      <c r="AB1688" s="113"/>
      <c r="AC1688" s="113"/>
      <c r="AD1688" s="113"/>
      <c r="AE1688" s="113"/>
      <c r="AF1688" s="113"/>
      <c r="AG1688" s="113"/>
      <c r="AH1688" s="113"/>
      <c r="AI1688" s="113"/>
      <c r="AJ1688" s="223"/>
      <c r="AK1688" s="223"/>
      <c r="AL1688" s="322"/>
      <c r="AM1688" s="322"/>
      <c r="AN1688" s="322"/>
      <c r="AO1688" s="322"/>
      <c r="AP1688" s="322"/>
      <c r="AQ1688" s="322"/>
      <c r="AR1688" s="322"/>
      <c r="AS1688" s="322"/>
      <c r="AT1688" s="322"/>
      <c r="AU1688" s="322"/>
      <c r="AV1688" s="322"/>
      <c r="AW1688" s="322"/>
      <c r="AX1688" s="322"/>
      <c r="AY1688" s="322"/>
      <c r="AZ1688" s="322"/>
      <c r="BA1688" s="322"/>
      <c r="BB1688" s="322"/>
    </row>
    <row r="1689" spans="1:54" s="83" customFormat="1">
      <c r="D1689" s="327" t="s">
        <v>92</v>
      </c>
      <c r="E1689" s="327"/>
      <c r="G1689" s="90">
        <v>1</v>
      </c>
      <c r="H1689" s="90">
        <v>0</v>
      </c>
      <c r="I1689" s="90">
        <v>0</v>
      </c>
      <c r="J1689" s="90">
        <v>8</v>
      </c>
      <c r="K1689" s="90">
        <v>26</v>
      </c>
      <c r="L1689" s="91">
        <v>28</v>
      </c>
      <c r="M1689" s="91">
        <v>17</v>
      </c>
      <c r="N1689" s="91">
        <v>4</v>
      </c>
      <c r="O1689" s="91">
        <v>5</v>
      </c>
      <c r="P1689" s="90">
        <v>54</v>
      </c>
      <c r="Q1689" s="91">
        <v>6</v>
      </c>
      <c r="R1689" s="91">
        <v>2</v>
      </c>
      <c r="S1689" s="91">
        <v>2</v>
      </c>
      <c r="T1689" s="91">
        <v>0</v>
      </c>
      <c r="U1689" s="130">
        <f t="shared" si="1286"/>
        <v>10</v>
      </c>
      <c r="V1689" s="91">
        <v>0</v>
      </c>
      <c r="W1689" s="91">
        <v>0</v>
      </c>
      <c r="X1689" s="91">
        <v>0</v>
      </c>
      <c r="Y1689" s="113"/>
      <c r="Z1689" s="113"/>
      <c r="AA1689" s="113"/>
      <c r="AB1689" s="113"/>
      <c r="AC1689" s="113"/>
      <c r="AD1689" s="113"/>
      <c r="AE1689" s="113"/>
      <c r="AF1689" s="113"/>
      <c r="AG1689" s="113"/>
      <c r="AH1689" s="113"/>
      <c r="AI1689" s="113"/>
      <c r="AJ1689" s="223"/>
      <c r="AK1689" s="223"/>
      <c r="AL1689" s="322"/>
      <c r="AM1689" s="322"/>
      <c r="AN1689" s="322"/>
      <c r="AO1689" s="322"/>
      <c r="AP1689" s="322"/>
      <c r="AQ1689" s="322"/>
      <c r="AR1689" s="322"/>
      <c r="AS1689" s="322"/>
      <c r="AT1689" s="322"/>
      <c r="AU1689" s="322"/>
      <c r="AV1689" s="322"/>
      <c r="AW1689" s="322"/>
      <c r="AX1689" s="322"/>
      <c r="AY1689" s="322"/>
      <c r="AZ1689" s="322"/>
      <c r="BA1689" s="322"/>
      <c r="BB1689" s="322"/>
    </row>
    <row r="1690" spans="1:54" s="83" customFormat="1">
      <c r="D1690" s="327" t="s">
        <v>93</v>
      </c>
      <c r="E1690" s="327"/>
      <c r="G1690" s="90">
        <v>-176</v>
      </c>
      <c r="H1690" s="90">
        <v>-5</v>
      </c>
      <c r="I1690" s="90">
        <v>0</v>
      </c>
      <c r="J1690" s="90">
        <v>0</v>
      </c>
      <c r="K1690" s="90">
        <v>-175</v>
      </c>
      <c r="L1690" s="91">
        <v>-58</v>
      </c>
      <c r="M1690" s="91">
        <v>0</v>
      </c>
      <c r="N1690" s="91">
        <v>0</v>
      </c>
      <c r="O1690" s="91">
        <v>-131</v>
      </c>
      <c r="P1690" s="90">
        <v>-189</v>
      </c>
      <c r="Q1690" s="91">
        <v>-180</v>
      </c>
      <c r="R1690" s="91">
        <v>-153</v>
      </c>
      <c r="S1690" s="91">
        <v>-180</v>
      </c>
      <c r="T1690" s="91">
        <v>-148</v>
      </c>
      <c r="U1690" s="130">
        <f t="shared" si="1286"/>
        <v>-661</v>
      </c>
      <c r="V1690" s="91">
        <v>-207</v>
      </c>
      <c r="W1690" s="91">
        <v>0</v>
      </c>
      <c r="X1690" s="91" t="s">
        <v>346</v>
      </c>
      <c r="Y1690" s="113"/>
      <c r="Z1690" s="113"/>
      <c r="AA1690" s="113"/>
      <c r="AB1690" s="113"/>
      <c r="AC1690" s="113"/>
      <c r="AD1690" s="113"/>
      <c r="AE1690" s="113"/>
      <c r="AF1690" s="113"/>
      <c r="AG1690" s="113"/>
      <c r="AH1690" s="113"/>
      <c r="AI1690" s="113"/>
      <c r="AJ1690" s="223"/>
      <c r="AK1690" s="223"/>
      <c r="AL1690" s="322"/>
      <c r="AM1690" s="322"/>
      <c r="AN1690" s="322"/>
      <c r="AO1690" s="322"/>
      <c r="AP1690" s="322"/>
      <c r="AQ1690" s="322"/>
      <c r="AR1690" s="322"/>
      <c r="AS1690" s="322"/>
      <c r="AT1690" s="322"/>
      <c r="AU1690" s="322"/>
      <c r="AV1690" s="322"/>
      <c r="AW1690" s="322"/>
      <c r="AX1690" s="322"/>
      <c r="AY1690" s="322"/>
      <c r="AZ1690" s="322"/>
      <c r="BA1690" s="322"/>
      <c r="BB1690" s="322"/>
    </row>
    <row r="1691" spans="1:54" s="83" customFormat="1">
      <c r="D1691" s="327" t="s">
        <v>94</v>
      </c>
      <c r="E1691" s="327"/>
      <c r="G1691" s="90">
        <v>-521</v>
      </c>
      <c r="H1691" s="90">
        <v>-518</v>
      </c>
      <c r="I1691" s="90">
        <v>-374</v>
      </c>
      <c r="J1691" s="90">
        <v>-58</v>
      </c>
      <c r="K1691" s="90">
        <v>-344</v>
      </c>
      <c r="L1691" s="91">
        <v>-29</v>
      </c>
      <c r="M1691" s="91">
        <v>-28</v>
      </c>
      <c r="N1691" s="91">
        <v>-29</v>
      </c>
      <c r="O1691" s="91">
        <v>-86</v>
      </c>
      <c r="P1691" s="90">
        <v>-172</v>
      </c>
      <c r="Q1691" s="91">
        <v>-28</v>
      </c>
      <c r="R1691" s="91">
        <v>-28</v>
      </c>
      <c r="S1691" s="91">
        <v>-28</v>
      </c>
      <c r="T1691" s="91">
        <v>-27</v>
      </c>
      <c r="U1691" s="130">
        <f t="shared" si="1286"/>
        <v>-111</v>
      </c>
      <c r="V1691" s="91">
        <v>-27</v>
      </c>
      <c r="W1691" s="91">
        <v>-26</v>
      </c>
      <c r="X1691" s="91" t="s">
        <v>965</v>
      </c>
      <c r="Y1691" s="208"/>
      <c r="Z1691" s="208" t="e">
        <f ca="1">Z1469</f>
        <v>#VALUE!</v>
      </c>
      <c r="AA1691" s="208"/>
      <c r="AB1691" s="208"/>
      <c r="AC1691" s="208"/>
      <c r="AD1691" s="208"/>
      <c r="AE1691" s="208">
        <f ca="1">AE1469</f>
        <v>120.09028706647588</v>
      </c>
      <c r="AF1691" s="208">
        <f ca="1">AF1469</f>
        <v>112.61479012061891</v>
      </c>
      <c r="AG1691" s="113"/>
      <c r="AH1691" s="113"/>
      <c r="AI1691" s="113"/>
      <c r="AJ1691" s="223"/>
      <c r="AK1691" s="223"/>
      <c r="AL1691" s="322"/>
      <c r="AM1691" s="322"/>
      <c r="AN1691" s="322"/>
      <c r="AO1691" s="322"/>
      <c r="AP1691" s="322"/>
      <c r="AQ1691" s="322"/>
      <c r="AR1691" s="322"/>
      <c r="AS1691" s="322"/>
      <c r="AT1691" s="322"/>
      <c r="AU1691" s="322"/>
      <c r="AV1691" s="322"/>
      <c r="AW1691" s="322"/>
      <c r="AX1691" s="322"/>
      <c r="AY1691" s="322"/>
      <c r="AZ1691" s="322"/>
      <c r="BA1691" s="322"/>
      <c r="BB1691" s="322"/>
    </row>
    <row r="1692" spans="1:54" s="83" customFormat="1">
      <c r="D1692" s="327" t="s">
        <v>95</v>
      </c>
      <c r="E1692" s="327"/>
      <c r="G1692" s="90">
        <v>-38</v>
      </c>
      <c r="H1692" s="90">
        <v>-23</v>
      </c>
      <c r="I1692" s="90">
        <v>-27</v>
      </c>
      <c r="J1692" s="90">
        <v>-21</v>
      </c>
      <c r="K1692" s="90">
        <v>-56</v>
      </c>
      <c r="L1692" s="91">
        <v>-12</v>
      </c>
      <c r="M1692" s="91">
        <v>-10</v>
      </c>
      <c r="N1692" s="91">
        <v>-9</v>
      </c>
      <c r="O1692" s="91">
        <v>-9</v>
      </c>
      <c r="P1692" s="90">
        <v>-40</v>
      </c>
      <c r="Q1692" s="91">
        <v>-6</v>
      </c>
      <c r="R1692" s="91">
        <v>-9</v>
      </c>
      <c r="S1692" s="91">
        <v>-6</v>
      </c>
      <c r="T1692" s="91">
        <v>-5</v>
      </c>
      <c r="U1692" s="130">
        <f t="shared" si="1286"/>
        <v>-26</v>
      </c>
      <c r="V1692" s="91">
        <v>1</v>
      </c>
      <c r="W1692" s="91">
        <v>-1</v>
      </c>
      <c r="X1692" s="91" t="s">
        <v>346</v>
      </c>
      <c r="Y1692" s="113"/>
      <c r="Z1692" s="113"/>
      <c r="AA1692" s="113"/>
      <c r="AB1692" s="113"/>
      <c r="AC1692" s="113"/>
      <c r="AD1692" s="113"/>
      <c r="AE1692" s="113"/>
      <c r="AF1692" s="113"/>
      <c r="AG1692" s="113"/>
      <c r="AH1692" s="113"/>
      <c r="AI1692" s="113"/>
      <c r="AJ1692" s="223"/>
      <c r="AK1692" s="223"/>
      <c r="AL1692" s="322"/>
      <c r="AM1692" s="322"/>
      <c r="AN1692" s="322"/>
      <c r="AO1692" s="322"/>
      <c r="AP1692" s="322"/>
      <c r="AQ1692" s="322"/>
      <c r="AR1692" s="322"/>
      <c r="AS1692" s="322"/>
      <c r="AT1692" s="322"/>
      <c r="AU1692" s="322"/>
      <c r="AV1692" s="322"/>
      <c r="AW1692" s="322"/>
      <c r="AX1692" s="322"/>
      <c r="AY1692" s="322"/>
      <c r="AZ1692" s="322"/>
      <c r="BA1692" s="322"/>
      <c r="BB1692" s="322"/>
    </row>
    <row r="1693" spans="1:54" s="83" customFormat="1">
      <c r="D1693" s="327" t="s">
        <v>77</v>
      </c>
      <c r="E1693" s="327"/>
      <c r="G1693" s="90"/>
      <c r="H1693" s="90"/>
      <c r="I1693" s="90"/>
      <c r="J1693" s="90"/>
      <c r="K1693" s="90"/>
      <c r="L1693" s="91">
        <f>L1694-L1686-L1687-L1688-L1689-L1690-L1691-L1692</f>
        <v>-8</v>
      </c>
      <c r="M1693" s="91">
        <f>M1694-M1686-M1687-M1688-M1689-M1690-M1691-M1692</f>
        <v>-8</v>
      </c>
      <c r="N1693" s="91">
        <f>N1694-N1686-N1687-N1688-N1689-N1690-N1691-N1692</f>
        <v>-5</v>
      </c>
      <c r="O1693" s="91">
        <f>O1694-O1686-O1687-O1688-O1689-O1690-O1691-O1692</f>
        <v>-11</v>
      </c>
      <c r="P1693" s="90">
        <f>P1694-P1687-P1688-P1689-P1690-P1691-P1692</f>
        <v>0</v>
      </c>
      <c r="Q1693" s="91">
        <f>Q1694-Q1686-Q1687-Q1688-Q1689-Q1690-Q1691-Q1692</f>
        <v>1246</v>
      </c>
      <c r="R1693" s="91">
        <f>R1694-R1686-R1687-R1688-R1689-R1690-R1691-R1692</f>
        <v>-78</v>
      </c>
      <c r="S1693" s="91">
        <f>S1694-S1686-S1687-S1688-S1689-S1690-S1691-S1692</f>
        <v>332</v>
      </c>
      <c r="T1693" s="91">
        <f>T1694-T1686-T1687-T1688-T1689-T1690-T1691-T1692</f>
        <v>-28</v>
      </c>
      <c r="U1693" s="130">
        <f t="shared" si="1286"/>
        <v>1472</v>
      </c>
      <c r="V1693" s="91">
        <f>V1694-V1686-V1687-V1688-V1689-V1690-V1691-V1692</f>
        <v>-50</v>
      </c>
      <c r="W1693" s="91">
        <f>W1694-W1686-W1687-W1688-W1689-W1690-W1691-W1692</f>
        <v>-17</v>
      </c>
      <c r="X1693" s="91"/>
      <c r="Y1693" s="113"/>
      <c r="Z1693" s="113"/>
      <c r="AA1693" s="113"/>
      <c r="AB1693" s="113"/>
      <c r="AC1693" s="113"/>
      <c r="AD1693" s="113"/>
      <c r="AE1693" s="113"/>
      <c r="AF1693" s="113"/>
      <c r="AG1693" s="113"/>
      <c r="AH1693" s="113"/>
      <c r="AI1693" s="113"/>
      <c r="AJ1693" s="223"/>
      <c r="AK1693" s="223"/>
      <c r="AL1693" s="322"/>
      <c r="AM1693" s="322"/>
      <c r="AN1693" s="322"/>
      <c r="AO1693" s="322"/>
      <c r="AP1693" s="322"/>
      <c r="AQ1693" s="322"/>
      <c r="AR1693" s="322"/>
      <c r="AS1693" s="322"/>
      <c r="AT1693" s="322"/>
      <c r="AU1693" s="322"/>
      <c r="AV1693" s="322"/>
      <c r="AW1693" s="322"/>
      <c r="AX1693" s="322"/>
      <c r="AY1693" s="322"/>
      <c r="AZ1693" s="322"/>
      <c r="BA1693" s="322"/>
      <c r="BB1693" s="322"/>
    </row>
    <row r="1694" spans="1:54" s="83" customFormat="1">
      <c r="D1694" s="132" t="s">
        <v>96</v>
      </c>
      <c r="E1694" s="132"/>
      <c r="F1694" s="135"/>
      <c r="G1694" s="184">
        <v>-1128</v>
      </c>
      <c r="H1694" s="184">
        <v>-985</v>
      </c>
      <c r="I1694" s="184">
        <v>-1304</v>
      </c>
      <c r="J1694" s="184">
        <v>-1635</v>
      </c>
      <c r="K1694" s="184">
        <v>-2973</v>
      </c>
      <c r="L1694" s="106">
        <v>-241</v>
      </c>
      <c r="M1694" s="106">
        <v>-104</v>
      </c>
      <c r="N1694" s="106">
        <v>-1506</v>
      </c>
      <c r="O1694" s="106">
        <v>-313</v>
      </c>
      <c r="P1694" s="184">
        <v>-2164</v>
      </c>
      <c r="Q1694" s="106">
        <v>928</v>
      </c>
      <c r="R1694" s="106">
        <v>-1202</v>
      </c>
      <c r="S1694" s="106">
        <v>16</v>
      </c>
      <c r="T1694" s="106">
        <v>-279</v>
      </c>
      <c r="U1694" s="130">
        <f t="shared" si="1286"/>
        <v>-537</v>
      </c>
      <c r="V1694" s="106">
        <v>-172</v>
      </c>
      <c r="W1694" s="106">
        <v>766</v>
      </c>
      <c r="X1694" s="106">
        <v>368</v>
      </c>
      <c r="Y1694" s="394"/>
      <c r="Z1694" s="394"/>
      <c r="AA1694" s="394"/>
      <c r="AB1694" s="394"/>
      <c r="AC1694" s="394"/>
      <c r="AD1694" s="394"/>
      <c r="AE1694" s="394"/>
      <c r="AF1694" s="394"/>
      <c r="AG1694" s="394"/>
      <c r="AH1694" s="394"/>
      <c r="AI1694" s="394"/>
      <c r="AJ1694" s="223"/>
      <c r="AK1694" s="223"/>
      <c r="AL1694" s="322"/>
      <c r="AM1694" s="322"/>
      <c r="AN1694" s="322"/>
      <c r="AO1694" s="322"/>
      <c r="AP1694" s="322"/>
      <c r="AQ1694" s="322"/>
      <c r="AR1694" s="322"/>
      <c r="AS1694" s="322"/>
      <c r="AT1694" s="322"/>
      <c r="AU1694" s="322"/>
      <c r="AV1694" s="322"/>
      <c r="AW1694" s="322"/>
      <c r="AX1694" s="322"/>
      <c r="AY1694" s="322"/>
      <c r="AZ1694" s="322"/>
      <c r="BA1694" s="322"/>
      <c r="BB1694" s="322"/>
    </row>
    <row r="1695" spans="1:54" s="83" customFormat="1">
      <c r="D1695" s="327" t="s">
        <v>97</v>
      </c>
      <c r="E1695" s="327"/>
      <c r="G1695" s="90">
        <v>180</v>
      </c>
      <c r="H1695" s="90">
        <v>187</v>
      </c>
      <c r="I1695" s="90">
        <v>304</v>
      </c>
      <c r="J1695" s="90">
        <v>-64</v>
      </c>
      <c r="K1695" s="90">
        <v>-49</v>
      </c>
      <c r="L1695" s="91">
        <v>26</v>
      </c>
      <c r="M1695" s="91">
        <v>28</v>
      </c>
      <c r="N1695" s="91">
        <v>-26</v>
      </c>
      <c r="O1695" s="91">
        <v>85</v>
      </c>
      <c r="P1695" s="90">
        <v>113</v>
      </c>
      <c r="Q1695" s="91">
        <v>-36</v>
      </c>
      <c r="R1695" s="91">
        <v>-51</v>
      </c>
      <c r="S1695" s="91">
        <v>18</v>
      </c>
      <c r="T1695" s="91">
        <v>-20</v>
      </c>
      <c r="U1695" s="130">
        <f t="shared" si="1286"/>
        <v>-89</v>
      </c>
      <c r="V1695" s="91">
        <v>44</v>
      </c>
      <c r="W1695" s="91">
        <v>-17</v>
      </c>
      <c r="X1695" s="91">
        <v>-6</v>
      </c>
      <c r="Y1695" s="113"/>
      <c r="Z1695" s="113"/>
      <c r="AA1695" s="113"/>
      <c r="AB1695" s="113"/>
      <c r="AC1695" s="113"/>
      <c r="AD1695" s="113"/>
      <c r="AE1695" s="113"/>
      <c r="AF1695" s="113"/>
      <c r="AG1695" s="113"/>
      <c r="AH1695" s="113"/>
      <c r="AI1695" s="113"/>
      <c r="AJ1695" s="113"/>
      <c r="AK1695" s="223"/>
      <c r="AL1695" s="322"/>
      <c r="AM1695" s="322"/>
      <c r="AN1695" s="322"/>
      <c r="AO1695" s="322"/>
      <c r="AP1695" s="322"/>
      <c r="AQ1695" s="322"/>
      <c r="AR1695" s="322"/>
      <c r="AS1695" s="322"/>
      <c r="AT1695" s="322"/>
      <c r="AU1695" s="322"/>
      <c r="AV1695" s="322"/>
      <c r="AW1695" s="322"/>
      <c r="AX1695" s="322"/>
      <c r="AY1695" s="322"/>
      <c r="AZ1695" s="322"/>
      <c r="BA1695" s="322"/>
      <c r="BB1695" s="322"/>
    </row>
    <row r="1696" spans="1:54" s="83" customFormat="1">
      <c r="D1696" s="343" t="s">
        <v>98</v>
      </c>
      <c r="E1696" s="343"/>
      <c r="G1696" s="321">
        <v>-495</v>
      </c>
      <c r="H1696" s="321">
        <v>-743</v>
      </c>
      <c r="I1696" s="321">
        <v>-142</v>
      </c>
      <c r="J1696" s="321">
        <v>-480</v>
      </c>
      <c r="K1696" s="321">
        <v>-455</v>
      </c>
      <c r="L1696" s="314">
        <v>257</v>
      </c>
      <c r="M1696" s="314">
        <f>M1698-M1697</f>
        <v>422</v>
      </c>
      <c r="N1696" s="314">
        <v>-148</v>
      </c>
      <c r="O1696" s="314">
        <v>251</v>
      </c>
      <c r="P1696" s="321">
        <v>782</v>
      </c>
      <c r="Q1696" s="314">
        <v>712</v>
      </c>
      <c r="R1696" s="314">
        <f>R1698-R1697</f>
        <v>-917</v>
      </c>
      <c r="S1696" s="314">
        <v>90</v>
      </c>
      <c r="T1696" s="314">
        <v>-593</v>
      </c>
      <c r="U1696" s="130">
        <f t="shared" si="1286"/>
        <v>-708</v>
      </c>
      <c r="V1696" s="314">
        <v>-807</v>
      </c>
      <c r="W1696" s="314">
        <v>117</v>
      </c>
      <c r="X1696" s="314">
        <v>67</v>
      </c>
      <c r="Y1696" s="223"/>
      <c r="Z1696" s="223"/>
      <c r="AA1696" s="223"/>
      <c r="AB1696" s="223"/>
      <c r="AC1696" s="223"/>
      <c r="AD1696" s="223"/>
      <c r="AE1696" s="223"/>
      <c r="AF1696" s="223"/>
      <c r="AG1696" s="223"/>
      <c r="AH1696" s="223"/>
      <c r="AI1696" s="223"/>
      <c r="AJ1696" s="223"/>
      <c r="AK1696" s="223"/>
      <c r="AL1696" s="322"/>
      <c r="AM1696" s="322"/>
      <c r="AN1696" s="322"/>
      <c r="AO1696" s="322"/>
      <c r="AP1696" s="322"/>
      <c r="AQ1696" s="322"/>
      <c r="AR1696" s="322"/>
      <c r="AS1696" s="322"/>
      <c r="AT1696" s="322"/>
      <c r="AU1696" s="322"/>
      <c r="AV1696" s="322"/>
      <c r="AW1696" s="322"/>
      <c r="AX1696" s="322"/>
      <c r="AY1696" s="322"/>
      <c r="AZ1696" s="322"/>
      <c r="BA1696" s="322"/>
      <c r="BB1696" s="322"/>
    </row>
    <row r="1697" spans="4:77" s="83" customFormat="1">
      <c r="D1697" s="343" t="s">
        <v>99</v>
      </c>
      <c r="E1697" s="343"/>
      <c r="G1697" s="321">
        <v>3267</v>
      </c>
      <c r="H1697" s="321">
        <v>2772</v>
      </c>
      <c r="I1697" s="321">
        <v>2029</v>
      </c>
      <c r="J1697" s="321">
        <v>1887</v>
      </c>
      <c r="K1697" s="321">
        <v>1407</v>
      </c>
      <c r="L1697" s="314">
        <v>952</v>
      </c>
      <c r="M1697" s="314">
        <v>1209</v>
      </c>
      <c r="N1697" s="314">
        <v>1631</v>
      </c>
      <c r="O1697" s="314">
        <v>1483</v>
      </c>
      <c r="P1697" s="321">
        <v>952</v>
      </c>
      <c r="Q1697" s="252">
        <v>1734</v>
      </c>
      <c r="R1697" s="252">
        <v>2446</v>
      </c>
      <c r="S1697" s="314">
        <v>1529</v>
      </c>
      <c r="T1697" s="314">
        <v>1619</v>
      </c>
      <c r="U1697" s="321">
        <v>1734</v>
      </c>
      <c r="V1697" s="252">
        <v>1026</v>
      </c>
      <c r="W1697" s="252">
        <v>219</v>
      </c>
      <c r="X1697" s="252">
        <v>336</v>
      </c>
      <c r="Y1697" s="223"/>
      <c r="Z1697" s="223"/>
      <c r="AA1697" s="223"/>
      <c r="AB1697" s="223"/>
      <c r="AC1697" s="223"/>
      <c r="AD1697" s="223"/>
      <c r="AE1697" s="223"/>
      <c r="AF1697" s="223"/>
      <c r="AG1697" s="223"/>
      <c r="AH1697" s="223"/>
      <c r="AI1697" s="223"/>
      <c r="AJ1697" s="223"/>
      <c r="AK1697" s="223"/>
      <c r="AL1697" s="322"/>
      <c r="AM1697" s="322"/>
      <c r="AN1697" s="322"/>
      <c r="AO1697" s="322"/>
      <c r="AP1697" s="322"/>
      <c r="AQ1697" s="322"/>
      <c r="AR1697" s="322"/>
      <c r="AS1697" s="322"/>
      <c r="AT1697" s="322"/>
      <c r="AU1697" s="322"/>
      <c r="AV1697" s="322"/>
      <c r="AW1697" s="322"/>
      <c r="AX1697" s="322"/>
      <c r="AY1697" s="322"/>
      <c r="AZ1697" s="322"/>
      <c r="BA1697" s="322"/>
      <c r="BB1697" s="322"/>
    </row>
    <row r="1698" spans="4:77" s="83" customFormat="1">
      <c r="D1698" s="343" t="s">
        <v>100</v>
      </c>
      <c r="E1698" s="343"/>
      <c r="G1698" s="321">
        <v>2772</v>
      </c>
      <c r="H1698" s="321">
        <v>2029</v>
      </c>
      <c r="I1698" s="321">
        <v>1887</v>
      </c>
      <c r="J1698" s="321">
        <v>1407</v>
      </c>
      <c r="K1698" s="321">
        <v>952</v>
      </c>
      <c r="L1698" s="314">
        <v>1209</v>
      </c>
      <c r="M1698" s="314">
        <v>1631</v>
      </c>
      <c r="N1698" s="314">
        <v>1483</v>
      </c>
      <c r="O1698" s="314">
        <v>1734</v>
      </c>
      <c r="P1698" s="321">
        <v>1734</v>
      </c>
      <c r="Q1698" s="252">
        <v>2446</v>
      </c>
      <c r="R1698" s="252">
        <v>1529</v>
      </c>
      <c r="S1698" s="314">
        <v>1619</v>
      </c>
      <c r="T1698" s="314">
        <v>1026</v>
      </c>
      <c r="U1698" s="321">
        <v>1026</v>
      </c>
      <c r="V1698" s="252">
        <v>219</v>
      </c>
      <c r="W1698" s="252">
        <v>336</v>
      </c>
      <c r="X1698" s="252">
        <v>403</v>
      </c>
      <c r="Y1698" s="223"/>
      <c r="Z1698" s="223"/>
      <c r="AA1698" s="223"/>
      <c r="AB1698" s="223"/>
      <c r="AC1698" s="223"/>
      <c r="AD1698" s="223"/>
      <c r="AE1698" s="223"/>
      <c r="AF1698" s="223"/>
      <c r="AG1698" s="223"/>
      <c r="AH1698" s="223"/>
      <c r="AI1698" s="223"/>
      <c r="AJ1698" s="223"/>
      <c r="AK1698" s="223"/>
      <c r="AL1698" s="322"/>
      <c r="AM1698" s="322"/>
      <c r="AN1698" s="322"/>
      <c r="AO1698" s="322"/>
      <c r="AP1698" s="322"/>
      <c r="AQ1698" s="322"/>
      <c r="AR1698" s="322"/>
      <c r="AS1698" s="322"/>
      <c r="AT1698" s="322"/>
      <c r="AU1698" s="322"/>
      <c r="AV1698" s="322"/>
      <c r="AW1698" s="322"/>
      <c r="AX1698" s="322"/>
      <c r="AY1698" s="322"/>
      <c r="AZ1698" s="322"/>
      <c r="BA1698" s="322"/>
      <c r="BB1698" s="322"/>
    </row>
    <row r="1699" spans="4:77" s="83" customFormat="1">
      <c r="G1699" s="92"/>
      <c r="H1699" s="92"/>
      <c r="I1699" s="92"/>
      <c r="J1699" s="92"/>
      <c r="K1699" s="92"/>
      <c r="L1699" s="99"/>
      <c r="M1699" s="99"/>
      <c r="N1699" s="99"/>
      <c r="O1699" s="99"/>
      <c r="P1699" s="223"/>
      <c r="Q1699" s="99"/>
      <c r="R1699" s="99"/>
      <c r="S1699" s="99"/>
      <c r="T1699" s="99"/>
      <c r="U1699" s="223"/>
      <c r="V1699" s="99"/>
      <c r="W1699" s="99"/>
      <c r="X1699" s="99"/>
      <c r="Y1699" s="223"/>
      <c r="Z1699" s="223"/>
      <c r="AA1699" s="223"/>
      <c r="AB1699" s="223"/>
      <c r="AC1699" s="223"/>
      <c r="AD1699" s="223"/>
      <c r="AE1699" s="223"/>
      <c r="AF1699" s="223"/>
      <c r="AG1699" s="223"/>
      <c r="AH1699" s="223"/>
      <c r="AI1699" s="223"/>
      <c r="AJ1699" s="223"/>
      <c r="AK1699" s="223"/>
      <c r="AL1699" s="322"/>
      <c r="AM1699" s="322"/>
      <c r="AN1699" s="322"/>
      <c r="AO1699" s="322"/>
      <c r="AP1699" s="322"/>
      <c r="AQ1699" s="322"/>
      <c r="AR1699" s="322"/>
      <c r="AS1699" s="322"/>
      <c r="AT1699" s="322"/>
      <c r="AU1699" s="322"/>
      <c r="AV1699" s="322"/>
      <c r="AW1699" s="322"/>
      <c r="AX1699" s="322"/>
      <c r="AY1699" s="322"/>
      <c r="AZ1699" s="322"/>
      <c r="BA1699" s="322"/>
      <c r="BB1699" s="322"/>
    </row>
    <row r="1700" spans="4:77" s="83" customFormat="1">
      <c r="G1700" s="92"/>
      <c r="H1700" s="92"/>
      <c r="I1700" s="92"/>
      <c r="J1700" s="92"/>
      <c r="K1700" s="92"/>
      <c r="L1700" s="99"/>
      <c r="M1700" s="99"/>
      <c r="N1700" s="99"/>
      <c r="O1700" s="99"/>
      <c r="P1700" s="223"/>
      <c r="Q1700" s="99"/>
      <c r="R1700" s="99"/>
      <c r="S1700" s="99"/>
      <c r="T1700" s="99"/>
      <c r="U1700" s="223"/>
      <c r="V1700" s="99"/>
      <c r="W1700" s="99"/>
      <c r="X1700" s="99"/>
      <c r="Y1700" s="223"/>
      <c r="Z1700" s="223"/>
      <c r="AA1700" s="223"/>
      <c r="AB1700" s="223"/>
      <c r="AC1700" s="223"/>
      <c r="AD1700" s="223"/>
      <c r="AE1700" s="223"/>
      <c r="AF1700" s="223"/>
      <c r="AG1700" s="223"/>
      <c r="AH1700" s="223"/>
      <c r="AI1700" s="223"/>
      <c r="AJ1700" s="223"/>
      <c r="AK1700" s="223"/>
      <c r="AL1700" s="322"/>
      <c r="AM1700" s="322"/>
      <c r="AN1700" s="322"/>
      <c r="AO1700" s="322"/>
      <c r="AP1700" s="322"/>
      <c r="AQ1700" s="322"/>
      <c r="AR1700" s="322"/>
      <c r="AS1700" s="322"/>
      <c r="AT1700" s="322"/>
      <c r="AU1700" s="322"/>
      <c r="AV1700" s="1146">
        <f>_xll.BDP("CADUSD BGN Curncy","PR005")</f>
        <v>0.78180000000000005</v>
      </c>
      <c r="AW1700" s="322"/>
      <c r="AX1700" s="322"/>
      <c r="AY1700" s="322"/>
      <c r="AZ1700" s="322"/>
      <c r="BA1700" s="322"/>
      <c r="BB1700" s="322"/>
    </row>
    <row r="1701" spans="4:77" s="83" customFormat="1">
      <c r="G1701" s="92"/>
      <c r="H1701" s="92"/>
      <c r="I1701" s="92"/>
      <c r="J1701" s="92"/>
      <c r="K1701" s="92"/>
      <c r="L1701" s="92"/>
      <c r="M1701" s="92"/>
      <c r="N1701" s="92"/>
      <c r="O1701" s="92"/>
      <c r="P1701" s="223"/>
      <c r="Q1701" s="223"/>
      <c r="R1701" s="223"/>
      <c r="S1701" s="223"/>
      <c r="T1701" s="223"/>
      <c r="U1701" s="223"/>
      <c r="V1701" s="223"/>
      <c r="W1701" s="223"/>
      <c r="X1701" s="223"/>
      <c r="Y1701" s="223"/>
      <c r="Z1701" s="223"/>
      <c r="AA1701" s="223"/>
      <c r="AB1701" s="223"/>
      <c r="AC1701" s="223"/>
      <c r="AD1701" s="223"/>
      <c r="AE1701" s="223"/>
      <c r="AF1701" s="223"/>
      <c r="AG1701" s="223"/>
      <c r="AH1701" s="223"/>
      <c r="AI1701" s="223"/>
      <c r="AJ1701" s="223"/>
      <c r="AK1701" s="223"/>
      <c r="AL1701" s="322"/>
      <c r="AM1701" s="322"/>
      <c r="AN1701" s="322"/>
      <c r="AO1701" s="322"/>
      <c r="AP1701" s="322"/>
      <c r="AQ1701" s="322"/>
      <c r="AR1701" s="322"/>
      <c r="AS1701" s="322"/>
      <c r="AT1701" s="322"/>
      <c r="AU1701" s="322"/>
      <c r="AV1701" s="322"/>
      <c r="AW1701" s="322"/>
      <c r="AX1701" s="322"/>
      <c r="AY1701" s="322"/>
      <c r="AZ1701" s="322"/>
      <c r="BA1701" s="322"/>
      <c r="BB1701" s="322"/>
    </row>
    <row r="1702" spans="4:77" s="83" customFormat="1">
      <c r="G1702" s="92"/>
      <c r="H1702" s="92"/>
      <c r="I1702" s="92"/>
      <c r="J1702" s="92"/>
      <c r="K1702" s="92"/>
      <c r="L1702" s="92"/>
      <c r="M1702" s="92"/>
      <c r="N1702" s="92"/>
      <c r="O1702" s="92"/>
      <c r="P1702" s="223"/>
      <c r="Q1702" s="223"/>
      <c r="R1702" s="223"/>
      <c r="S1702" s="223"/>
      <c r="T1702" s="223"/>
      <c r="U1702" s="223"/>
      <c r="V1702" s="223"/>
      <c r="W1702" s="223"/>
      <c r="X1702" s="223"/>
      <c r="Y1702" s="223"/>
      <c r="Z1702" s="223"/>
      <c r="AA1702" s="223"/>
      <c r="AB1702" s="223"/>
      <c r="AC1702" s="223"/>
      <c r="AD1702" s="223"/>
      <c r="AE1702" s="223"/>
      <c r="AF1702" s="223"/>
      <c r="AG1702" s="223"/>
      <c r="AH1702" s="223"/>
      <c r="AI1702" s="223"/>
      <c r="AJ1702" s="223"/>
      <c r="AK1702" s="223"/>
      <c r="AL1702" s="322"/>
      <c r="AM1702" s="322"/>
      <c r="AN1702" s="322"/>
      <c r="AO1702" s="322"/>
      <c r="AP1702" s="322"/>
      <c r="AQ1702" s="322"/>
      <c r="AR1702" s="322"/>
      <c r="AS1702" s="322"/>
      <c r="AT1702" s="322"/>
      <c r="AU1702" s="322"/>
      <c r="AV1702" s="322"/>
      <c r="AW1702" s="322"/>
      <c r="AX1702" s="322"/>
      <c r="AY1702" s="322"/>
      <c r="AZ1702" s="322"/>
      <c r="BA1702" s="322"/>
      <c r="BB1702" s="322"/>
    </row>
    <row r="1703" spans="4:77" s="83" customFormat="1">
      <c r="G1703" s="92"/>
      <c r="H1703" s="92"/>
      <c r="I1703" s="92"/>
      <c r="J1703" s="92"/>
      <c r="K1703" s="92"/>
      <c r="L1703" s="92"/>
      <c r="M1703" s="92"/>
      <c r="N1703" s="92"/>
      <c r="O1703" s="92"/>
      <c r="P1703" s="223"/>
      <c r="Q1703" s="223"/>
      <c r="R1703" s="223"/>
      <c r="S1703" s="223"/>
      <c r="T1703" s="223"/>
      <c r="U1703" s="223"/>
      <c r="V1703" s="223"/>
      <c r="W1703" s="223"/>
      <c r="X1703" s="223"/>
      <c r="Y1703" s="223"/>
      <c r="Z1703" s="223"/>
      <c r="AA1703" s="223"/>
      <c r="AB1703" s="223"/>
      <c r="AC1703" s="223"/>
      <c r="AD1703" s="223"/>
      <c r="AE1703" s="223"/>
      <c r="AF1703" s="223"/>
      <c r="AG1703" s="223"/>
      <c r="AH1703" s="223"/>
      <c r="AI1703" s="223"/>
      <c r="AJ1703" s="223"/>
      <c r="AK1703" s="223"/>
      <c r="AL1703" s="322"/>
      <c r="AM1703" s="322"/>
      <c r="AN1703" s="322"/>
      <c r="AO1703" s="322"/>
      <c r="AP1703" s="322"/>
      <c r="AQ1703" s="322"/>
      <c r="AR1703" s="322"/>
      <c r="AS1703" s="322"/>
      <c r="AT1703" s="322"/>
      <c r="AU1703" s="322"/>
      <c r="AV1703" s="322"/>
      <c r="AW1703" s="322"/>
      <c r="AX1703" s="322"/>
      <c r="AY1703" s="322"/>
      <c r="AZ1703" s="322"/>
      <c r="BA1703" s="322"/>
      <c r="BB1703" s="322"/>
    </row>
    <row r="1704" spans="4:77" s="83" customFormat="1" ht="20.5" thickBot="1">
      <c r="G1704" s="92"/>
      <c r="H1704" s="92"/>
      <c r="I1704" s="92"/>
      <c r="J1704" s="92"/>
      <c r="K1704" s="92"/>
      <c r="L1704" s="92"/>
      <c r="M1704" s="92"/>
      <c r="N1704" s="92"/>
      <c r="O1704" s="92"/>
      <c r="P1704" s="223"/>
      <c r="Q1704" s="223"/>
      <c r="R1704" s="223"/>
      <c r="S1704" s="223"/>
      <c r="T1704" s="223"/>
      <c r="U1704" s="223"/>
      <c r="V1704" s="223"/>
      <c r="W1704" s="223"/>
      <c r="X1704" s="223"/>
      <c r="Y1704" s="223"/>
      <c r="Z1704" s="223"/>
      <c r="AA1704" s="223"/>
      <c r="AB1704" s="223"/>
      <c r="AC1704" s="223"/>
      <c r="AD1704" s="223"/>
      <c r="AE1704" s="223"/>
      <c r="AF1704" s="223"/>
      <c r="AG1704" s="223"/>
      <c r="AH1704" s="223"/>
      <c r="AI1704" s="223"/>
      <c r="AJ1704" s="223"/>
      <c r="AK1704" s="223"/>
      <c r="AL1704" s="322"/>
      <c r="AM1704" s="322"/>
      <c r="AN1704" s="322"/>
      <c r="AO1704" s="322"/>
      <c r="AP1704" s="322"/>
      <c r="AQ1704" s="322"/>
      <c r="AR1704" s="322"/>
      <c r="AS1704" s="322"/>
      <c r="AT1704" s="322"/>
      <c r="AU1704" s="76"/>
      <c r="AV1704" s="76"/>
      <c r="AW1704" s="76"/>
      <c r="AX1704" s="505"/>
      <c r="AY1704" s="536" t="s">
        <v>953</v>
      </c>
      <c r="AZ1704" s="537"/>
      <c r="BA1704" s="537"/>
      <c r="BB1704" s="537"/>
      <c r="BC1704" s="537"/>
      <c r="BD1704" s="537"/>
      <c r="BE1704" s="537"/>
      <c r="BF1704" s="537"/>
      <c r="BG1704" s="537"/>
      <c r="BH1704" s="537"/>
      <c r="BI1704" s="537"/>
      <c r="BJ1704" s="505"/>
      <c r="BK1704" s="505"/>
      <c r="BL1704" s="505"/>
      <c r="BM1704" s="505"/>
      <c r="BN1704" s="505"/>
      <c r="BO1704" s="505"/>
      <c r="BP1704" s="505"/>
      <c r="BQ1704" s="505"/>
      <c r="BR1704" s="505"/>
      <c r="BS1704" s="505"/>
      <c r="BT1704" s="505"/>
      <c r="BU1704" s="76"/>
      <c r="BV1704" s="76"/>
      <c r="BW1704" s="76"/>
      <c r="BX1704" s="76"/>
      <c r="BY1704" s="76"/>
    </row>
    <row r="1705" spans="4:77" ht="20">
      <c r="G1705" s="323"/>
      <c r="H1705" s="323"/>
      <c r="I1705" s="323"/>
      <c r="J1705" s="323"/>
      <c r="K1705" s="323"/>
      <c r="L1705" s="323"/>
      <c r="M1705" s="323"/>
      <c r="N1705" s="323"/>
      <c r="O1705" s="323"/>
      <c r="P1705" s="223"/>
      <c r="Q1705" s="223"/>
      <c r="R1705" s="223"/>
      <c r="S1705" s="223"/>
      <c r="T1705" s="223"/>
      <c r="U1705" s="223"/>
      <c r="V1705" s="223"/>
      <c r="W1705" s="223"/>
      <c r="X1705" s="223"/>
      <c r="Y1705" s="223"/>
      <c r="Z1705" s="223"/>
      <c r="AA1705" s="223"/>
      <c r="AB1705" s="223"/>
      <c r="AC1705" s="223"/>
      <c r="AD1705" s="223"/>
      <c r="AE1705" s="223"/>
      <c r="AF1705" s="223"/>
      <c r="AG1705" s="223"/>
      <c r="AH1705" s="223"/>
      <c r="AI1705" s="223"/>
      <c r="AJ1705" s="223"/>
      <c r="AK1705" s="223"/>
      <c r="AL1705" s="322"/>
      <c r="AM1705" s="322"/>
      <c r="AN1705" s="322"/>
      <c r="AO1705" s="322"/>
      <c r="AP1705" s="322"/>
      <c r="AQ1705" s="322"/>
      <c r="AR1705" s="322"/>
      <c r="AS1705" s="322"/>
      <c r="AT1705" s="322"/>
      <c r="AU1705" s="491" t="s">
        <v>541</v>
      </c>
      <c r="AV1705" s="474"/>
      <c r="AW1705" s="474"/>
      <c r="AX1705" s="510"/>
      <c r="AY1705" s="530"/>
      <c r="AZ1705" s="530"/>
      <c r="BA1705" s="538"/>
      <c r="BB1705" s="1381" t="s">
        <v>955</v>
      </c>
      <c r="BC1705" s="1381"/>
      <c r="BD1705" s="1381"/>
      <c r="BE1705" s="1381"/>
      <c r="BF1705" s="1381"/>
      <c r="BG1705" s="538"/>
      <c r="BH1705" s="538"/>
      <c r="BI1705" s="530"/>
      <c r="BJ1705" s="510"/>
      <c r="BK1705" s="510"/>
      <c r="BL1705" s="510"/>
      <c r="BM1705" s="510"/>
      <c r="BN1705" s="510"/>
      <c r="BO1705" s="510"/>
      <c r="BP1705" s="510"/>
      <c r="BQ1705" s="510"/>
      <c r="BR1705" s="510"/>
      <c r="BS1705" s="510"/>
      <c r="BT1705" s="510"/>
      <c r="BU1705" s="474"/>
      <c r="BV1705" s="474"/>
      <c r="BW1705" s="474"/>
      <c r="BX1705" s="474"/>
      <c r="BY1705" s="474"/>
    </row>
    <row r="1706" spans="4:77" ht="20">
      <c r="P1706" s="322"/>
      <c r="Q1706" s="322"/>
      <c r="R1706" s="322"/>
      <c r="S1706" s="322"/>
      <c r="T1706" s="322"/>
      <c r="U1706" s="322"/>
      <c r="V1706" s="322"/>
      <c r="W1706" s="322"/>
      <c r="X1706" s="322"/>
      <c r="Y1706" s="322"/>
      <c r="Z1706" s="322"/>
      <c r="AA1706" s="322"/>
      <c r="AB1706" s="322"/>
      <c r="AC1706" s="322"/>
      <c r="AD1706" s="322"/>
      <c r="AE1706" s="322"/>
      <c r="AF1706" s="322"/>
      <c r="AG1706" s="322"/>
      <c r="AH1706" s="322"/>
      <c r="AI1706" s="322"/>
      <c r="AJ1706" s="322"/>
      <c r="AK1706" s="322"/>
      <c r="AL1706" s="322"/>
      <c r="AM1706" s="322"/>
      <c r="AN1706" s="322"/>
      <c r="AO1706" s="322"/>
      <c r="AP1706" s="322"/>
      <c r="AQ1706" s="322"/>
      <c r="AR1706" s="322"/>
      <c r="AS1706" s="322"/>
      <c r="AT1706" s="322"/>
      <c r="AU1706" s="476"/>
      <c r="AV1706" s="477"/>
      <c r="AW1706" s="477"/>
      <c r="AX1706" s="487"/>
      <c r="AY1706" s="539"/>
      <c r="AZ1706" s="540" t="s">
        <v>408</v>
      </c>
      <c r="BA1706" s="1149">
        <f>BA1707/$AV$1700</f>
        <v>127.90995139421847</v>
      </c>
      <c r="BB1706" s="1149">
        <f t="shared" ref="BB1706:BH1706" si="1287">BB1707/$AV$1700</f>
        <v>140.70094653364032</v>
      </c>
      <c r="BC1706" s="1149">
        <f t="shared" si="1287"/>
        <v>153.49194167306214</v>
      </c>
      <c r="BD1706" s="1149">
        <f t="shared" si="1287"/>
        <v>166.282936812484</v>
      </c>
      <c r="BE1706" s="1149">
        <f t="shared" si="1287"/>
        <v>179.07393195190585</v>
      </c>
      <c r="BF1706" s="1149">
        <f t="shared" si="1287"/>
        <v>191.8649270913277</v>
      </c>
      <c r="BG1706" s="1149">
        <f t="shared" si="1287"/>
        <v>204.65592223074955</v>
      </c>
      <c r="BH1706" s="1149">
        <f t="shared" si="1287"/>
        <v>217.44691737017138</v>
      </c>
      <c r="BI1706" s="541"/>
      <c r="BJ1706" s="487"/>
      <c r="BK1706" s="487"/>
      <c r="BL1706" s="487"/>
      <c r="BM1706" s="1384" t="s">
        <v>553</v>
      </c>
      <c r="BN1706" s="1384"/>
      <c r="BO1706" s="1384"/>
      <c r="BP1706" s="1384"/>
      <c r="BQ1706" s="1384"/>
      <c r="BR1706" s="487"/>
      <c r="BS1706" s="487"/>
      <c r="BT1706" s="487"/>
      <c r="BU1706" s="477"/>
      <c r="BV1706" s="477"/>
      <c r="BW1706" s="477"/>
      <c r="BX1706" s="477"/>
      <c r="BY1706" s="477"/>
    </row>
    <row r="1707" spans="4:77" ht="20">
      <c r="D1707" s="76" t="s">
        <v>42</v>
      </c>
      <c r="G1707" s="418" t="s">
        <v>33</v>
      </c>
      <c r="H1707" s="418" t="s">
        <v>34</v>
      </c>
      <c r="I1707" s="418" t="s">
        <v>35</v>
      </c>
      <c r="J1707" s="418" t="s">
        <v>36</v>
      </c>
      <c r="K1707" s="418" t="s">
        <v>37</v>
      </c>
      <c r="L1707" s="418"/>
      <c r="M1707" s="418"/>
      <c r="N1707" s="418"/>
      <c r="O1707" s="418"/>
      <c r="P1707" s="419" t="s">
        <v>38</v>
      </c>
      <c r="Q1707" s="419"/>
      <c r="R1707" s="419"/>
      <c r="S1707" s="419"/>
      <c r="T1707" s="419"/>
      <c r="U1707" s="322"/>
      <c r="V1707" s="322"/>
      <c r="W1707" s="322"/>
      <c r="X1707" s="322"/>
      <c r="Y1707" s="322"/>
      <c r="Z1707" s="322"/>
      <c r="AA1707" s="322"/>
      <c r="AB1707" s="322"/>
      <c r="AC1707" s="322"/>
      <c r="AD1707" s="322"/>
      <c r="AE1707" s="322"/>
      <c r="AF1707" s="322"/>
      <c r="AG1707" s="322"/>
      <c r="AH1707" s="322"/>
      <c r="AI1707" s="322"/>
      <c r="AJ1707" s="322"/>
      <c r="AK1707" s="322"/>
      <c r="AL1707" s="322"/>
      <c r="AM1707" s="322"/>
      <c r="AN1707" s="322"/>
      <c r="AO1707" s="322"/>
      <c r="AP1707" s="322"/>
      <c r="AQ1707" s="322"/>
      <c r="AR1707" s="322"/>
      <c r="AS1707" s="322"/>
      <c r="AT1707" s="322"/>
      <c r="AU1707" s="476"/>
      <c r="AV1707" s="477"/>
      <c r="AW1707" s="477"/>
      <c r="AX1707" s="487"/>
      <c r="AY1707" s="539"/>
      <c r="AZ1707" s="1149">
        <f ca="1">$AE$1297</f>
        <v>4784.8394472267319</v>
      </c>
      <c r="BA1707" s="1148">
        <v>100</v>
      </c>
      <c r="BB1707" s="1148">
        <v>110</v>
      </c>
      <c r="BC1707" s="1148">
        <v>120</v>
      </c>
      <c r="BD1707" s="1148">
        <v>130</v>
      </c>
      <c r="BE1707" s="1148">
        <v>140</v>
      </c>
      <c r="BF1707" s="1148">
        <v>150</v>
      </c>
      <c r="BG1707" s="1148">
        <v>160</v>
      </c>
      <c r="BH1707" s="1148">
        <v>170</v>
      </c>
      <c r="BI1707" s="542"/>
      <c r="BJ1707" s="487"/>
      <c r="BK1707" s="488">
        <f ca="1">AZ1707*AV1700</f>
        <v>3770.9319683593876</v>
      </c>
      <c r="BL1707" s="490">
        <f>BA1707</f>
        <v>100</v>
      </c>
      <c r="BM1707" s="490">
        <f t="shared" ref="BM1707:BS1707" si="1288">BB1707</f>
        <v>110</v>
      </c>
      <c r="BN1707" s="490">
        <f t="shared" si="1288"/>
        <v>120</v>
      </c>
      <c r="BO1707" s="490">
        <f t="shared" si="1288"/>
        <v>130</v>
      </c>
      <c r="BP1707" s="490">
        <f t="shared" si="1288"/>
        <v>140</v>
      </c>
      <c r="BQ1707" s="490">
        <f t="shared" si="1288"/>
        <v>150</v>
      </c>
      <c r="BR1707" s="490">
        <f t="shared" si="1288"/>
        <v>160</v>
      </c>
      <c r="BS1707" s="490">
        <f t="shared" si="1288"/>
        <v>170</v>
      </c>
      <c r="BT1707" s="487"/>
      <c r="BU1707" s="477"/>
      <c r="BV1707" s="477"/>
      <c r="BW1707" s="477"/>
      <c r="BX1707" s="477"/>
      <c r="BY1707" s="477"/>
    </row>
    <row r="1708" spans="4:77" ht="20">
      <c r="D1708" s="76" t="s">
        <v>102</v>
      </c>
      <c r="G1708" s="418" t="s">
        <v>1</v>
      </c>
      <c r="H1708" s="418" t="s">
        <v>2</v>
      </c>
      <c r="I1708" s="418" t="s">
        <v>3</v>
      </c>
      <c r="J1708" s="418" t="s">
        <v>4</v>
      </c>
      <c r="K1708" s="418" t="s">
        <v>5</v>
      </c>
      <c r="L1708" s="418"/>
      <c r="M1708" s="418"/>
      <c r="N1708" s="418"/>
      <c r="O1708" s="418"/>
      <c r="P1708" s="419" t="s">
        <v>6</v>
      </c>
      <c r="Q1708" s="419"/>
      <c r="R1708" s="419"/>
      <c r="S1708" s="419"/>
      <c r="T1708" s="419"/>
      <c r="U1708" s="322"/>
      <c r="V1708" s="322"/>
      <c r="W1708" s="322"/>
      <c r="X1708" s="322"/>
      <c r="Y1708" s="322"/>
      <c r="Z1708" s="322"/>
      <c r="AA1708" s="322"/>
      <c r="AB1708" s="322"/>
      <c r="AC1708" s="322"/>
      <c r="AD1708" s="322"/>
      <c r="AE1708" s="322"/>
      <c r="AF1708" s="322"/>
      <c r="AG1708" s="322"/>
      <c r="AH1708" s="322"/>
      <c r="AI1708" s="322"/>
      <c r="AJ1708" s="322"/>
      <c r="AK1708" s="322"/>
      <c r="AL1708" s="322"/>
      <c r="AM1708" s="322"/>
      <c r="AN1708" s="322"/>
      <c r="AO1708" s="322"/>
      <c r="AP1708" s="322"/>
      <c r="AQ1708" s="322"/>
      <c r="AR1708" s="322"/>
      <c r="AS1708" s="322"/>
      <c r="AT1708" s="322"/>
      <c r="AU1708" s="476"/>
      <c r="AV1708" s="477"/>
      <c r="AW1708" s="523">
        <f>AZ1708*0.75</f>
        <v>1.8375000000000001</v>
      </c>
      <c r="AX1708" s="487"/>
      <c r="AY1708" s="1151">
        <f>AZ1708/$AV$1700</f>
        <v>3.1337938091583526</v>
      </c>
      <c r="AZ1708" s="1147">
        <v>2.4500000000000002</v>
      </c>
      <c r="BA1708" s="1153">
        <f t="dataTable" ref="BA1708:BH1720" dt2D="1" dtr="1" r1="AE15" r2="AE16" ca="1"/>
        <v>4784.8394472267319</v>
      </c>
      <c r="BB1708" s="1153">
        <v>4784.8394472267319</v>
      </c>
      <c r="BC1708" s="1153">
        <v>4784.8394472267319</v>
      </c>
      <c r="BD1708" s="1154">
        <v>4784.8394472267319</v>
      </c>
      <c r="BE1708" s="1154">
        <v>4784.8394472267319</v>
      </c>
      <c r="BF1708" s="1154">
        <v>4784.8394472267319</v>
      </c>
      <c r="BG1708" s="1154">
        <v>4784.8394472267319</v>
      </c>
      <c r="BH1708" s="1154">
        <v>4784.8394472267319</v>
      </c>
      <c r="BI1708" s="541"/>
      <c r="BJ1708" s="487"/>
      <c r="BK1708" s="1150">
        <f>AZ1708</f>
        <v>2.4500000000000002</v>
      </c>
      <c r="BL1708" s="485" t="e">
        <f t="dataTable" ref="BL1708:BS1720" dt2D="1" dtr="1" del1="1" del2="1" r1="E11" r2="E13"/>
        <v>#REF!</v>
      </c>
      <c r="BM1708" s="485" t="e">
        <v>#REF!</v>
      </c>
      <c r="BN1708" s="485" t="e">
        <v>#REF!</v>
      </c>
      <c r="BO1708" s="485" t="e">
        <v>#REF!</v>
      </c>
      <c r="BP1708" s="485" t="e">
        <v>#REF!</v>
      </c>
      <c r="BQ1708" s="485" t="e">
        <v>#REF!</v>
      </c>
      <c r="BR1708" s="485" t="e">
        <v>#REF!</v>
      </c>
      <c r="BS1708" s="485" t="e">
        <v>#REF!</v>
      </c>
      <c r="BT1708" s="487"/>
      <c r="BU1708" s="477"/>
      <c r="BV1708" s="477"/>
      <c r="BW1708" s="477"/>
      <c r="BX1708" s="477"/>
      <c r="BY1708" s="477"/>
    </row>
    <row r="1709" spans="4:77" ht="20">
      <c r="D1709" s="76" t="s">
        <v>39</v>
      </c>
      <c r="G1709" s="418"/>
      <c r="H1709" s="418"/>
      <c r="I1709" s="418"/>
      <c r="J1709" s="418"/>
      <c r="K1709" s="418"/>
      <c r="L1709" s="418"/>
      <c r="M1709" s="418"/>
      <c r="N1709" s="418"/>
      <c r="O1709" s="418"/>
      <c r="P1709" s="419"/>
      <c r="Q1709" s="419"/>
      <c r="R1709" s="419"/>
      <c r="S1709" s="419"/>
      <c r="T1709" s="419"/>
      <c r="U1709" s="322"/>
      <c r="V1709" s="322"/>
      <c r="W1709" s="322"/>
      <c r="X1709" s="322"/>
      <c r="Y1709" s="322"/>
      <c r="Z1709" s="322"/>
      <c r="AA1709" s="322"/>
      <c r="AB1709" s="322"/>
      <c r="AC1709" s="322"/>
      <c r="AD1709" s="322"/>
      <c r="AE1709" s="322"/>
      <c r="AF1709" s="322"/>
      <c r="AG1709" s="322"/>
      <c r="AH1709" s="322"/>
      <c r="AI1709" s="322"/>
      <c r="AJ1709" s="322"/>
      <c r="AK1709" s="322"/>
      <c r="AL1709" s="322"/>
      <c r="AM1709" s="322"/>
      <c r="AN1709" s="322"/>
      <c r="AO1709" s="322"/>
      <c r="AP1709" s="322"/>
      <c r="AQ1709" s="322"/>
      <c r="AR1709" s="322"/>
      <c r="AS1709" s="322"/>
      <c r="AT1709" s="322"/>
      <c r="AU1709" s="476"/>
      <c r="AV1709" s="477"/>
      <c r="AW1709" s="523">
        <f t="shared" ref="AW1709:AW1720" si="1289">AZ1709*0.75</f>
        <v>1.875</v>
      </c>
      <c r="AX1709" s="487"/>
      <c r="AY1709" s="1151">
        <f t="shared" ref="AY1709:AY1720" si="1290">AZ1709/$AV$1700</f>
        <v>3.1977487848554618</v>
      </c>
      <c r="AZ1709" s="1147">
        <v>2.5</v>
      </c>
      <c r="BA1709" s="1153">
        <v>4784.8394472267319</v>
      </c>
      <c r="BB1709" s="1153">
        <v>4784.8394472267319</v>
      </c>
      <c r="BC1709" s="1153">
        <v>4784.8394472267319</v>
      </c>
      <c r="BD1709" s="1154">
        <v>4784.8394472267319</v>
      </c>
      <c r="BE1709" s="1154">
        <v>4784.8394472267319</v>
      </c>
      <c r="BF1709" s="1154">
        <v>4784.8394472267319</v>
      </c>
      <c r="BG1709" s="1154">
        <v>4784.8394472267319</v>
      </c>
      <c r="BH1709" s="1154">
        <v>4784.8394472267319</v>
      </c>
      <c r="BI1709" s="541"/>
      <c r="BJ1709" s="487"/>
      <c r="BK1709" s="1150">
        <f t="shared" ref="BK1709:BK1720" si="1291">AZ1709</f>
        <v>2.5</v>
      </c>
      <c r="BL1709" s="485" t="e">
        <v>#REF!</v>
      </c>
      <c r="BM1709" s="485" t="e">
        <v>#REF!</v>
      </c>
      <c r="BN1709" s="485" t="e">
        <v>#REF!</v>
      </c>
      <c r="BO1709" s="485" t="e">
        <v>#REF!</v>
      </c>
      <c r="BP1709" s="485" t="e">
        <v>#REF!</v>
      </c>
      <c r="BQ1709" s="485" t="e">
        <v>#REF!</v>
      </c>
      <c r="BR1709" s="485" t="e">
        <v>#REF!</v>
      </c>
      <c r="BS1709" s="485" t="e">
        <v>#REF!</v>
      </c>
      <c r="BT1709" s="487"/>
      <c r="BU1709" s="477"/>
      <c r="BV1709" s="477"/>
      <c r="BW1709" s="477"/>
      <c r="BX1709" s="477"/>
      <c r="BY1709" s="477"/>
    </row>
    <row r="1710" spans="4:77" ht="20">
      <c r="D1710" s="420" t="s">
        <v>7</v>
      </c>
      <c r="E1710" s="420"/>
      <c r="G1710" s="421">
        <v>9382</v>
      </c>
      <c r="H1710" s="421">
        <v>8599</v>
      </c>
      <c r="I1710" s="421">
        <v>8259</v>
      </c>
      <c r="J1710" s="421">
        <v>9300</v>
      </c>
      <c r="K1710" s="421">
        <v>11910</v>
      </c>
      <c r="L1710" s="421"/>
      <c r="M1710" s="421"/>
      <c r="N1710" s="421"/>
      <c r="O1710" s="421"/>
      <c r="P1710" s="422">
        <v>12564</v>
      </c>
      <c r="Q1710" s="422"/>
      <c r="R1710" s="422"/>
      <c r="S1710" s="422"/>
      <c r="T1710" s="422"/>
      <c r="U1710" s="322"/>
      <c r="V1710" s="322"/>
      <c r="W1710" s="322"/>
      <c r="X1710" s="322"/>
      <c r="Y1710" s="322"/>
      <c r="Z1710" s="322"/>
      <c r="AA1710" s="322"/>
      <c r="AB1710" s="322"/>
      <c r="AC1710" s="322"/>
      <c r="AD1710" s="322"/>
      <c r="AE1710" s="322"/>
      <c r="AF1710" s="322"/>
      <c r="AG1710" s="322"/>
      <c r="AH1710" s="322"/>
      <c r="AI1710" s="322"/>
      <c r="AJ1710" s="322"/>
      <c r="AK1710" s="322"/>
      <c r="AL1710" s="322"/>
      <c r="AM1710" s="322"/>
      <c r="AN1710" s="322"/>
      <c r="AO1710" s="322"/>
      <c r="AP1710" s="322"/>
      <c r="AQ1710" s="322"/>
      <c r="AR1710" s="322"/>
      <c r="AS1710" s="322"/>
      <c r="AT1710" s="322"/>
      <c r="AU1710" s="476"/>
      <c r="AV1710" s="477"/>
      <c r="AW1710" s="523">
        <f t="shared" si="1289"/>
        <v>1.9124999999999999</v>
      </c>
      <c r="AX1710" s="1382" t="s">
        <v>954</v>
      </c>
      <c r="AY1710" s="1151">
        <f t="shared" si="1290"/>
        <v>3.2617037605525705</v>
      </c>
      <c r="AZ1710" s="1147">
        <v>2.5499999999999998</v>
      </c>
      <c r="BA1710" s="1153">
        <v>4784.8394472267319</v>
      </c>
      <c r="BB1710" s="1153">
        <v>4784.8394472267319</v>
      </c>
      <c r="BC1710" s="1153">
        <v>4784.8394472267319</v>
      </c>
      <c r="BD1710" s="1154">
        <v>4784.8394472267319</v>
      </c>
      <c r="BE1710" s="1154">
        <v>4784.8394472267319</v>
      </c>
      <c r="BF1710" s="1154">
        <v>4784.8394472267319</v>
      </c>
      <c r="BG1710" s="1154">
        <v>4784.8394472267319</v>
      </c>
      <c r="BH1710" s="1154">
        <v>4784.8394472267319</v>
      </c>
      <c r="BI1710" s="541"/>
      <c r="BJ1710" s="1383" t="s">
        <v>537</v>
      </c>
      <c r="BK1710" s="1150">
        <f t="shared" si="1291"/>
        <v>2.5499999999999998</v>
      </c>
      <c r="BL1710" s="485" t="e">
        <v>#REF!</v>
      </c>
      <c r="BM1710" s="485" t="e">
        <v>#REF!</v>
      </c>
      <c r="BN1710" s="485" t="e">
        <v>#REF!</v>
      </c>
      <c r="BO1710" s="485" t="e">
        <v>#REF!</v>
      </c>
      <c r="BP1710" s="485" t="e">
        <v>#REF!</v>
      </c>
      <c r="BQ1710" s="485" t="e">
        <v>#REF!</v>
      </c>
      <c r="BR1710" s="485" t="e">
        <v>#REF!</v>
      </c>
      <c r="BS1710" s="485" t="e">
        <v>#REF!</v>
      </c>
      <c r="BT1710" s="487"/>
      <c r="BU1710" s="477"/>
      <c r="BV1710" s="477"/>
      <c r="BW1710" s="477"/>
      <c r="BX1710" s="477"/>
      <c r="BY1710" s="477"/>
    </row>
    <row r="1711" spans="4:77" ht="20">
      <c r="D1711" s="420" t="s">
        <v>8</v>
      </c>
      <c r="E1711" s="420"/>
      <c r="G1711" s="421">
        <v>-6956</v>
      </c>
      <c r="H1711" s="421">
        <v>-7064</v>
      </c>
      <c r="I1711" s="421">
        <v>-6980</v>
      </c>
      <c r="J1711" s="421">
        <v>-6904</v>
      </c>
      <c r="K1711" s="421">
        <v>-7343</v>
      </c>
      <c r="L1711" s="421"/>
      <c r="M1711" s="421"/>
      <c r="N1711" s="421"/>
      <c r="O1711" s="421"/>
      <c r="P1711" s="422">
        <v>-7943</v>
      </c>
      <c r="Q1711" s="422"/>
      <c r="R1711" s="422"/>
      <c r="S1711" s="422"/>
      <c r="T1711" s="422"/>
      <c r="U1711" s="322"/>
      <c r="V1711" s="322"/>
      <c r="W1711" s="322"/>
      <c r="X1711" s="322"/>
      <c r="Y1711" s="322"/>
      <c r="Z1711" s="322"/>
      <c r="AA1711" s="322"/>
      <c r="AB1711" s="322"/>
      <c r="AC1711" s="322"/>
      <c r="AD1711" s="322"/>
      <c r="AE1711" s="322"/>
      <c r="AF1711" s="322"/>
      <c r="AG1711" s="322"/>
      <c r="AH1711" s="322"/>
      <c r="AI1711" s="322"/>
      <c r="AJ1711" s="322"/>
      <c r="AK1711" s="322"/>
      <c r="AL1711" s="322"/>
      <c r="AM1711" s="322"/>
      <c r="AN1711" s="322"/>
      <c r="AO1711" s="322"/>
      <c r="AP1711" s="322"/>
      <c r="AQ1711" s="322"/>
      <c r="AR1711" s="322"/>
      <c r="AS1711" s="322"/>
      <c r="AT1711" s="322"/>
      <c r="AU1711" s="476"/>
      <c r="AV1711" s="477"/>
      <c r="AW1711" s="523">
        <f t="shared" si="1289"/>
        <v>1.9500000000000002</v>
      </c>
      <c r="AX1711" s="1382"/>
      <c r="AY1711" s="1151">
        <f t="shared" si="1290"/>
        <v>3.3256587362496801</v>
      </c>
      <c r="AZ1711" s="1147">
        <v>2.6</v>
      </c>
      <c r="BA1711" s="1153">
        <v>4784.8394472267319</v>
      </c>
      <c r="BB1711" s="1153">
        <v>4784.8394472267319</v>
      </c>
      <c r="BC1711" s="1153">
        <v>4784.8394472267319</v>
      </c>
      <c r="BD1711" s="1154">
        <v>4784.8394472267319</v>
      </c>
      <c r="BE1711" s="1154">
        <v>4784.8394472267319</v>
      </c>
      <c r="BF1711" s="1154">
        <v>4784.8394472267319</v>
      </c>
      <c r="BG1711" s="1154">
        <v>4784.8394472267319</v>
      </c>
      <c r="BH1711" s="1154">
        <v>4784.8394472267319</v>
      </c>
      <c r="BI1711" s="541"/>
      <c r="BJ1711" s="1383"/>
      <c r="BK1711" s="1150">
        <f t="shared" si="1291"/>
        <v>2.6</v>
      </c>
      <c r="BL1711" s="485" t="e">
        <v>#REF!</v>
      </c>
      <c r="BM1711" s="485" t="e">
        <v>#REF!</v>
      </c>
      <c r="BN1711" s="485" t="e">
        <v>#REF!</v>
      </c>
      <c r="BO1711" s="485" t="e">
        <v>#REF!</v>
      </c>
      <c r="BP1711" s="485" t="e">
        <v>#REF!</v>
      </c>
      <c r="BQ1711" s="485" t="e">
        <v>#REF!</v>
      </c>
      <c r="BR1711" s="485" t="e">
        <v>#REF!</v>
      </c>
      <c r="BS1711" s="485" t="e">
        <v>#REF!</v>
      </c>
      <c r="BT1711" s="487"/>
      <c r="BU1711" s="477"/>
      <c r="BV1711" s="477"/>
      <c r="BW1711" s="477"/>
      <c r="BX1711" s="477"/>
      <c r="BY1711" s="477"/>
    </row>
    <row r="1712" spans="4:77" ht="20">
      <c r="D1712" s="420" t="s">
        <v>9</v>
      </c>
      <c r="E1712" s="420"/>
      <c r="G1712" s="421">
        <v>2426</v>
      </c>
      <c r="H1712" s="421">
        <v>1535</v>
      </c>
      <c r="I1712" s="421">
        <v>1279</v>
      </c>
      <c r="J1712" s="421">
        <v>2396</v>
      </c>
      <c r="K1712" s="421">
        <v>4567</v>
      </c>
      <c r="L1712" s="421"/>
      <c r="M1712" s="421"/>
      <c r="N1712" s="421"/>
      <c r="O1712" s="421"/>
      <c r="P1712" s="422">
        <v>4621</v>
      </c>
      <c r="Q1712" s="422"/>
      <c r="R1712" s="422"/>
      <c r="S1712" s="422"/>
      <c r="T1712" s="422"/>
      <c r="U1712" s="322"/>
      <c r="V1712" s="322"/>
      <c r="W1712" s="322"/>
      <c r="X1712" s="322"/>
      <c r="Y1712" s="322"/>
      <c r="Z1712" s="322"/>
      <c r="AA1712" s="322"/>
      <c r="AB1712" s="322"/>
      <c r="AC1712" s="322"/>
      <c r="AD1712" s="322"/>
      <c r="AE1712" s="322"/>
      <c r="AF1712" s="322"/>
      <c r="AG1712" s="322"/>
      <c r="AH1712" s="322"/>
      <c r="AI1712" s="322"/>
      <c r="AJ1712" s="322"/>
      <c r="AK1712" s="322"/>
      <c r="AL1712" s="322"/>
      <c r="AM1712" s="322"/>
      <c r="AN1712" s="322"/>
      <c r="AO1712" s="322"/>
      <c r="AP1712" s="322"/>
      <c r="AQ1712" s="322"/>
      <c r="AR1712" s="322"/>
      <c r="AS1712" s="322"/>
      <c r="AT1712" s="322"/>
      <c r="AU1712" s="476"/>
      <c r="AV1712" s="477"/>
      <c r="AW1712" s="523">
        <f t="shared" si="1289"/>
        <v>1.9874999999999998</v>
      </c>
      <c r="AX1712" s="1382"/>
      <c r="AY1712" s="1151">
        <f t="shared" si="1290"/>
        <v>3.3896137119467893</v>
      </c>
      <c r="AZ1712" s="1147">
        <v>2.65</v>
      </c>
      <c r="BA1712" s="1153">
        <v>4784.8394472267319</v>
      </c>
      <c r="BB1712" s="1153">
        <v>4784.8394472267319</v>
      </c>
      <c r="BC1712" s="1153">
        <v>4784.8394472267319</v>
      </c>
      <c r="BD1712" s="1154">
        <v>4784.8394472267319</v>
      </c>
      <c r="BE1712" s="1154">
        <v>4784.8394472267319</v>
      </c>
      <c r="BF1712" s="1154">
        <v>4784.8394472267319</v>
      </c>
      <c r="BG1712" s="1154">
        <v>4784.8394472267319</v>
      </c>
      <c r="BH1712" s="1154">
        <v>4784.8394472267319</v>
      </c>
      <c r="BI1712" s="541"/>
      <c r="BJ1712" s="1383"/>
      <c r="BK1712" s="1150">
        <f t="shared" si="1291"/>
        <v>2.65</v>
      </c>
      <c r="BL1712" s="485" t="e">
        <v>#REF!</v>
      </c>
      <c r="BM1712" s="485" t="e">
        <v>#REF!</v>
      </c>
      <c r="BN1712" s="485" t="e">
        <v>#REF!</v>
      </c>
      <c r="BO1712" s="485" t="e">
        <v>#REF!</v>
      </c>
      <c r="BP1712" s="485" t="e">
        <v>#REF!</v>
      </c>
      <c r="BQ1712" s="485" t="e">
        <v>#REF!</v>
      </c>
      <c r="BR1712" s="485" t="e">
        <v>#REF!</v>
      </c>
      <c r="BS1712" s="485" t="e">
        <v>#REF!</v>
      </c>
      <c r="BT1712" s="487"/>
      <c r="BU1712" s="477"/>
      <c r="BV1712" s="477"/>
      <c r="BW1712" s="477"/>
      <c r="BX1712" s="477"/>
      <c r="BY1712" s="477"/>
    </row>
    <row r="1713" spans="4:77" ht="20">
      <c r="D1713" s="423" t="s">
        <v>10</v>
      </c>
      <c r="E1713" s="423"/>
      <c r="G1713" s="424" t="s">
        <v>0</v>
      </c>
      <c r="H1713" s="424" t="s">
        <v>0</v>
      </c>
      <c r="I1713" s="424" t="s">
        <v>0</v>
      </c>
      <c r="J1713" s="424" t="s">
        <v>0</v>
      </c>
      <c r="K1713" s="424" t="s">
        <v>0</v>
      </c>
      <c r="L1713" s="424"/>
      <c r="M1713" s="424"/>
      <c r="N1713" s="424"/>
      <c r="O1713" s="424"/>
      <c r="P1713" s="419" t="s">
        <v>0</v>
      </c>
      <c r="Q1713" s="419"/>
      <c r="R1713" s="419"/>
      <c r="S1713" s="419"/>
      <c r="T1713" s="419"/>
      <c r="U1713" s="322"/>
      <c r="V1713" s="322"/>
      <c r="W1713" s="322"/>
      <c r="X1713" s="322"/>
      <c r="Y1713" s="322"/>
      <c r="Z1713" s="322"/>
      <c r="AA1713" s="322"/>
      <c r="AB1713" s="322"/>
      <c r="AC1713" s="322"/>
      <c r="AD1713" s="322"/>
      <c r="AE1713" s="322"/>
      <c r="AF1713" s="322"/>
      <c r="AG1713" s="322"/>
      <c r="AH1713" s="322"/>
      <c r="AI1713" s="322"/>
      <c r="AJ1713" s="322"/>
      <c r="AK1713" s="322"/>
      <c r="AL1713" s="322"/>
      <c r="AM1713" s="322"/>
      <c r="AN1713" s="322"/>
      <c r="AO1713" s="322"/>
      <c r="AP1713" s="322"/>
      <c r="AQ1713" s="322"/>
      <c r="AR1713" s="322"/>
      <c r="AS1713" s="322"/>
      <c r="AT1713" s="322"/>
      <c r="AU1713" s="476"/>
      <c r="AV1713" s="477"/>
      <c r="AW1713" s="523">
        <f t="shared" si="1289"/>
        <v>2.0250000000000004</v>
      </c>
      <c r="AX1713" s="1382"/>
      <c r="AY1713" s="1151">
        <f t="shared" si="1290"/>
        <v>3.4535686876438989</v>
      </c>
      <c r="AZ1713" s="1147">
        <v>2.7</v>
      </c>
      <c r="BA1713" s="1153">
        <v>4784.8394472267319</v>
      </c>
      <c r="BB1713" s="1153">
        <v>4784.8394472267319</v>
      </c>
      <c r="BC1713" s="1153">
        <v>4784.8394472267319</v>
      </c>
      <c r="BD1713" s="1154">
        <v>4784.8394472267319</v>
      </c>
      <c r="BE1713" s="1154">
        <v>4784.8394472267319</v>
      </c>
      <c r="BF1713" s="1154">
        <v>4784.8394472267319</v>
      </c>
      <c r="BG1713" s="1154">
        <v>4784.8394472267319</v>
      </c>
      <c r="BH1713" s="1154">
        <v>4784.8394472267319</v>
      </c>
      <c r="BI1713" s="541"/>
      <c r="BJ1713" s="1383"/>
      <c r="BK1713" s="1150">
        <f t="shared" si="1291"/>
        <v>2.7</v>
      </c>
      <c r="BL1713" s="485" t="e">
        <v>#REF!</v>
      </c>
      <c r="BM1713" s="485" t="e">
        <v>#REF!</v>
      </c>
      <c r="BN1713" s="485" t="e">
        <v>#REF!</v>
      </c>
      <c r="BO1713" s="485" t="e">
        <v>#REF!</v>
      </c>
      <c r="BP1713" s="485" t="e">
        <v>#REF!</v>
      </c>
      <c r="BQ1713" s="485" t="e">
        <v>#REF!</v>
      </c>
      <c r="BR1713" s="485" t="e">
        <v>#REF!</v>
      </c>
      <c r="BS1713" s="485" t="e">
        <v>#REF!</v>
      </c>
      <c r="BT1713" s="487"/>
      <c r="BU1713" s="477"/>
      <c r="BV1713" s="477"/>
      <c r="BW1713" s="477"/>
      <c r="BX1713" s="477"/>
      <c r="BY1713" s="477"/>
    </row>
    <row r="1714" spans="4:77" ht="20">
      <c r="D1714" s="425" t="s">
        <v>11</v>
      </c>
      <c r="E1714" s="425"/>
      <c r="G1714" s="421">
        <v>-129</v>
      </c>
      <c r="H1714" s="421">
        <v>-119</v>
      </c>
      <c r="I1714" s="421">
        <v>-108</v>
      </c>
      <c r="J1714" s="421">
        <v>-99</v>
      </c>
      <c r="K1714" s="421">
        <v>-116</v>
      </c>
      <c r="L1714" s="421"/>
      <c r="M1714" s="421"/>
      <c r="N1714" s="421"/>
      <c r="O1714" s="421"/>
      <c r="P1714" s="422">
        <v>-142</v>
      </c>
      <c r="Q1714" s="422"/>
      <c r="R1714" s="422"/>
      <c r="S1714" s="422"/>
      <c r="T1714" s="422"/>
      <c r="U1714" s="322"/>
      <c r="V1714" s="322"/>
      <c r="W1714" s="322"/>
      <c r="X1714" s="322"/>
      <c r="Y1714" s="322"/>
      <c r="Z1714" s="322"/>
      <c r="AA1714" s="322"/>
      <c r="AB1714" s="322"/>
      <c r="AC1714" s="322"/>
      <c r="AD1714" s="322"/>
      <c r="AE1714" s="322"/>
      <c r="AF1714" s="322"/>
      <c r="AG1714" s="322"/>
      <c r="AH1714" s="322"/>
      <c r="AI1714" s="322"/>
      <c r="AJ1714" s="322"/>
      <c r="AK1714" s="322"/>
      <c r="AL1714" s="322"/>
      <c r="AM1714" s="322"/>
      <c r="AN1714" s="322"/>
      <c r="AO1714" s="322"/>
      <c r="AP1714" s="322"/>
      <c r="AQ1714" s="322"/>
      <c r="AR1714" s="322"/>
      <c r="AS1714" s="322"/>
      <c r="AT1714" s="322"/>
      <c r="AU1714" s="476"/>
      <c r="AV1714" s="477"/>
      <c r="AW1714" s="523">
        <f t="shared" si="1289"/>
        <v>2.0625</v>
      </c>
      <c r="AX1714" s="1382"/>
      <c r="AY1714" s="1151">
        <f t="shared" si="1290"/>
        <v>3.5175236633410076</v>
      </c>
      <c r="AZ1714" s="1147">
        <v>2.75</v>
      </c>
      <c r="BA1714" s="1153">
        <v>4784.8394472267319</v>
      </c>
      <c r="BB1714" s="1153">
        <v>4784.8394472267319</v>
      </c>
      <c r="BC1714" s="1153">
        <v>4784.8394472267319</v>
      </c>
      <c r="BD1714" s="1154">
        <v>4784.8394472267319</v>
      </c>
      <c r="BE1714" s="1154">
        <v>4784.8394472267319</v>
      </c>
      <c r="BF1714" s="1154">
        <v>4784.8394472267319</v>
      </c>
      <c r="BG1714" s="1154">
        <v>4784.8394472267319</v>
      </c>
      <c r="BH1714" s="1154">
        <v>4784.8394472267319</v>
      </c>
      <c r="BI1714" s="541"/>
      <c r="BJ1714" s="1383"/>
      <c r="BK1714" s="1150">
        <f t="shared" si="1291"/>
        <v>2.75</v>
      </c>
      <c r="BL1714" s="485" t="e">
        <v>#REF!</v>
      </c>
      <c r="BM1714" s="485" t="e">
        <v>#REF!</v>
      </c>
      <c r="BN1714" s="485" t="e">
        <v>#REF!</v>
      </c>
      <c r="BO1714" s="485" t="e">
        <v>#REF!</v>
      </c>
      <c r="BP1714" s="485" t="e">
        <v>#REF!</v>
      </c>
      <c r="BQ1714" s="485" t="e">
        <v>#REF!</v>
      </c>
      <c r="BR1714" s="485" t="e">
        <v>#REF!</v>
      </c>
      <c r="BS1714" s="485" t="e">
        <v>#REF!</v>
      </c>
      <c r="BT1714" s="487"/>
      <c r="BU1714" s="477"/>
      <c r="BV1714" s="477"/>
      <c r="BW1714" s="477"/>
      <c r="BX1714" s="477"/>
      <c r="BY1714" s="477"/>
    </row>
    <row r="1715" spans="4:77" ht="20">
      <c r="P1715" s="322"/>
      <c r="Q1715" s="322"/>
      <c r="R1715" s="322"/>
      <c r="S1715" s="322"/>
      <c r="T1715" s="322"/>
      <c r="U1715" s="322"/>
      <c r="V1715" s="322"/>
      <c r="W1715" s="322"/>
      <c r="X1715" s="322"/>
      <c r="Y1715" s="322"/>
      <c r="Z1715" s="322"/>
      <c r="AA1715" s="322"/>
      <c r="AB1715" s="322"/>
      <c r="AC1715" s="322"/>
      <c r="AD1715" s="322"/>
      <c r="AE1715" s="322"/>
      <c r="AF1715" s="322"/>
      <c r="AG1715" s="322"/>
      <c r="AH1715" s="322"/>
      <c r="AI1715" s="322"/>
      <c r="AJ1715" s="322"/>
      <c r="AK1715" s="322"/>
      <c r="AL1715" s="322"/>
      <c r="AM1715" s="322"/>
      <c r="AN1715" s="322"/>
      <c r="AO1715" s="322"/>
      <c r="AP1715" s="322"/>
      <c r="AQ1715" s="322"/>
      <c r="AR1715" s="322"/>
      <c r="AS1715" s="322"/>
      <c r="AT1715" s="322"/>
      <c r="AU1715" s="476"/>
      <c r="AV1715" s="477"/>
      <c r="AW1715" s="523">
        <f t="shared" si="1289"/>
        <v>2.0999999999999996</v>
      </c>
      <c r="AX1715" s="1382"/>
      <c r="AY1715" s="1151">
        <f t="shared" si="1290"/>
        <v>3.5814786390381168</v>
      </c>
      <c r="AZ1715" s="1147">
        <v>2.8</v>
      </c>
      <c r="BA1715" s="1153">
        <v>4784.8394472267319</v>
      </c>
      <c r="BB1715" s="1153">
        <v>4784.8394472267319</v>
      </c>
      <c r="BC1715" s="1153">
        <v>4784.8394472267319</v>
      </c>
      <c r="BD1715" s="1154">
        <v>4784.8394472267319</v>
      </c>
      <c r="BE1715" s="1154">
        <v>4784.8394472267319</v>
      </c>
      <c r="BF1715" s="1154">
        <v>4784.8394472267319</v>
      </c>
      <c r="BG1715" s="1154">
        <v>4784.8394472267319</v>
      </c>
      <c r="BH1715" s="1154">
        <v>4784.8394472267319</v>
      </c>
      <c r="BI1715" s="541"/>
      <c r="BJ1715" s="1383"/>
      <c r="BK1715" s="1150">
        <f t="shared" si="1291"/>
        <v>2.8</v>
      </c>
      <c r="BL1715" s="485" t="e">
        <v>#REF!</v>
      </c>
      <c r="BM1715" s="485" t="e">
        <v>#REF!</v>
      </c>
      <c r="BN1715" s="485" t="e">
        <v>#REF!</v>
      </c>
      <c r="BO1715" s="485" t="e">
        <v>#REF!</v>
      </c>
      <c r="BP1715" s="485" t="e">
        <v>#REF!</v>
      </c>
      <c r="BQ1715" s="485" t="e">
        <v>#REF!</v>
      </c>
      <c r="BR1715" s="485" t="e">
        <v>#REF!</v>
      </c>
      <c r="BS1715" s="485" t="e">
        <v>#REF!</v>
      </c>
      <c r="BT1715" s="487"/>
      <c r="BU1715" s="477"/>
      <c r="BV1715" s="477"/>
      <c r="BW1715" s="477"/>
      <c r="BX1715" s="477"/>
      <c r="BY1715" s="477"/>
    </row>
    <row r="1716" spans="4:77" ht="20">
      <c r="P1716" s="322"/>
      <c r="Q1716" s="322"/>
      <c r="R1716" s="322"/>
      <c r="S1716" s="322"/>
      <c r="T1716" s="322"/>
      <c r="U1716" s="322"/>
      <c r="V1716" s="322"/>
      <c r="W1716" s="322"/>
      <c r="X1716" s="322"/>
      <c r="Y1716" s="322"/>
      <c r="Z1716" s="322"/>
      <c r="AA1716" s="322"/>
      <c r="AB1716" s="322"/>
      <c r="AC1716" s="322"/>
      <c r="AD1716" s="322"/>
      <c r="AE1716" s="322"/>
      <c r="AF1716" s="322"/>
      <c r="AG1716" s="322"/>
      <c r="AH1716" s="322"/>
      <c r="AI1716" s="322"/>
      <c r="AJ1716" s="322"/>
      <c r="AK1716" s="322"/>
      <c r="AL1716" s="322"/>
      <c r="AM1716" s="322"/>
      <c r="AN1716" s="322"/>
      <c r="AO1716" s="322"/>
      <c r="AP1716" s="322"/>
      <c r="AQ1716" s="322"/>
      <c r="AR1716" s="322"/>
      <c r="AS1716" s="322"/>
      <c r="AT1716" s="322"/>
      <c r="AU1716" s="476"/>
      <c r="AV1716" s="477"/>
      <c r="AW1716" s="523">
        <f t="shared" si="1289"/>
        <v>2.1375000000000002</v>
      </c>
      <c r="AX1716" s="1382"/>
      <c r="AY1716" s="1151">
        <f t="shared" si="1290"/>
        <v>3.6454336147352264</v>
      </c>
      <c r="AZ1716" s="1147">
        <v>2.85</v>
      </c>
      <c r="BA1716" s="1153">
        <v>4784.8394472267319</v>
      </c>
      <c r="BB1716" s="1153">
        <v>4784.8394472267319</v>
      </c>
      <c r="BC1716" s="1153">
        <v>4784.8394472267319</v>
      </c>
      <c r="BD1716" s="1154">
        <v>4784.8394472267319</v>
      </c>
      <c r="BE1716" s="1154">
        <v>4784.8394472267319</v>
      </c>
      <c r="BF1716" s="1154">
        <v>4784.8394472267319</v>
      </c>
      <c r="BG1716" s="1154">
        <v>4784.8394472267319</v>
      </c>
      <c r="BH1716" s="1154">
        <v>4784.8394472267319</v>
      </c>
      <c r="BI1716" s="541"/>
      <c r="BJ1716" s="1383"/>
      <c r="BK1716" s="1150">
        <f t="shared" si="1291"/>
        <v>2.85</v>
      </c>
      <c r="BL1716" s="485" t="e">
        <v>#REF!</v>
      </c>
      <c r="BM1716" s="485" t="e">
        <v>#REF!</v>
      </c>
      <c r="BN1716" s="485" t="e">
        <v>#REF!</v>
      </c>
      <c r="BO1716" s="485" t="e">
        <v>#REF!</v>
      </c>
      <c r="BP1716" s="485" t="e">
        <v>#REF!</v>
      </c>
      <c r="BQ1716" s="485" t="e">
        <v>#REF!</v>
      </c>
      <c r="BR1716" s="485" t="e">
        <v>#REF!</v>
      </c>
      <c r="BS1716" s="485" t="e">
        <v>#REF!</v>
      </c>
      <c r="BT1716" s="487"/>
      <c r="BU1716" s="477"/>
      <c r="BV1716" s="477"/>
      <c r="BW1716" s="477"/>
      <c r="BX1716" s="477"/>
      <c r="BY1716" s="477"/>
    </row>
    <row r="1717" spans="4:77" ht="20">
      <c r="D1717" s="425" t="s">
        <v>14</v>
      </c>
      <c r="E1717" s="425"/>
      <c r="G1717" s="421" t="s">
        <v>0</v>
      </c>
      <c r="H1717" s="421">
        <v>-12</v>
      </c>
      <c r="I1717" s="421">
        <v>-3631</v>
      </c>
      <c r="J1717" s="421">
        <v>-294</v>
      </c>
      <c r="K1717" s="421">
        <v>163</v>
      </c>
      <c r="L1717" s="421"/>
      <c r="M1717" s="421"/>
      <c r="N1717" s="421"/>
      <c r="O1717" s="421"/>
      <c r="P1717" s="422">
        <v>-41</v>
      </c>
      <c r="Q1717" s="422"/>
      <c r="R1717" s="422"/>
      <c r="S1717" s="422"/>
      <c r="T1717" s="422"/>
      <c r="U1717" s="322"/>
      <c r="V1717" s="322"/>
      <c r="W1717" s="322"/>
      <c r="X1717" s="322"/>
      <c r="Y1717" s="322"/>
      <c r="Z1717" s="322"/>
      <c r="AA1717" s="322"/>
      <c r="AB1717" s="322"/>
      <c r="AC1717" s="322"/>
      <c r="AD1717" s="322"/>
      <c r="AE1717" s="322"/>
      <c r="AF1717" s="322"/>
      <c r="AG1717" s="322"/>
      <c r="AH1717" s="322"/>
      <c r="AI1717" s="322"/>
      <c r="AJ1717" s="322"/>
      <c r="AK1717" s="322"/>
      <c r="AL1717" s="322"/>
      <c r="AM1717" s="322"/>
      <c r="AN1717" s="322"/>
      <c r="AO1717" s="322"/>
      <c r="AP1717" s="322"/>
      <c r="AQ1717" s="322"/>
      <c r="AR1717" s="322"/>
      <c r="AS1717" s="322"/>
      <c r="AT1717" s="322"/>
      <c r="AU1717" s="476"/>
      <c r="AV1717" s="477"/>
      <c r="AW1717" s="523">
        <f t="shared" si="1289"/>
        <v>2.1749999999999998</v>
      </c>
      <c r="AX1717" s="1382"/>
      <c r="AY1717" s="1151">
        <f t="shared" si="1290"/>
        <v>3.7093885904323352</v>
      </c>
      <c r="AZ1717" s="1147">
        <v>2.9</v>
      </c>
      <c r="BA1717" s="1153">
        <v>4784.8394472267319</v>
      </c>
      <c r="BB1717" s="1153">
        <v>4784.8394472267319</v>
      </c>
      <c r="BC1717" s="1153">
        <v>4784.8394472267319</v>
      </c>
      <c r="BD1717" s="1154">
        <v>4784.8394472267319</v>
      </c>
      <c r="BE1717" s="1154">
        <v>4784.8394472267319</v>
      </c>
      <c r="BF1717" s="1154">
        <v>4784.8394472267319</v>
      </c>
      <c r="BG1717" s="1154">
        <v>4784.8394472267319</v>
      </c>
      <c r="BH1717" s="1154">
        <v>4784.8394472267319</v>
      </c>
      <c r="BI1717" s="541"/>
      <c r="BJ1717" s="1383"/>
      <c r="BK1717" s="1150">
        <f t="shared" si="1291"/>
        <v>2.9</v>
      </c>
      <c r="BL1717" s="485" t="e">
        <v>#REF!</v>
      </c>
      <c r="BM1717" s="485" t="e">
        <v>#REF!</v>
      </c>
      <c r="BN1717" s="485" t="e">
        <v>#REF!</v>
      </c>
      <c r="BO1717" s="485" t="e">
        <v>#REF!</v>
      </c>
      <c r="BP1717" s="485" t="e">
        <v>#REF!</v>
      </c>
      <c r="BQ1717" s="485" t="e">
        <v>#REF!</v>
      </c>
      <c r="BR1717" s="485" t="e">
        <v>#REF!</v>
      </c>
      <c r="BS1717" s="485" t="e">
        <v>#REF!</v>
      </c>
      <c r="BT1717" s="487"/>
      <c r="BU1717" s="477"/>
      <c r="BV1717" s="477"/>
      <c r="BW1717" s="477"/>
      <c r="BX1717" s="477"/>
      <c r="BY1717" s="477"/>
    </row>
    <row r="1718" spans="4:77" ht="20">
      <c r="P1718" s="322"/>
      <c r="Q1718" s="322"/>
      <c r="R1718" s="322"/>
      <c r="S1718" s="322"/>
      <c r="T1718" s="322"/>
      <c r="U1718" s="322"/>
      <c r="V1718" s="322"/>
      <c r="W1718" s="322"/>
      <c r="X1718" s="322"/>
      <c r="Y1718" s="322"/>
      <c r="Z1718" s="322"/>
      <c r="AA1718" s="322"/>
      <c r="AB1718" s="322"/>
      <c r="AC1718" s="322"/>
      <c r="AD1718" s="322"/>
      <c r="AE1718" s="322"/>
      <c r="AF1718" s="322"/>
      <c r="AG1718" s="322"/>
      <c r="AH1718" s="322"/>
      <c r="AI1718" s="322"/>
      <c r="AJ1718" s="322"/>
      <c r="AK1718" s="322"/>
      <c r="AL1718" s="322"/>
      <c r="AM1718" s="322"/>
      <c r="AN1718" s="322"/>
      <c r="AO1718" s="322"/>
      <c r="AP1718" s="322"/>
      <c r="AQ1718" s="322"/>
      <c r="AR1718" s="322"/>
      <c r="AS1718" s="322"/>
      <c r="AT1718" s="322"/>
      <c r="AU1718" s="476"/>
      <c r="AV1718" s="477"/>
      <c r="AW1718" s="523">
        <f t="shared" si="1289"/>
        <v>2.2125000000000004</v>
      </c>
      <c r="AX1718" s="535"/>
      <c r="AY1718" s="1151">
        <f t="shared" si="1290"/>
        <v>3.7733435661294448</v>
      </c>
      <c r="AZ1718" s="1147">
        <v>2.95</v>
      </c>
      <c r="BA1718" s="1153">
        <v>4784.8394472267319</v>
      </c>
      <c r="BB1718" s="1153">
        <v>4784.8394472267319</v>
      </c>
      <c r="BC1718" s="1153">
        <v>4784.8394472267319</v>
      </c>
      <c r="BD1718" s="1154">
        <v>4784.8394472267319</v>
      </c>
      <c r="BE1718" s="1154">
        <v>4784.8394472267319</v>
      </c>
      <c r="BF1718" s="1154">
        <v>4784.8394472267319</v>
      </c>
      <c r="BG1718" s="1154">
        <v>4784.8394472267319</v>
      </c>
      <c r="BH1718" s="1154">
        <v>4784.8394472267319</v>
      </c>
      <c r="BI1718" s="541"/>
      <c r="BJ1718" s="487"/>
      <c r="BK1718" s="1150">
        <f t="shared" si="1291"/>
        <v>2.95</v>
      </c>
      <c r="BL1718" s="485" t="e">
        <v>#REF!</v>
      </c>
      <c r="BM1718" s="485" t="e">
        <v>#REF!</v>
      </c>
      <c r="BN1718" s="485" t="e">
        <v>#REF!</v>
      </c>
      <c r="BO1718" s="485" t="e">
        <v>#REF!</v>
      </c>
      <c r="BP1718" s="485" t="e">
        <v>#REF!</v>
      </c>
      <c r="BQ1718" s="485" t="e">
        <v>#REF!</v>
      </c>
      <c r="BR1718" s="485" t="e">
        <v>#REF!</v>
      </c>
      <c r="BS1718" s="485" t="e">
        <v>#REF!</v>
      </c>
      <c r="BT1718" s="487"/>
      <c r="BU1718" s="477"/>
      <c r="BV1718" s="477"/>
      <c r="BW1718" s="477"/>
      <c r="BX1718" s="477"/>
      <c r="BY1718" s="477"/>
    </row>
    <row r="1719" spans="4:77" ht="20">
      <c r="D1719" s="423" t="s">
        <v>16</v>
      </c>
      <c r="E1719" s="423"/>
      <c r="G1719" s="426">
        <v>1977</v>
      </c>
      <c r="H1719" s="426">
        <v>1048</v>
      </c>
      <c r="I1719" s="426">
        <v>-2918</v>
      </c>
      <c r="J1719" s="426">
        <v>1725</v>
      </c>
      <c r="K1719" s="426">
        <v>4271</v>
      </c>
      <c r="L1719" s="426"/>
      <c r="M1719" s="426"/>
      <c r="N1719" s="426"/>
      <c r="O1719" s="426"/>
      <c r="P1719" s="427">
        <v>4784</v>
      </c>
      <c r="Q1719" s="427"/>
      <c r="R1719" s="427"/>
      <c r="S1719" s="427"/>
      <c r="T1719" s="427"/>
      <c r="U1719" s="322"/>
      <c r="V1719" s="322"/>
      <c r="W1719" s="322"/>
      <c r="X1719" s="322"/>
      <c r="Y1719" s="322"/>
      <c r="Z1719" s="322"/>
      <c r="AA1719" s="322"/>
      <c r="AB1719" s="322"/>
      <c r="AC1719" s="322"/>
      <c r="AD1719" s="322"/>
      <c r="AE1719" s="322"/>
      <c r="AF1719" s="322"/>
      <c r="AG1719" s="322"/>
      <c r="AH1719" s="322"/>
      <c r="AI1719" s="322"/>
      <c r="AJ1719" s="322"/>
      <c r="AK1719" s="322"/>
      <c r="AL1719" s="322"/>
      <c r="AM1719" s="322"/>
      <c r="AN1719" s="322"/>
      <c r="AO1719" s="322"/>
      <c r="AP1719" s="322"/>
      <c r="AQ1719" s="322"/>
      <c r="AR1719" s="322"/>
      <c r="AS1719" s="322"/>
      <c r="AT1719" s="322"/>
      <c r="AU1719" s="476"/>
      <c r="AV1719" s="477"/>
      <c r="AW1719" s="523">
        <f t="shared" si="1289"/>
        <v>2.25</v>
      </c>
      <c r="AX1719" s="487"/>
      <c r="AY1719" s="1151">
        <f t="shared" si="1290"/>
        <v>3.8372985418265539</v>
      </c>
      <c r="AZ1719" s="1147">
        <v>3</v>
      </c>
      <c r="BA1719" s="1153">
        <v>4784.8394472267319</v>
      </c>
      <c r="BB1719" s="1153">
        <v>4784.8394472267319</v>
      </c>
      <c r="BC1719" s="1153">
        <v>4784.8394472267319</v>
      </c>
      <c r="BD1719" s="1154">
        <v>4784.8394472267319</v>
      </c>
      <c r="BE1719" s="1154">
        <v>4784.8394472267319</v>
      </c>
      <c r="BF1719" s="1154">
        <v>4784.8394472267319</v>
      </c>
      <c r="BG1719" s="1154">
        <v>4784.8394472267319</v>
      </c>
      <c r="BH1719" s="1154">
        <v>4784.8394472267319</v>
      </c>
      <c r="BI1719" s="541"/>
      <c r="BJ1719" s="487"/>
      <c r="BK1719" s="1150">
        <f t="shared" si="1291"/>
        <v>3</v>
      </c>
      <c r="BL1719" s="485" t="e">
        <v>#REF!</v>
      </c>
      <c r="BM1719" s="485" t="e">
        <v>#REF!</v>
      </c>
      <c r="BN1719" s="485" t="e">
        <v>#REF!</v>
      </c>
      <c r="BO1719" s="485" t="e">
        <v>#REF!</v>
      </c>
      <c r="BP1719" s="485" t="e">
        <v>#REF!</v>
      </c>
      <c r="BQ1719" s="485" t="e">
        <v>#REF!</v>
      </c>
      <c r="BR1719" s="485" t="e">
        <v>#REF!</v>
      </c>
      <c r="BS1719" s="485" t="e">
        <v>#REF!</v>
      </c>
      <c r="BT1719" s="487"/>
      <c r="BU1719" s="477"/>
      <c r="BV1719" s="477"/>
      <c r="BW1719" s="477"/>
      <c r="BX1719" s="477"/>
      <c r="BY1719" s="477"/>
    </row>
    <row r="1720" spans="4:77" ht="20">
      <c r="D1720" s="425" t="s">
        <v>17</v>
      </c>
      <c r="E1720" s="425"/>
      <c r="G1720" s="421">
        <v>13</v>
      </c>
      <c r="H1720" s="421">
        <v>4</v>
      </c>
      <c r="I1720" s="421">
        <v>5</v>
      </c>
      <c r="J1720" s="421">
        <v>16</v>
      </c>
      <c r="K1720" s="421">
        <v>17</v>
      </c>
      <c r="L1720" s="421"/>
      <c r="M1720" s="421"/>
      <c r="N1720" s="421"/>
      <c r="O1720" s="421"/>
      <c r="P1720" s="422">
        <v>33</v>
      </c>
      <c r="Q1720" s="422"/>
      <c r="R1720" s="422"/>
      <c r="S1720" s="422"/>
      <c r="T1720" s="422"/>
      <c r="U1720" s="322"/>
      <c r="V1720" s="322"/>
      <c r="W1720" s="322"/>
      <c r="X1720" s="322"/>
      <c r="Y1720" s="322"/>
      <c r="Z1720" s="322"/>
      <c r="AA1720" s="322"/>
      <c r="AB1720" s="322"/>
      <c r="AC1720" s="322"/>
      <c r="AD1720" s="322"/>
      <c r="AE1720" s="322"/>
      <c r="AF1720" s="322"/>
      <c r="AG1720" s="322"/>
      <c r="AH1720" s="322"/>
      <c r="AI1720" s="322"/>
      <c r="AJ1720" s="322"/>
      <c r="AK1720" s="322"/>
      <c r="AL1720" s="322"/>
      <c r="AM1720" s="322"/>
      <c r="AN1720" s="322"/>
      <c r="AO1720" s="322"/>
      <c r="AP1720" s="322"/>
      <c r="AQ1720" s="322"/>
      <c r="AR1720" s="322"/>
      <c r="AS1720" s="322"/>
      <c r="AT1720" s="322"/>
      <c r="AU1720" s="476"/>
      <c r="AV1720" s="477"/>
      <c r="AW1720" s="523">
        <f t="shared" si="1289"/>
        <v>2.2874999999999996</v>
      </c>
      <c r="AX1720" s="487"/>
      <c r="AY1720" s="1151">
        <f t="shared" si="1290"/>
        <v>3.9012535175236627</v>
      </c>
      <c r="AZ1720" s="1147">
        <v>3.05</v>
      </c>
      <c r="BA1720" s="1153">
        <v>4784.8394472267319</v>
      </c>
      <c r="BB1720" s="1153">
        <v>4784.8394472267319</v>
      </c>
      <c r="BC1720" s="1153">
        <v>4784.8394472267319</v>
      </c>
      <c r="BD1720" s="1154">
        <v>4784.8394472267319</v>
      </c>
      <c r="BE1720" s="1154">
        <v>4784.8394472267319</v>
      </c>
      <c r="BF1720" s="1154">
        <v>4784.8394472267319</v>
      </c>
      <c r="BG1720" s="1154">
        <v>4784.8394472267319</v>
      </c>
      <c r="BH1720" s="1154">
        <v>4784.8394472267319</v>
      </c>
      <c r="BI1720" s="541"/>
      <c r="BJ1720" s="487"/>
      <c r="BK1720" s="1150">
        <f t="shared" si="1291"/>
        <v>3.05</v>
      </c>
      <c r="BL1720" s="485" t="e">
        <v>#REF!</v>
      </c>
      <c r="BM1720" s="485" t="e">
        <v>#REF!</v>
      </c>
      <c r="BN1720" s="485" t="e">
        <v>#REF!</v>
      </c>
      <c r="BO1720" s="485" t="e">
        <v>#REF!</v>
      </c>
      <c r="BP1720" s="485" t="e">
        <v>#REF!</v>
      </c>
      <c r="BQ1720" s="485" t="e">
        <v>#REF!</v>
      </c>
      <c r="BR1720" s="485" t="e">
        <v>#REF!</v>
      </c>
      <c r="BS1720" s="485" t="e">
        <v>#REF!</v>
      </c>
      <c r="BT1720" s="487"/>
      <c r="BU1720" s="477"/>
      <c r="BV1720" s="477"/>
      <c r="BW1720" s="477"/>
      <c r="BX1720" s="477"/>
      <c r="BY1720" s="477"/>
    </row>
    <row r="1721" spans="4:77" ht="20">
      <c r="D1721" s="425" t="s">
        <v>18</v>
      </c>
      <c r="E1721" s="425"/>
      <c r="G1721" s="421">
        <v>-339</v>
      </c>
      <c r="H1721" s="421">
        <v>-304</v>
      </c>
      <c r="I1721" s="421">
        <v>-316</v>
      </c>
      <c r="J1721" s="421">
        <v>-354</v>
      </c>
      <c r="K1721" s="421">
        <v>-229</v>
      </c>
      <c r="L1721" s="421"/>
      <c r="M1721" s="421"/>
      <c r="N1721" s="421"/>
      <c r="O1721" s="421"/>
      <c r="P1721" s="422">
        <v>-252</v>
      </c>
      <c r="Q1721" s="422"/>
      <c r="R1721" s="422"/>
      <c r="S1721" s="422"/>
      <c r="T1721" s="422"/>
      <c r="U1721" s="322"/>
      <c r="V1721" s="322"/>
      <c r="W1721" s="322"/>
      <c r="X1721" s="322"/>
      <c r="Y1721" s="322"/>
      <c r="Z1721" s="322"/>
      <c r="AA1721" s="322"/>
      <c r="AB1721" s="322"/>
      <c r="AC1721" s="322"/>
      <c r="AD1721" s="322"/>
      <c r="AE1721" s="322"/>
      <c r="AF1721" s="322"/>
      <c r="AG1721" s="322"/>
      <c r="AH1721" s="322"/>
      <c r="AI1721" s="322"/>
      <c r="AJ1721" s="322"/>
      <c r="AK1721" s="322"/>
      <c r="AL1721" s="322"/>
      <c r="AM1721" s="322"/>
      <c r="AN1721" s="322"/>
      <c r="AO1721" s="322"/>
      <c r="AP1721" s="322"/>
      <c r="AQ1721" s="322"/>
      <c r="AR1721" s="322"/>
      <c r="AS1721" s="322"/>
      <c r="AT1721" s="322"/>
      <c r="AU1721" s="476"/>
      <c r="AV1721" s="477"/>
      <c r="AW1721" s="477"/>
      <c r="AX1721" s="487"/>
      <c r="AY1721" s="529"/>
      <c r="AZ1721" s="539"/>
      <c r="BA1721" s="539"/>
      <c r="BB1721" s="539"/>
      <c r="BC1721" s="539"/>
      <c r="BD1721" s="541"/>
      <c r="BE1721" s="541"/>
      <c r="BF1721" s="541"/>
      <c r="BG1721" s="541"/>
      <c r="BH1721" s="541"/>
      <c r="BI1721" s="541"/>
      <c r="BJ1721" s="487"/>
      <c r="BK1721" s="487" t="s">
        <v>950</v>
      </c>
      <c r="BL1721" s="487"/>
      <c r="BM1721" s="487"/>
      <c r="BN1721" s="487"/>
      <c r="BO1721" s="487"/>
      <c r="BP1721" s="487"/>
      <c r="BQ1721" s="487"/>
      <c r="BR1721" s="487"/>
      <c r="BS1721" s="487"/>
      <c r="BT1721" s="487"/>
      <c r="BU1721" s="477"/>
      <c r="BV1721" s="477"/>
      <c r="BW1721" s="477"/>
      <c r="BX1721" s="477"/>
      <c r="BY1721" s="477"/>
    </row>
    <row r="1722" spans="4:77" ht="16" thickBot="1">
      <c r="D1722" s="425" t="s">
        <v>19</v>
      </c>
      <c r="E1722" s="425"/>
      <c r="G1722" s="421">
        <v>-6</v>
      </c>
      <c r="H1722" s="421">
        <v>-21</v>
      </c>
      <c r="I1722" s="421">
        <v>-89</v>
      </c>
      <c r="J1722" s="421">
        <v>239</v>
      </c>
      <c r="K1722" s="421">
        <v>-151</v>
      </c>
      <c r="L1722" s="421"/>
      <c r="M1722" s="421"/>
      <c r="N1722" s="421"/>
      <c r="O1722" s="421"/>
      <c r="P1722" s="422">
        <v>-52</v>
      </c>
      <c r="Q1722" s="422"/>
      <c r="R1722" s="422"/>
      <c r="S1722" s="422"/>
      <c r="T1722" s="422"/>
      <c r="U1722" s="322"/>
      <c r="V1722" s="322"/>
      <c r="W1722" s="322"/>
      <c r="X1722" s="322"/>
      <c r="Y1722" s="322"/>
      <c r="Z1722" s="322"/>
      <c r="AA1722" s="322"/>
      <c r="AB1722" s="322"/>
      <c r="AC1722" s="322"/>
      <c r="AD1722" s="322"/>
      <c r="AE1722" s="322"/>
      <c r="AF1722" s="322"/>
      <c r="AG1722" s="322"/>
      <c r="AH1722" s="322"/>
      <c r="AI1722" s="322"/>
      <c r="AJ1722" s="322"/>
      <c r="AK1722" s="322"/>
      <c r="AL1722" s="322"/>
      <c r="AM1722" s="322"/>
      <c r="AN1722" s="322"/>
      <c r="AO1722" s="322"/>
      <c r="AP1722" s="322"/>
      <c r="AQ1722" s="322"/>
      <c r="AR1722" s="322"/>
      <c r="AS1722" s="322"/>
      <c r="AT1722" s="322"/>
      <c r="AU1722" s="479"/>
      <c r="AV1722" s="480"/>
      <c r="AW1722" s="480"/>
      <c r="AX1722" s="511"/>
      <c r="AY1722" s="511"/>
      <c r="AZ1722" s="511"/>
      <c r="BA1722" s="511"/>
      <c r="BB1722" s="511"/>
      <c r="BC1722" s="511"/>
      <c r="BD1722" s="511"/>
      <c r="BE1722" s="511"/>
      <c r="BF1722" s="511"/>
      <c r="BG1722" s="511"/>
      <c r="BH1722" s="511"/>
      <c r="BI1722" s="511"/>
      <c r="BJ1722" s="511"/>
      <c r="BK1722" s="511"/>
      <c r="BL1722" s="511"/>
      <c r="BM1722" s="511"/>
      <c r="BN1722" s="511"/>
      <c r="BO1722" s="511"/>
      <c r="BP1722" s="511"/>
      <c r="BQ1722" s="511"/>
      <c r="BR1722" s="511"/>
      <c r="BS1722" s="511"/>
      <c r="BT1722" s="511"/>
      <c r="BU1722" s="480"/>
      <c r="BV1722" s="480"/>
      <c r="BW1722" s="480"/>
      <c r="BX1722" s="480"/>
      <c r="BY1722" s="480"/>
    </row>
    <row r="1723" spans="4:77">
      <c r="D1723" s="425" t="s">
        <v>20</v>
      </c>
      <c r="E1723" s="425"/>
      <c r="G1723" s="421">
        <v>-2</v>
      </c>
      <c r="H1723" s="421">
        <v>-3</v>
      </c>
      <c r="I1723" s="421">
        <v>-2</v>
      </c>
      <c r="J1723" s="421">
        <v>2</v>
      </c>
      <c r="K1723" s="421">
        <v>6</v>
      </c>
      <c r="L1723" s="421"/>
      <c r="M1723" s="421"/>
      <c r="N1723" s="421"/>
      <c r="O1723" s="421"/>
      <c r="P1723" s="422">
        <v>-3</v>
      </c>
      <c r="Q1723" s="422"/>
      <c r="R1723" s="422"/>
      <c r="S1723" s="422"/>
      <c r="T1723" s="422"/>
      <c r="U1723" s="322"/>
      <c r="V1723" s="322"/>
      <c r="W1723" s="322"/>
      <c r="X1723" s="322"/>
      <c r="Y1723" s="322"/>
      <c r="Z1723" s="322"/>
      <c r="AA1723" s="322"/>
      <c r="AB1723" s="322"/>
      <c r="AC1723" s="322"/>
      <c r="AD1723" s="322"/>
      <c r="AE1723" s="322"/>
      <c r="AF1723" s="322"/>
      <c r="AG1723" s="322"/>
      <c r="AH1723" s="322"/>
      <c r="AI1723" s="322"/>
      <c r="AJ1723" s="322"/>
      <c r="AK1723" s="322"/>
      <c r="AL1723" s="322"/>
      <c r="AM1723" s="322"/>
      <c r="AN1723" s="322"/>
      <c r="AO1723" s="322"/>
      <c r="AP1723" s="322"/>
      <c r="AQ1723" s="322"/>
      <c r="AR1723" s="322"/>
      <c r="AS1723" s="322"/>
      <c r="AT1723" s="322"/>
      <c r="BT1723" s="505"/>
    </row>
    <row r="1724" spans="4:77">
      <c r="D1724" s="423" t="s">
        <v>21</v>
      </c>
      <c r="E1724" s="423"/>
      <c r="G1724" s="426">
        <v>1643</v>
      </c>
      <c r="H1724" s="426">
        <v>724</v>
      </c>
      <c r="I1724" s="426">
        <v>-3320</v>
      </c>
      <c r="J1724" s="426">
        <v>1628</v>
      </c>
      <c r="K1724" s="426">
        <v>3914</v>
      </c>
      <c r="L1724" s="426"/>
      <c r="M1724" s="426"/>
      <c r="N1724" s="426"/>
      <c r="O1724" s="426"/>
      <c r="P1724" s="427">
        <v>4510</v>
      </c>
      <c r="Q1724" s="427"/>
      <c r="R1724" s="427"/>
      <c r="S1724" s="427"/>
      <c r="T1724" s="427"/>
      <c r="U1724" s="322"/>
      <c r="V1724" s="322"/>
      <c r="W1724" s="322"/>
      <c r="X1724" s="322"/>
      <c r="Y1724" s="322"/>
      <c r="Z1724" s="322"/>
      <c r="AA1724" s="322"/>
      <c r="AB1724" s="322"/>
      <c r="AC1724" s="322"/>
      <c r="AD1724" s="322"/>
      <c r="AE1724" s="322"/>
      <c r="AF1724" s="322"/>
      <c r="AG1724" s="322"/>
      <c r="AH1724" s="322"/>
      <c r="AI1724" s="322"/>
      <c r="AJ1724" s="322"/>
      <c r="AK1724" s="322"/>
      <c r="AL1724" s="322"/>
      <c r="AM1724" s="322"/>
      <c r="AN1724" s="322"/>
      <c r="AO1724" s="322"/>
      <c r="AP1724" s="322"/>
      <c r="AQ1724" s="322"/>
      <c r="AR1724" s="322"/>
      <c r="AS1724" s="322"/>
      <c r="AT1724" s="322"/>
      <c r="BT1724" s="505"/>
    </row>
    <row r="1725" spans="4:77">
      <c r="D1725" s="425" t="s">
        <v>22</v>
      </c>
      <c r="E1725" s="425"/>
      <c r="G1725" s="421">
        <v>-633</v>
      </c>
      <c r="H1725" s="421">
        <v>-342</v>
      </c>
      <c r="I1725" s="421">
        <v>836</v>
      </c>
      <c r="J1725" s="421">
        <v>-587</v>
      </c>
      <c r="K1725" s="421">
        <v>-1425</v>
      </c>
      <c r="L1725" s="421"/>
      <c r="M1725" s="421"/>
      <c r="N1725" s="421"/>
      <c r="O1725" s="421"/>
      <c r="P1725" s="422">
        <v>-1365</v>
      </c>
      <c r="Q1725" s="422"/>
      <c r="R1725" s="422"/>
      <c r="S1725" s="422"/>
      <c r="T1725" s="422"/>
      <c r="U1725" s="322"/>
      <c r="V1725" s="322"/>
      <c r="W1725" s="322"/>
      <c r="X1725" s="322"/>
      <c r="Y1725" s="322"/>
      <c r="Z1725" s="322"/>
      <c r="AA1725" s="322"/>
      <c r="AB1725" s="322"/>
      <c r="AC1725" s="322"/>
      <c r="AD1725" s="322"/>
      <c r="AE1725" s="322"/>
      <c r="AF1725" s="322"/>
      <c r="AG1725" s="322"/>
      <c r="AH1725" s="322"/>
      <c r="AI1725" s="322"/>
      <c r="AJ1725" s="322"/>
      <c r="AK1725" s="322"/>
      <c r="AL1725" s="322"/>
      <c r="AM1725" s="322"/>
      <c r="AN1725" s="322"/>
      <c r="AO1725" s="322"/>
      <c r="AP1725" s="322"/>
      <c r="AQ1725" s="322"/>
      <c r="AR1725" s="322"/>
      <c r="AS1725" s="322"/>
      <c r="AT1725" s="322"/>
    </row>
    <row r="1726" spans="4:77">
      <c r="D1726" s="423" t="s">
        <v>23</v>
      </c>
      <c r="E1726" s="423"/>
      <c r="G1726" s="426">
        <v>1010</v>
      </c>
      <c r="H1726" s="426">
        <v>382</v>
      </c>
      <c r="I1726" s="426">
        <v>-2484</v>
      </c>
      <c r="J1726" s="426">
        <v>1041</v>
      </c>
      <c r="K1726" s="426">
        <v>2489</v>
      </c>
      <c r="L1726" s="426"/>
      <c r="M1726" s="426"/>
      <c r="N1726" s="426"/>
      <c r="O1726" s="426"/>
      <c r="P1726" s="427">
        <v>3145</v>
      </c>
      <c r="Q1726" s="427"/>
      <c r="R1726" s="427"/>
      <c r="S1726" s="427"/>
      <c r="T1726" s="427"/>
      <c r="U1726" s="322"/>
      <c r="V1726" s="322"/>
      <c r="W1726" s="322"/>
      <c r="X1726" s="322"/>
      <c r="Y1726" s="322"/>
      <c r="Z1726" s="322"/>
      <c r="AA1726" s="322"/>
      <c r="AB1726" s="322"/>
      <c r="AC1726" s="322"/>
      <c r="AD1726" s="322"/>
      <c r="AE1726" s="322"/>
      <c r="AF1726" s="322"/>
      <c r="AG1726" s="322"/>
      <c r="AH1726" s="322"/>
      <c r="AI1726" s="322"/>
      <c r="AJ1726" s="322"/>
      <c r="AK1726" s="322"/>
      <c r="AL1726" s="322"/>
      <c r="AM1726" s="322"/>
      <c r="AN1726" s="322"/>
      <c r="AO1726" s="322"/>
      <c r="AP1726" s="322"/>
      <c r="AQ1726" s="322"/>
      <c r="AR1726" s="322"/>
      <c r="AS1726" s="322"/>
      <c r="AT1726" s="322"/>
    </row>
    <row r="1727" spans="4:77" ht="16" thickBot="1">
      <c r="D1727" s="423" t="s">
        <v>24</v>
      </c>
      <c r="E1727" s="423"/>
      <c r="G1727" s="424" t="s">
        <v>0</v>
      </c>
      <c r="H1727" s="424" t="s">
        <v>0</v>
      </c>
      <c r="I1727" s="424" t="s">
        <v>0</v>
      </c>
      <c r="J1727" s="424" t="s">
        <v>0</v>
      </c>
      <c r="K1727" s="424" t="s">
        <v>0</v>
      </c>
      <c r="L1727" s="424"/>
      <c r="M1727" s="424"/>
      <c r="N1727" s="424"/>
      <c r="O1727" s="424"/>
      <c r="P1727" s="419" t="s">
        <v>0</v>
      </c>
      <c r="Q1727" s="419"/>
      <c r="R1727" s="419"/>
      <c r="S1727" s="419"/>
      <c r="T1727" s="419"/>
      <c r="U1727" s="322"/>
      <c r="V1727" s="322"/>
      <c r="W1727" s="322"/>
      <c r="X1727" s="322"/>
      <c r="Y1727" s="322"/>
      <c r="Z1727" s="322"/>
      <c r="AA1727" s="322"/>
      <c r="AB1727" s="322"/>
      <c r="AC1727" s="322"/>
      <c r="AD1727" s="322"/>
      <c r="AE1727" s="322"/>
      <c r="AF1727" s="322"/>
      <c r="AG1727" s="322"/>
      <c r="AH1727" s="322"/>
      <c r="AI1727" s="322"/>
      <c r="AJ1727" s="322"/>
      <c r="AK1727" s="322"/>
      <c r="AL1727" s="322"/>
      <c r="AM1727" s="322"/>
      <c r="AN1727" s="322"/>
      <c r="AO1727" s="322"/>
      <c r="AP1727" s="322"/>
      <c r="AQ1727" s="322"/>
      <c r="AR1727" s="322"/>
      <c r="AS1727" s="322"/>
      <c r="AT1727" s="322"/>
    </row>
    <row r="1728" spans="4:77" ht="20">
      <c r="D1728" s="425" t="s">
        <v>25</v>
      </c>
      <c r="E1728" s="425"/>
      <c r="G1728" s="421">
        <v>961</v>
      </c>
      <c r="H1728" s="421">
        <v>362</v>
      </c>
      <c r="I1728" s="421">
        <v>-2474</v>
      </c>
      <c r="J1728" s="421">
        <v>1040</v>
      </c>
      <c r="K1728" s="421">
        <v>2460</v>
      </c>
      <c r="L1728" s="421"/>
      <c r="M1728" s="421"/>
      <c r="N1728" s="421"/>
      <c r="O1728" s="421"/>
      <c r="P1728" s="422">
        <v>3107</v>
      </c>
      <c r="Q1728" s="422"/>
      <c r="R1728" s="422"/>
      <c r="S1728" s="422"/>
      <c r="T1728" s="422"/>
      <c r="U1728" s="322"/>
      <c r="V1728" s="322"/>
      <c r="W1728" s="322"/>
      <c r="X1728" s="322"/>
      <c r="Y1728" s="322"/>
      <c r="Z1728" s="322"/>
      <c r="AA1728" s="322"/>
      <c r="AB1728" s="322"/>
      <c r="AC1728" s="322"/>
      <c r="AD1728" s="322"/>
      <c r="AE1728" s="322"/>
      <c r="AF1728" s="322"/>
      <c r="AG1728" s="322"/>
      <c r="AH1728" s="322"/>
      <c r="AI1728" s="322"/>
      <c r="AJ1728" s="322"/>
      <c r="AK1728" s="322"/>
      <c r="AL1728" s="322"/>
      <c r="AM1728" s="322"/>
      <c r="AN1728" s="322"/>
      <c r="AO1728" s="322"/>
      <c r="AP1728" s="322"/>
      <c r="AQ1728" s="322"/>
      <c r="AR1728" s="322"/>
      <c r="AS1728" s="322"/>
      <c r="AT1728" s="322"/>
      <c r="AU1728" s="491" t="s">
        <v>539</v>
      </c>
      <c r="AV1728" s="474"/>
      <c r="AW1728" s="474"/>
      <c r="AX1728" s="532"/>
      <c r="AY1728" s="1380" t="s">
        <v>963</v>
      </c>
      <c r="AZ1728" s="1380"/>
      <c r="BA1728" s="1380"/>
      <c r="BB1728" s="1381" t="s">
        <v>955</v>
      </c>
      <c r="BC1728" s="1381"/>
      <c r="BD1728" s="1381"/>
      <c r="BE1728" s="1381"/>
      <c r="BF1728" s="1381"/>
      <c r="BG1728" s="531"/>
      <c r="BH1728" s="531"/>
      <c r="BI1728" s="532"/>
      <c r="BJ1728" s="510"/>
      <c r="BK1728" s="510"/>
      <c r="BL1728" s="510"/>
      <c r="BM1728" s="510"/>
      <c r="BN1728" s="510"/>
      <c r="BO1728" s="510"/>
      <c r="BP1728" s="510"/>
      <c r="BQ1728" s="510"/>
      <c r="BR1728" s="510"/>
      <c r="BS1728" s="510"/>
      <c r="BT1728" s="510"/>
      <c r="BU1728" s="510"/>
      <c r="BV1728" s="474"/>
      <c r="BW1728" s="474"/>
      <c r="BX1728" s="474"/>
      <c r="BY1728" s="474"/>
    </row>
    <row r="1729" spans="4:77" ht="20">
      <c r="D1729" s="425" t="s">
        <v>26</v>
      </c>
      <c r="E1729" s="425"/>
      <c r="G1729" s="421">
        <v>49</v>
      </c>
      <c r="H1729" s="421">
        <v>20</v>
      </c>
      <c r="I1729" s="421">
        <v>-10</v>
      </c>
      <c r="J1729" s="421">
        <v>1</v>
      </c>
      <c r="K1729" s="421">
        <v>29</v>
      </c>
      <c r="L1729" s="421"/>
      <c r="M1729" s="421"/>
      <c r="N1729" s="421"/>
      <c r="O1729" s="421"/>
      <c r="P1729" s="422">
        <v>38</v>
      </c>
      <c r="Q1729" s="422"/>
      <c r="R1729" s="422"/>
      <c r="S1729" s="422"/>
      <c r="T1729" s="422"/>
      <c r="U1729" s="322"/>
      <c r="V1729" s="322"/>
      <c r="W1729" s="322"/>
      <c r="X1729" s="322"/>
      <c r="Y1729" s="322"/>
      <c r="Z1729" s="322"/>
      <c r="AA1729" s="322"/>
      <c r="AB1729" s="322"/>
      <c r="AC1729" s="322"/>
      <c r="AD1729" s="322"/>
      <c r="AE1729" s="322"/>
      <c r="AF1729" s="322"/>
      <c r="AG1729" s="322"/>
      <c r="AH1729" s="322"/>
      <c r="AI1729" s="322"/>
      <c r="AJ1729" s="322"/>
      <c r="AK1729" s="322"/>
      <c r="AL1729" s="322"/>
      <c r="AM1729" s="322"/>
      <c r="AN1729" s="322"/>
      <c r="AO1729" s="322"/>
      <c r="AP1729" s="322"/>
      <c r="AQ1729" s="322"/>
      <c r="AR1729" s="322"/>
      <c r="AS1729" s="322"/>
      <c r="AT1729" s="322"/>
      <c r="AU1729" s="476"/>
      <c r="AV1729" s="477"/>
      <c r="AW1729" s="477"/>
      <c r="AX1729" s="533"/>
      <c r="AY1729" s="533"/>
      <c r="AZ1729" s="533"/>
      <c r="BA1729" s="1149">
        <f>BA1730/$AV$1700</f>
        <v>127.90995139421847</v>
      </c>
      <c r="BB1729" s="1149">
        <f t="shared" ref="BB1729:BH1729" si="1292">BB1730/$AV$1700</f>
        <v>140.70094653364032</v>
      </c>
      <c r="BC1729" s="1149">
        <f t="shared" si="1292"/>
        <v>153.49194167306214</v>
      </c>
      <c r="BD1729" s="1149">
        <f t="shared" si="1292"/>
        <v>166.282936812484</v>
      </c>
      <c r="BE1729" s="1149">
        <f t="shared" si="1292"/>
        <v>179.07393195190585</v>
      </c>
      <c r="BF1729" s="1149">
        <f t="shared" si="1292"/>
        <v>191.8649270913277</v>
      </c>
      <c r="BG1729" s="1149">
        <f t="shared" si="1292"/>
        <v>204.65592223074955</v>
      </c>
      <c r="BH1729" s="1149">
        <f t="shared" si="1292"/>
        <v>217.44691737017138</v>
      </c>
      <c r="BI1729" s="533"/>
      <c r="BJ1729" s="487"/>
      <c r="BK1729" s="487"/>
      <c r="BL1729" s="487"/>
      <c r="BM1729" s="487"/>
      <c r="BN1729" s="487"/>
      <c r="BO1729" s="487"/>
      <c r="BP1729" s="487"/>
      <c r="BQ1729" s="487"/>
      <c r="BR1729" s="487"/>
      <c r="BS1729" s="487"/>
      <c r="BT1729" s="487"/>
      <c r="BU1729" s="487"/>
      <c r="BV1729" s="477"/>
      <c r="BW1729" s="477"/>
      <c r="BX1729" s="477"/>
      <c r="BY1729" s="477"/>
    </row>
    <row r="1730" spans="4:77" ht="20">
      <c r="D1730" s="423" t="s">
        <v>23</v>
      </c>
      <c r="E1730" s="423"/>
      <c r="G1730" s="426">
        <v>1010</v>
      </c>
      <c r="H1730" s="426">
        <v>382</v>
      </c>
      <c r="I1730" s="426">
        <v>-2484</v>
      </c>
      <c r="J1730" s="426">
        <v>1041</v>
      </c>
      <c r="K1730" s="426">
        <v>2489</v>
      </c>
      <c r="L1730" s="426"/>
      <c r="M1730" s="426"/>
      <c r="N1730" s="426"/>
      <c r="O1730" s="426"/>
      <c r="P1730" s="427">
        <v>3145</v>
      </c>
      <c r="Q1730" s="427"/>
      <c r="R1730" s="427"/>
      <c r="S1730" s="427"/>
      <c r="T1730" s="427"/>
      <c r="U1730" s="322"/>
      <c r="V1730" s="322"/>
      <c r="W1730" s="322"/>
      <c r="X1730" s="322"/>
      <c r="Y1730" s="322"/>
      <c r="Z1730" s="322"/>
      <c r="AA1730" s="322"/>
      <c r="AB1730" s="322"/>
      <c r="AC1730" s="322"/>
      <c r="AD1730" s="322"/>
      <c r="AE1730" s="322"/>
      <c r="AF1730" s="322"/>
      <c r="AG1730" s="322"/>
      <c r="AH1730" s="322"/>
      <c r="AI1730" s="322"/>
      <c r="AJ1730" s="322"/>
      <c r="AK1730" s="322"/>
      <c r="AL1730" s="322"/>
      <c r="AM1730" s="322"/>
      <c r="AN1730" s="322"/>
      <c r="AO1730" s="322"/>
      <c r="AP1730" s="322"/>
      <c r="AQ1730" s="322"/>
      <c r="AR1730" s="322"/>
      <c r="AS1730" s="322"/>
      <c r="AT1730" s="322"/>
      <c r="AU1730" s="476"/>
      <c r="AV1730" s="477"/>
      <c r="AW1730" s="477"/>
      <c r="AX1730" s="533"/>
      <c r="AY1730" s="533" t="s">
        <v>538</v>
      </c>
      <c r="AZ1730" s="1149">
        <f ca="1">AE1577</f>
        <v>2115.5342009148649</v>
      </c>
      <c r="BA1730" s="1148">
        <v>100</v>
      </c>
      <c r="BB1730" s="1148">
        <v>110</v>
      </c>
      <c r="BC1730" s="1148">
        <v>120</v>
      </c>
      <c r="BD1730" s="1148">
        <v>130</v>
      </c>
      <c r="BE1730" s="1148">
        <v>140</v>
      </c>
      <c r="BF1730" s="1148">
        <v>150</v>
      </c>
      <c r="BG1730" s="1148">
        <v>160</v>
      </c>
      <c r="BH1730" s="1148">
        <v>170</v>
      </c>
      <c r="BI1730" s="533"/>
      <c r="BJ1730" s="487"/>
      <c r="BK1730" s="488" t="e">
        <f ca="1">AZ1730*#REF!</f>
        <v>#REF!</v>
      </c>
      <c r="BL1730" s="490" t="e">
        <f>BA1730*#REF!</f>
        <v>#REF!</v>
      </c>
      <c r="BM1730" s="490" t="e">
        <f>BB1730*#REF!</f>
        <v>#REF!</v>
      </c>
      <c r="BN1730" s="490" t="e">
        <f>BC1730*#REF!</f>
        <v>#REF!</v>
      </c>
      <c r="BO1730" s="490" t="e">
        <f>BD1730*#REF!</f>
        <v>#REF!</v>
      </c>
      <c r="BP1730" s="490" t="e">
        <f>BE1730*#REF!</f>
        <v>#REF!</v>
      </c>
      <c r="BQ1730" s="490" t="e">
        <f>BF1730*#REF!</f>
        <v>#REF!</v>
      </c>
      <c r="BR1730" s="490" t="e">
        <f>BG1730*#REF!</f>
        <v>#REF!</v>
      </c>
      <c r="BS1730" s="490" t="e">
        <f>BH1730*#REF!</f>
        <v>#REF!</v>
      </c>
      <c r="BT1730" s="512"/>
      <c r="BU1730" s="512"/>
      <c r="BV1730" s="482"/>
      <c r="BW1730" s="477"/>
      <c r="BX1730" s="477"/>
      <c r="BY1730" s="477"/>
    </row>
    <row r="1731" spans="4:77" ht="20">
      <c r="D1731" s="423" t="s">
        <v>27</v>
      </c>
      <c r="E1731" s="423"/>
      <c r="G1731" s="424" t="s">
        <v>0</v>
      </c>
      <c r="H1731" s="424" t="s">
        <v>0</v>
      </c>
      <c r="I1731" s="424" t="s">
        <v>0</v>
      </c>
      <c r="J1731" s="424" t="s">
        <v>0</v>
      </c>
      <c r="K1731" s="424" t="s">
        <v>0</v>
      </c>
      <c r="L1731" s="424"/>
      <c r="M1731" s="424"/>
      <c r="N1731" s="424"/>
      <c r="O1731" s="424"/>
      <c r="P1731" s="419" t="s">
        <v>0</v>
      </c>
      <c r="Q1731" s="419"/>
      <c r="R1731" s="419"/>
      <c r="S1731" s="419"/>
      <c r="T1731" s="419"/>
      <c r="U1731" s="322"/>
      <c r="V1731" s="322"/>
      <c r="W1731" s="322"/>
      <c r="X1731" s="322"/>
      <c r="Y1731" s="322"/>
      <c r="Z1731" s="322"/>
      <c r="AA1731" s="322"/>
      <c r="AB1731" s="322"/>
      <c r="AC1731" s="322"/>
      <c r="AD1731" s="322"/>
      <c r="AE1731" s="322"/>
      <c r="AF1731" s="322"/>
      <c r="AG1731" s="322"/>
      <c r="AH1731" s="322"/>
      <c r="AI1731" s="322"/>
      <c r="AJ1731" s="322"/>
      <c r="AK1731" s="322"/>
      <c r="AL1731" s="322"/>
      <c r="AM1731" s="322"/>
      <c r="AN1731" s="322"/>
      <c r="AO1731" s="322"/>
      <c r="AP1731" s="322"/>
      <c r="AQ1731" s="322"/>
      <c r="AR1731" s="322"/>
      <c r="AS1731" s="322"/>
      <c r="AT1731" s="322"/>
      <c r="AU1731" s="476"/>
      <c r="AV1731" s="477"/>
      <c r="AW1731" s="477"/>
      <c r="AX1731" s="487"/>
      <c r="AY1731" s="1151">
        <f>AZ1731/$AV$1700</f>
        <v>3.1337938091583526</v>
      </c>
      <c r="AZ1731" s="1147">
        <v>2.4500000000000002</v>
      </c>
      <c r="BA1731" s="1159">
        <f t="dataTable" ref="BA1731:BH1743" dt2D="1" dtr="1" r1="AE15" r2="AE16" ca="1"/>
        <v>2115.5342009148649</v>
      </c>
      <c r="BB1731" s="1159">
        <v>2115.5342009148649</v>
      </c>
      <c r="BC1731" s="1159">
        <v>2115.5342009148649</v>
      </c>
      <c r="BD1731" s="1159">
        <v>2115.5342009148649</v>
      </c>
      <c r="BE1731" s="1159">
        <v>2115.5342009148649</v>
      </c>
      <c r="BF1731" s="1159">
        <v>2115.5342009148649</v>
      </c>
      <c r="BG1731" s="1159">
        <v>2115.5342009148649</v>
      </c>
      <c r="BH1731" s="1159">
        <v>2115.5342009148649</v>
      </c>
      <c r="BI1731" s="533"/>
      <c r="BJ1731" s="487"/>
      <c r="BK1731" s="490" t="e">
        <f>AZ1731*#REF!</f>
        <v>#REF!</v>
      </c>
      <c r="BL1731" s="486" t="e">
        <f t="dataTable" ref="BL1731:BS1743" dt2D="1" dtr="1" del1="1" del2="1" r1="E11" r2="E13"/>
        <v>#REF!</v>
      </c>
      <c r="BM1731" s="486" t="e">
        <v>#REF!</v>
      </c>
      <c r="BN1731" s="486" t="e">
        <v>#REF!</v>
      </c>
      <c r="BO1731" s="486" t="e">
        <v>#REF!</v>
      </c>
      <c r="BP1731" s="486" t="e">
        <v>#REF!</v>
      </c>
      <c r="BQ1731" s="486" t="e">
        <v>#REF!</v>
      </c>
      <c r="BR1731" s="486" t="e">
        <v>#REF!</v>
      </c>
      <c r="BS1731" s="486" t="e">
        <v>#REF!</v>
      </c>
      <c r="BT1731" s="487"/>
      <c r="BU1731" s="487"/>
      <c r="BV1731" s="477"/>
      <c r="BW1731" s="477"/>
      <c r="BX1731" s="477"/>
      <c r="BY1731" s="477"/>
    </row>
    <row r="1732" spans="4:77" ht="20">
      <c r="D1732" s="425" t="s">
        <v>28</v>
      </c>
      <c r="E1732" s="425"/>
      <c r="G1732" s="428">
        <v>1.66</v>
      </c>
      <c r="H1732" s="428">
        <v>0.63</v>
      </c>
      <c r="I1732" s="428">
        <v>-4.29</v>
      </c>
      <c r="J1732" s="428">
        <v>1.8</v>
      </c>
      <c r="K1732" s="428">
        <v>4.26</v>
      </c>
      <c r="L1732" s="428"/>
      <c r="M1732" s="428"/>
      <c r="N1732" s="428"/>
      <c r="O1732" s="428"/>
      <c r="P1732" s="429">
        <v>5.41</v>
      </c>
      <c r="Q1732" s="429"/>
      <c r="R1732" s="429"/>
      <c r="S1732" s="429"/>
      <c r="T1732" s="429"/>
      <c r="U1732" s="322"/>
      <c r="V1732" s="322"/>
      <c r="W1732" s="322"/>
      <c r="X1732" s="322"/>
      <c r="Y1732" s="322"/>
      <c r="Z1732" s="322"/>
      <c r="AA1732" s="322"/>
      <c r="AB1732" s="322"/>
      <c r="AC1732" s="322"/>
      <c r="AD1732" s="322"/>
      <c r="AE1732" s="322"/>
      <c r="AF1732" s="322"/>
      <c r="AG1732" s="322"/>
      <c r="AH1732" s="322"/>
      <c r="AI1732" s="322"/>
      <c r="AJ1732" s="322"/>
      <c r="AK1732" s="322"/>
      <c r="AL1732" s="322"/>
      <c r="AM1732" s="322"/>
      <c r="AN1732" s="322"/>
      <c r="AO1732" s="322"/>
      <c r="AP1732" s="322"/>
      <c r="AQ1732" s="322"/>
      <c r="AR1732" s="322" t="s">
        <v>956</v>
      </c>
      <c r="AS1732" s="322"/>
      <c r="AT1732" s="322"/>
      <c r="AU1732" s="476"/>
      <c r="AV1732" s="477"/>
      <c r="AW1732" s="477"/>
      <c r="AX1732" s="487"/>
      <c r="AY1732" s="1151">
        <f t="shared" ref="AY1732:AY1743" si="1293">AZ1732/$AV$1700</f>
        <v>3.1977487848554618</v>
      </c>
      <c r="AZ1732" s="1147">
        <v>2.5</v>
      </c>
      <c r="BA1732" s="1159">
        <v>2115.5342009148649</v>
      </c>
      <c r="BB1732" s="1159">
        <v>2115.5342009148649</v>
      </c>
      <c r="BC1732" s="1159">
        <v>2115.5342009148649</v>
      </c>
      <c r="BD1732" s="1159">
        <v>2115.5342009148649</v>
      </c>
      <c r="BE1732" s="1159">
        <v>2115.5342009148649</v>
      </c>
      <c r="BF1732" s="1159">
        <v>2115.5342009148649</v>
      </c>
      <c r="BG1732" s="1159">
        <v>2115.5342009148649</v>
      </c>
      <c r="BH1732" s="1159">
        <v>2115.5342009148649</v>
      </c>
      <c r="BI1732" s="533"/>
      <c r="BJ1732" s="487"/>
      <c r="BK1732" s="490" t="e">
        <f>AZ1732*#REF!</f>
        <v>#REF!</v>
      </c>
      <c r="BL1732" s="486" t="e">
        <v>#REF!</v>
      </c>
      <c r="BM1732" s="486" t="e">
        <v>#REF!</v>
      </c>
      <c r="BN1732" s="486" t="e">
        <v>#REF!</v>
      </c>
      <c r="BO1732" s="486" t="e">
        <v>#REF!</v>
      </c>
      <c r="BP1732" s="486" t="e">
        <v>#REF!</v>
      </c>
      <c r="BQ1732" s="486" t="e">
        <v>#REF!</v>
      </c>
      <c r="BR1732" s="486" t="e">
        <v>#REF!</v>
      </c>
      <c r="BS1732" s="486" t="e">
        <v>#REF!</v>
      </c>
      <c r="BT1732" s="487"/>
      <c r="BU1732" s="487"/>
      <c r="BV1732" s="477"/>
      <c r="BW1732" s="477"/>
      <c r="BX1732" s="477"/>
      <c r="BY1732" s="477"/>
    </row>
    <row r="1733" spans="4:77" ht="20.149999999999999" customHeight="1">
      <c r="D1733" s="425" t="s">
        <v>29</v>
      </c>
      <c r="E1733" s="425"/>
      <c r="G1733" s="428">
        <v>1.66</v>
      </c>
      <c r="H1733" s="428">
        <v>0.63</v>
      </c>
      <c r="I1733" s="428">
        <v>-4.29</v>
      </c>
      <c r="J1733" s="428">
        <v>1.78</v>
      </c>
      <c r="K1733" s="428">
        <v>4.1900000000000004</v>
      </c>
      <c r="L1733" s="428"/>
      <c r="M1733" s="428"/>
      <c r="N1733" s="428"/>
      <c r="O1733" s="428"/>
      <c r="P1733" s="429">
        <v>5.34</v>
      </c>
      <c r="Q1733" s="429"/>
      <c r="R1733" s="429"/>
      <c r="S1733" s="429"/>
      <c r="T1733" s="429"/>
      <c r="U1733" s="322"/>
      <c r="V1733" s="322"/>
      <c r="W1733" s="322"/>
      <c r="X1733" s="322"/>
      <c r="Y1733" s="322"/>
      <c r="Z1733" s="322"/>
      <c r="AA1733" s="322"/>
      <c r="AB1733" s="322"/>
      <c r="AC1733" s="322"/>
      <c r="AD1733" s="322"/>
      <c r="AE1733" s="322"/>
      <c r="AF1733" s="322"/>
      <c r="AG1733" s="322"/>
      <c r="AH1733" s="322"/>
      <c r="AI1733" s="322"/>
      <c r="AJ1733" s="322"/>
      <c r="AK1733" s="322"/>
      <c r="AL1733" s="322"/>
      <c r="AM1733" s="322"/>
      <c r="AN1733" s="322"/>
      <c r="AO1733" s="322"/>
      <c r="AP1733" s="322"/>
      <c r="AQ1733" s="322"/>
      <c r="AR1733" s="322">
        <f>_xll.BDP("TECK/B CN EQUITY","DS124")</f>
        <v>524.65519999999992</v>
      </c>
      <c r="AS1733" s="322"/>
      <c r="AT1733" s="322"/>
      <c r="AU1733" s="476"/>
      <c r="AV1733" s="477"/>
      <c r="AW1733" s="477"/>
      <c r="AX1733" s="1382" t="s">
        <v>954</v>
      </c>
      <c r="AY1733" s="1151">
        <f t="shared" si="1293"/>
        <v>3.2617037605525705</v>
      </c>
      <c r="AZ1733" s="1147">
        <v>2.5499999999999998</v>
      </c>
      <c r="BA1733" s="1159">
        <v>2115.5342009148649</v>
      </c>
      <c r="BB1733" s="1159">
        <v>2115.5342009148649</v>
      </c>
      <c r="BC1733" s="1159">
        <v>2115.5342009148649</v>
      </c>
      <c r="BD1733" s="1159">
        <v>2115.5342009148649</v>
      </c>
      <c r="BE1733" s="1159">
        <v>2115.5342009148649</v>
      </c>
      <c r="BF1733" s="1159">
        <v>2115.5342009148649</v>
      </c>
      <c r="BG1733" s="1159">
        <v>2115.5342009148649</v>
      </c>
      <c r="BH1733" s="1159">
        <v>2115.5342009148649</v>
      </c>
      <c r="BI1733" s="533"/>
      <c r="BJ1733" s="487"/>
      <c r="BK1733" s="490" t="e">
        <f>AZ1733*#REF!</f>
        <v>#REF!</v>
      </c>
      <c r="BL1733" s="486" t="e">
        <v>#REF!</v>
      </c>
      <c r="BM1733" s="486" t="e">
        <v>#REF!</v>
      </c>
      <c r="BN1733" s="486" t="e">
        <v>#REF!</v>
      </c>
      <c r="BO1733" s="486" t="e">
        <v>#REF!</v>
      </c>
      <c r="BP1733" s="486" t="e">
        <v>#REF!</v>
      </c>
      <c r="BQ1733" s="486" t="e">
        <v>#REF!</v>
      </c>
      <c r="BR1733" s="486" t="e">
        <v>#REF!</v>
      </c>
      <c r="BS1733" s="486" t="e">
        <v>#REF!</v>
      </c>
      <c r="BT1733" s="487"/>
      <c r="BU1733" s="487"/>
      <c r="BV1733" s="477"/>
      <c r="BW1733" s="477"/>
      <c r="BX1733" s="477"/>
      <c r="BY1733" s="477"/>
    </row>
    <row r="1734" spans="4:77" ht="20">
      <c r="D1734" s="425" t="s">
        <v>30</v>
      </c>
      <c r="E1734" s="425"/>
      <c r="G1734" s="430">
        <v>578.29999999999995</v>
      </c>
      <c r="H1734" s="430">
        <v>576.20000000000005</v>
      </c>
      <c r="I1734" s="430">
        <v>576.20000000000005</v>
      </c>
      <c r="J1734" s="430">
        <v>576.4</v>
      </c>
      <c r="K1734" s="430">
        <v>577.5</v>
      </c>
      <c r="L1734" s="430"/>
      <c r="M1734" s="430"/>
      <c r="N1734" s="430"/>
      <c r="O1734" s="430"/>
      <c r="P1734" s="431">
        <v>573.9</v>
      </c>
      <c r="Q1734" s="431"/>
      <c r="R1734" s="431"/>
      <c r="S1734" s="431"/>
      <c r="T1734" s="431"/>
      <c r="U1734" s="322"/>
      <c r="V1734" s="322"/>
      <c r="W1734" s="322"/>
      <c r="X1734" s="322"/>
      <c r="Y1734" s="322"/>
      <c r="Z1734" s="322"/>
      <c r="AA1734" s="322"/>
      <c r="AB1734" s="322"/>
      <c r="AC1734" s="322"/>
      <c r="AD1734" s="322"/>
      <c r="AE1734" s="322"/>
      <c r="AF1734" s="322"/>
      <c r="AG1734" s="322"/>
      <c r="AH1734" s="322"/>
      <c r="AI1734" s="322"/>
      <c r="AJ1734" s="322"/>
      <c r="AK1734" s="322"/>
      <c r="AL1734" s="322"/>
      <c r="AM1734" s="322"/>
      <c r="AN1734" s="322"/>
      <c r="AO1734" s="322"/>
      <c r="AP1734" s="322"/>
      <c r="AQ1734" s="322"/>
      <c r="AR1734" s="322"/>
      <c r="AS1734" s="322"/>
      <c r="AT1734" s="322"/>
      <c r="AU1734" s="476"/>
      <c r="AV1734" s="477"/>
      <c r="AW1734" s="477"/>
      <c r="AX1734" s="1382"/>
      <c r="AY1734" s="1151">
        <f t="shared" si="1293"/>
        <v>3.3256587362496801</v>
      </c>
      <c r="AZ1734" s="1147">
        <v>2.6</v>
      </c>
      <c r="BA1734" s="1159">
        <v>2115.5342009148649</v>
      </c>
      <c r="BB1734" s="1159">
        <v>2115.5342009148649</v>
      </c>
      <c r="BC1734" s="1159">
        <v>2115.5342009148649</v>
      </c>
      <c r="BD1734" s="1159">
        <v>2115.5342009148649</v>
      </c>
      <c r="BE1734" s="1159">
        <v>2115.5342009148649</v>
      </c>
      <c r="BF1734" s="1159">
        <v>2115.5342009148649</v>
      </c>
      <c r="BG1734" s="1159">
        <v>2115.5342009148649</v>
      </c>
      <c r="BH1734" s="1159">
        <v>2115.5342009148649</v>
      </c>
      <c r="BI1734" s="533"/>
      <c r="BJ1734" s="487"/>
      <c r="BK1734" s="490" t="e">
        <f>AZ1734*#REF!</f>
        <v>#REF!</v>
      </c>
      <c r="BL1734" s="486" t="e">
        <v>#REF!</v>
      </c>
      <c r="BM1734" s="486" t="e">
        <v>#REF!</v>
      </c>
      <c r="BN1734" s="486" t="e">
        <v>#REF!</v>
      </c>
      <c r="BO1734" s="486" t="e">
        <v>#REF!</v>
      </c>
      <c r="BP1734" s="486" t="e">
        <v>#REF!</v>
      </c>
      <c r="BQ1734" s="486" t="e">
        <v>#REF!</v>
      </c>
      <c r="BR1734" s="486" t="e">
        <v>#REF!</v>
      </c>
      <c r="BS1734" s="486" t="e">
        <v>#REF!</v>
      </c>
      <c r="BT1734" s="487"/>
      <c r="BU1734" s="487"/>
      <c r="BV1734" s="477"/>
      <c r="BW1734" s="477"/>
      <c r="BX1734" s="477"/>
      <c r="BY1734" s="477"/>
    </row>
    <row r="1735" spans="4:77" ht="20">
      <c r="D1735" s="425" t="s">
        <v>31</v>
      </c>
      <c r="E1735" s="425"/>
      <c r="G1735" s="430">
        <v>576.29999999999995</v>
      </c>
      <c r="H1735" s="430">
        <v>576.1</v>
      </c>
      <c r="I1735" s="430">
        <v>576.29999999999995</v>
      </c>
      <c r="J1735" s="430">
        <v>576.9</v>
      </c>
      <c r="K1735" s="430">
        <v>573.29999999999995</v>
      </c>
      <c r="L1735" s="430"/>
      <c r="M1735" s="430"/>
      <c r="N1735" s="430"/>
      <c r="O1735" s="430"/>
      <c r="P1735" s="431">
        <v>570.70000000000005</v>
      </c>
      <c r="Q1735" s="431"/>
      <c r="R1735" s="431"/>
      <c r="S1735" s="431"/>
      <c r="T1735" s="431"/>
      <c r="U1735" s="322"/>
      <c r="V1735" s="322"/>
      <c r="W1735" s="322"/>
      <c r="X1735" s="322"/>
      <c r="Y1735" s="322"/>
      <c r="Z1735" s="322"/>
      <c r="AA1735" s="322"/>
      <c r="AB1735" s="322"/>
      <c r="AC1735" s="322"/>
      <c r="AD1735" s="322"/>
      <c r="AE1735" s="322"/>
      <c r="AF1735" s="322"/>
      <c r="AG1735" s="322"/>
      <c r="AH1735" s="322"/>
      <c r="AI1735" s="322"/>
      <c r="AJ1735" s="322"/>
      <c r="AK1735" s="322"/>
      <c r="AL1735" s="322"/>
      <c r="AM1735" s="322"/>
      <c r="AN1735" s="322"/>
      <c r="AO1735" s="322"/>
      <c r="AP1735" s="322"/>
      <c r="AQ1735" s="322"/>
      <c r="AR1735" s="322"/>
      <c r="AS1735" s="322"/>
      <c r="AT1735" s="322"/>
      <c r="AU1735" s="476"/>
      <c r="AV1735" s="477"/>
      <c r="AW1735" s="477"/>
      <c r="AX1735" s="1382"/>
      <c r="AY1735" s="1151">
        <f t="shared" si="1293"/>
        <v>3.3896137119467893</v>
      </c>
      <c r="AZ1735" s="1147">
        <v>2.65</v>
      </c>
      <c r="BA1735" s="1159">
        <v>2115.5342009148649</v>
      </c>
      <c r="BB1735" s="1159">
        <v>2115.5342009148649</v>
      </c>
      <c r="BC1735" s="1159">
        <v>2115.5342009148649</v>
      </c>
      <c r="BD1735" s="1159">
        <v>2115.5342009148649</v>
      </c>
      <c r="BE1735" s="1159">
        <v>2115.5342009148649</v>
      </c>
      <c r="BF1735" s="1159">
        <v>2115.5342009148649</v>
      </c>
      <c r="BG1735" s="1159">
        <v>2115.5342009148649</v>
      </c>
      <c r="BH1735" s="1159">
        <v>2115.5342009148649</v>
      </c>
      <c r="BI1735" s="533"/>
      <c r="BJ1735" s="487"/>
      <c r="BK1735" s="490" t="e">
        <f>AZ1735*#REF!</f>
        <v>#REF!</v>
      </c>
      <c r="BL1735" s="486" t="e">
        <v>#REF!</v>
      </c>
      <c r="BM1735" s="486" t="e">
        <v>#REF!</v>
      </c>
      <c r="BN1735" s="486" t="e">
        <v>#REF!</v>
      </c>
      <c r="BO1735" s="486" t="e">
        <v>#REF!</v>
      </c>
      <c r="BP1735" s="486" t="e">
        <v>#REF!</v>
      </c>
      <c r="BQ1735" s="486" t="e">
        <v>#REF!</v>
      </c>
      <c r="BR1735" s="486" t="e">
        <v>#REF!</v>
      </c>
      <c r="BS1735" s="486" t="e">
        <v>#REF!</v>
      </c>
      <c r="BT1735" s="487"/>
      <c r="BU1735" s="487"/>
      <c r="BV1735" s="477"/>
      <c r="BW1735" s="477"/>
      <c r="BX1735" s="477"/>
      <c r="BY1735" s="477"/>
    </row>
    <row r="1736" spans="4:77" ht="20">
      <c r="D1736" s="425" t="s">
        <v>32</v>
      </c>
      <c r="E1736" s="425"/>
      <c r="G1736" s="428">
        <v>0.9</v>
      </c>
      <c r="H1736" s="428">
        <v>0.9</v>
      </c>
      <c r="I1736" s="428">
        <v>0.2</v>
      </c>
      <c r="J1736" s="428">
        <v>0.1</v>
      </c>
      <c r="K1736" s="428">
        <v>0.6</v>
      </c>
      <c r="L1736" s="428"/>
      <c r="M1736" s="428"/>
      <c r="N1736" s="428"/>
      <c r="O1736" s="428"/>
      <c r="P1736" s="429">
        <v>0.3</v>
      </c>
      <c r="Q1736" s="429"/>
      <c r="R1736" s="429"/>
      <c r="S1736" s="429"/>
      <c r="T1736" s="429"/>
      <c r="U1736" s="322"/>
      <c r="V1736" s="322"/>
      <c r="W1736" s="322"/>
      <c r="X1736" s="322"/>
      <c r="Y1736" s="322"/>
      <c r="Z1736" s="322"/>
      <c r="AA1736" s="322"/>
      <c r="AB1736" s="322"/>
      <c r="AC1736" s="322"/>
      <c r="AD1736" s="322"/>
      <c r="AE1736" s="322"/>
      <c r="AF1736" s="322"/>
      <c r="AG1736" s="322"/>
      <c r="AH1736" s="322"/>
      <c r="AI1736" s="322"/>
      <c r="AJ1736" s="322"/>
      <c r="AK1736" s="322"/>
      <c r="AL1736" s="322"/>
      <c r="AM1736" s="322"/>
      <c r="AN1736" s="322"/>
      <c r="AO1736" s="322"/>
      <c r="AP1736" s="322"/>
      <c r="AQ1736" s="322"/>
      <c r="AR1736" s="322"/>
      <c r="AS1736" s="322"/>
      <c r="AT1736" s="322"/>
      <c r="AU1736" s="476"/>
      <c r="AV1736" s="477"/>
      <c r="AW1736" s="477"/>
      <c r="AX1736" s="1382"/>
      <c r="AY1736" s="1151">
        <f t="shared" si="1293"/>
        <v>3.4535686876438989</v>
      </c>
      <c r="AZ1736" s="1147">
        <v>2.7</v>
      </c>
      <c r="BA1736" s="1159">
        <v>2115.5342009148649</v>
      </c>
      <c r="BB1736" s="1159">
        <v>2115.5342009148649</v>
      </c>
      <c r="BC1736" s="1159">
        <v>2115.5342009148649</v>
      </c>
      <c r="BD1736" s="1159">
        <v>2115.5342009148649</v>
      </c>
      <c r="BE1736" s="1159">
        <v>2115.5342009148649</v>
      </c>
      <c r="BF1736" s="1159">
        <v>2115.5342009148649</v>
      </c>
      <c r="BG1736" s="1159">
        <v>2115.5342009148649</v>
      </c>
      <c r="BH1736" s="1159">
        <v>2115.5342009148649</v>
      </c>
      <c r="BI1736" s="533"/>
      <c r="BJ1736" s="487"/>
      <c r="BK1736" s="490" t="e">
        <f>AZ1736*#REF!</f>
        <v>#REF!</v>
      </c>
      <c r="BL1736" s="486" t="e">
        <v>#REF!</v>
      </c>
      <c r="BM1736" s="486" t="e">
        <v>#REF!</v>
      </c>
      <c r="BN1736" s="486" t="e">
        <v>#REF!</v>
      </c>
      <c r="BO1736" s="486" t="e">
        <v>#REF!</v>
      </c>
      <c r="BP1736" s="486" t="e">
        <v>#REF!</v>
      </c>
      <c r="BQ1736" s="486" t="e">
        <v>#REF!</v>
      </c>
      <c r="BR1736" s="486" t="e">
        <v>#REF!</v>
      </c>
      <c r="BS1736" s="486" t="e">
        <v>#REF!</v>
      </c>
      <c r="BT1736" s="487"/>
      <c r="BU1736" s="487"/>
      <c r="BV1736" s="477"/>
      <c r="BW1736" s="477"/>
      <c r="BX1736" s="477"/>
      <c r="BY1736" s="477"/>
    </row>
    <row r="1737" spans="4:77" ht="20">
      <c r="P1737" s="322"/>
      <c r="Q1737" s="322"/>
      <c r="R1737" s="322"/>
      <c r="S1737" s="322"/>
      <c r="T1737" s="322"/>
      <c r="U1737" s="322"/>
      <c r="V1737" s="322"/>
      <c r="W1737" s="322"/>
      <c r="X1737" s="322"/>
      <c r="Y1737" s="322"/>
      <c r="Z1737" s="322"/>
      <c r="AA1737" s="322"/>
      <c r="AB1737" s="322"/>
      <c r="AC1737" s="322"/>
      <c r="AD1737" s="322"/>
      <c r="AE1737" s="322"/>
      <c r="AF1737" s="322"/>
      <c r="AG1737" s="322"/>
      <c r="AH1737" s="322"/>
      <c r="AI1737" s="322"/>
      <c r="AJ1737" s="322"/>
      <c r="AK1737" s="322"/>
      <c r="AL1737" s="322"/>
      <c r="AM1737" s="322"/>
      <c r="AN1737" s="322"/>
      <c r="AO1737" s="322"/>
      <c r="AP1737" s="322"/>
      <c r="AQ1737" s="322"/>
      <c r="AR1737" s="322"/>
      <c r="AS1737" s="322"/>
      <c r="AT1737" s="322"/>
      <c r="AU1737" s="476"/>
      <c r="AV1737" s="477"/>
      <c r="AW1737" s="477"/>
      <c r="AX1737" s="1382"/>
      <c r="AY1737" s="1151">
        <f t="shared" si="1293"/>
        <v>3.5175236633410076</v>
      </c>
      <c r="AZ1737" s="1147">
        <v>2.75</v>
      </c>
      <c r="BA1737" s="1159">
        <v>2115.5342009148649</v>
      </c>
      <c r="BB1737" s="1159">
        <v>2115.5342009148649</v>
      </c>
      <c r="BC1737" s="1159">
        <v>2115.5342009148649</v>
      </c>
      <c r="BD1737" s="1159">
        <v>2115.5342009148649</v>
      </c>
      <c r="BE1737" s="1159">
        <v>2115.5342009148649</v>
      </c>
      <c r="BF1737" s="1159">
        <v>2115.5342009148649</v>
      </c>
      <c r="BG1737" s="1159">
        <v>2115.5342009148649</v>
      </c>
      <c r="BH1737" s="1159">
        <v>2115.5342009148649</v>
      </c>
      <c r="BI1737" s="533"/>
      <c r="BJ1737" s="487"/>
      <c r="BK1737" s="490" t="e">
        <f>AZ1737*#REF!</f>
        <v>#REF!</v>
      </c>
      <c r="BL1737" s="486" t="e">
        <v>#REF!</v>
      </c>
      <c r="BM1737" s="486" t="e">
        <v>#REF!</v>
      </c>
      <c r="BN1737" s="486" t="e">
        <v>#REF!</v>
      </c>
      <c r="BO1737" s="486" t="e">
        <v>#REF!</v>
      </c>
      <c r="BP1737" s="486" t="e">
        <v>#REF!</v>
      </c>
      <c r="BQ1737" s="486" t="e">
        <v>#REF!</v>
      </c>
      <c r="BR1737" s="486" t="e">
        <v>#REF!</v>
      </c>
      <c r="BS1737" s="486" t="e">
        <v>#REF!</v>
      </c>
      <c r="BT1737" s="487"/>
      <c r="BU1737" s="487"/>
      <c r="BV1737" s="477"/>
      <c r="BW1737" s="477"/>
      <c r="BX1737" s="477"/>
      <c r="BY1737" s="477"/>
    </row>
    <row r="1738" spans="4:77" ht="20">
      <c r="P1738" s="322"/>
      <c r="Q1738" s="322"/>
      <c r="R1738" s="322"/>
      <c r="S1738" s="322"/>
      <c r="T1738" s="322"/>
      <c r="U1738" s="322"/>
      <c r="V1738" s="322"/>
      <c r="W1738" s="322"/>
      <c r="X1738" s="322"/>
      <c r="Y1738" s="322"/>
      <c r="Z1738" s="322"/>
      <c r="AA1738" s="322"/>
      <c r="AB1738" s="322"/>
      <c r="AC1738" s="322"/>
      <c r="AD1738" s="322"/>
      <c r="AE1738" s="322"/>
      <c r="AF1738" s="322"/>
      <c r="AG1738" s="322"/>
      <c r="AH1738" s="322"/>
      <c r="AI1738" s="322"/>
      <c r="AJ1738" s="322"/>
      <c r="AK1738" s="322"/>
      <c r="AL1738" s="322"/>
      <c r="AM1738" s="322"/>
      <c r="AN1738" s="322"/>
      <c r="AO1738" s="322"/>
      <c r="AP1738" s="322"/>
      <c r="AQ1738" s="322"/>
      <c r="AR1738" s="322"/>
      <c r="AS1738" s="322"/>
      <c r="AT1738" s="322"/>
      <c r="AU1738" s="476"/>
      <c r="AV1738" s="477"/>
      <c r="AW1738" s="477"/>
      <c r="AX1738" s="1382"/>
      <c r="AY1738" s="1151">
        <f t="shared" si="1293"/>
        <v>3.5814786390381168</v>
      </c>
      <c r="AZ1738" s="1147">
        <v>2.8</v>
      </c>
      <c r="BA1738" s="1159">
        <v>2115.5342009148649</v>
      </c>
      <c r="BB1738" s="1159">
        <v>2115.5342009148649</v>
      </c>
      <c r="BC1738" s="1159">
        <v>2115.5342009148649</v>
      </c>
      <c r="BD1738" s="1159">
        <v>2115.5342009148649</v>
      </c>
      <c r="BE1738" s="1159">
        <v>2115.5342009148649</v>
      </c>
      <c r="BF1738" s="1159">
        <v>2115.5342009148649</v>
      </c>
      <c r="BG1738" s="1159">
        <v>2115.5342009148649</v>
      </c>
      <c r="BH1738" s="1159">
        <v>2115.5342009148649</v>
      </c>
      <c r="BI1738" s="533"/>
      <c r="BJ1738" s="487"/>
      <c r="BK1738" s="490" t="e">
        <f>AZ1738*#REF!</f>
        <v>#REF!</v>
      </c>
      <c r="BL1738" s="486" t="e">
        <v>#REF!</v>
      </c>
      <c r="BM1738" s="486" t="e">
        <v>#REF!</v>
      </c>
      <c r="BN1738" s="486" t="e">
        <v>#REF!</v>
      </c>
      <c r="BO1738" s="486" t="e">
        <v>#REF!</v>
      </c>
      <c r="BP1738" s="486" t="e">
        <v>#REF!</v>
      </c>
      <c r="BQ1738" s="486" t="e">
        <v>#REF!</v>
      </c>
      <c r="BR1738" s="486" t="e">
        <v>#REF!</v>
      </c>
      <c r="BS1738" s="486" t="e">
        <v>#REF!</v>
      </c>
      <c r="BT1738" s="487"/>
      <c r="BU1738" s="487"/>
      <c r="BV1738" s="477"/>
      <c r="BW1738" s="477"/>
      <c r="BX1738" s="477"/>
      <c r="BY1738" s="477"/>
    </row>
    <row r="1739" spans="4:77" ht="20">
      <c r="P1739" s="322"/>
      <c r="Q1739" s="322"/>
      <c r="R1739" s="322"/>
      <c r="S1739" s="322"/>
      <c r="T1739" s="322"/>
      <c r="U1739" s="322"/>
      <c r="V1739" s="322"/>
      <c r="W1739" s="322"/>
      <c r="X1739" s="322"/>
      <c r="Y1739" s="322"/>
      <c r="Z1739" s="322"/>
      <c r="AA1739" s="322"/>
      <c r="AB1739" s="322"/>
      <c r="AC1739" s="322"/>
      <c r="AD1739" s="322"/>
      <c r="AE1739" s="322"/>
      <c r="AF1739" s="322"/>
      <c r="AG1739" s="322"/>
      <c r="AH1739" s="322"/>
      <c r="AI1739" s="322"/>
      <c r="AJ1739" s="322"/>
      <c r="AK1739" s="322"/>
      <c r="AL1739" s="322"/>
      <c r="AM1739" s="322"/>
      <c r="AN1739" s="322"/>
      <c r="AO1739" s="322"/>
      <c r="AP1739" s="322"/>
      <c r="AQ1739" s="322"/>
      <c r="AR1739" s="322"/>
      <c r="AS1739" s="322"/>
      <c r="AT1739" s="322"/>
      <c r="AU1739" s="476"/>
      <c r="AV1739" s="477"/>
      <c r="AW1739" s="477"/>
      <c r="AX1739" s="1382"/>
      <c r="AY1739" s="1151">
        <f t="shared" si="1293"/>
        <v>3.6454336147352264</v>
      </c>
      <c r="AZ1739" s="1147">
        <v>2.85</v>
      </c>
      <c r="BA1739" s="1159">
        <v>2115.5342009148649</v>
      </c>
      <c r="BB1739" s="1159">
        <v>2115.5342009148649</v>
      </c>
      <c r="BC1739" s="1159">
        <v>2115.5342009148649</v>
      </c>
      <c r="BD1739" s="1159">
        <v>2115.5342009148649</v>
      </c>
      <c r="BE1739" s="1159">
        <v>2115.5342009148649</v>
      </c>
      <c r="BF1739" s="1159">
        <v>2115.5342009148649</v>
      </c>
      <c r="BG1739" s="1159">
        <v>2115.5342009148649</v>
      </c>
      <c r="BH1739" s="1159">
        <v>2115.5342009148649</v>
      </c>
      <c r="BI1739" s="533"/>
      <c r="BJ1739" s="487"/>
      <c r="BK1739" s="490" t="e">
        <f>AZ1739*#REF!</f>
        <v>#REF!</v>
      </c>
      <c r="BL1739" s="486" t="e">
        <v>#REF!</v>
      </c>
      <c r="BM1739" s="486" t="e">
        <v>#REF!</v>
      </c>
      <c r="BN1739" s="486" t="e">
        <v>#REF!</v>
      </c>
      <c r="BO1739" s="486" t="e">
        <v>#REF!</v>
      </c>
      <c r="BP1739" s="486" t="e">
        <v>#REF!</v>
      </c>
      <c r="BQ1739" s="486" t="e">
        <v>#REF!</v>
      </c>
      <c r="BR1739" s="486" t="e">
        <v>#REF!</v>
      </c>
      <c r="BS1739" s="486" t="e">
        <v>#REF!</v>
      </c>
      <c r="BT1739" s="487"/>
      <c r="BU1739" s="487"/>
      <c r="BV1739" s="477"/>
      <c r="BW1739" s="477"/>
      <c r="BX1739" s="477"/>
      <c r="BY1739" s="477"/>
    </row>
    <row r="1740" spans="4:77" ht="20">
      <c r="P1740" s="322"/>
      <c r="Q1740" s="322"/>
      <c r="R1740" s="322"/>
      <c r="S1740" s="322"/>
      <c r="T1740" s="322"/>
      <c r="U1740" s="322"/>
      <c r="V1740" s="322"/>
      <c r="W1740" s="322"/>
      <c r="X1740" s="322"/>
      <c r="Y1740" s="322"/>
      <c r="Z1740" s="322"/>
      <c r="AA1740" s="322"/>
      <c r="AB1740" s="322"/>
      <c r="AC1740" s="322"/>
      <c r="AD1740" s="322"/>
      <c r="AE1740" s="322"/>
      <c r="AF1740" s="322"/>
      <c r="AG1740" s="322"/>
      <c r="AH1740" s="322"/>
      <c r="AI1740" s="322"/>
      <c r="AJ1740" s="322"/>
      <c r="AK1740" s="322"/>
      <c r="AL1740" s="322"/>
      <c r="AM1740" s="322"/>
      <c r="AN1740" s="322"/>
      <c r="AO1740" s="322"/>
      <c r="AP1740" s="322"/>
      <c r="AQ1740" s="322"/>
      <c r="AR1740" s="322"/>
      <c r="AS1740" s="322"/>
      <c r="AT1740" s="322"/>
      <c r="AU1740" s="476"/>
      <c r="AV1740" s="477"/>
      <c r="AW1740" s="477"/>
      <c r="AX1740" s="1382"/>
      <c r="AY1740" s="1151">
        <f t="shared" si="1293"/>
        <v>3.7093885904323352</v>
      </c>
      <c r="AZ1740" s="1147">
        <v>2.9</v>
      </c>
      <c r="BA1740" s="1159">
        <v>2115.5342009148649</v>
      </c>
      <c r="BB1740" s="1159">
        <v>2115.5342009148649</v>
      </c>
      <c r="BC1740" s="1159">
        <v>2115.5342009148649</v>
      </c>
      <c r="BD1740" s="1159">
        <v>2115.5342009148649</v>
      </c>
      <c r="BE1740" s="1159">
        <v>2115.5342009148649</v>
      </c>
      <c r="BF1740" s="1159">
        <v>2115.5342009148649</v>
      </c>
      <c r="BG1740" s="1159">
        <v>2115.5342009148649</v>
      </c>
      <c r="BH1740" s="1159">
        <v>2115.5342009148649</v>
      </c>
      <c r="BI1740" s="533"/>
      <c r="BJ1740" s="487"/>
      <c r="BK1740" s="490" t="e">
        <f>AZ1740*#REF!</f>
        <v>#REF!</v>
      </c>
      <c r="BL1740" s="486" t="e">
        <v>#REF!</v>
      </c>
      <c r="BM1740" s="486" t="e">
        <v>#REF!</v>
      </c>
      <c r="BN1740" s="486" t="e">
        <v>#REF!</v>
      </c>
      <c r="BO1740" s="486" t="e">
        <v>#REF!</v>
      </c>
      <c r="BP1740" s="486" t="e">
        <v>#REF!</v>
      </c>
      <c r="BQ1740" s="486" t="e">
        <v>#REF!</v>
      </c>
      <c r="BR1740" s="486" t="e">
        <v>#REF!</v>
      </c>
      <c r="BS1740" s="486" t="e">
        <v>#REF!</v>
      </c>
      <c r="BT1740" s="487"/>
      <c r="BU1740" s="487"/>
      <c r="BV1740" s="477"/>
      <c r="BW1740" s="477"/>
      <c r="BX1740" s="477"/>
      <c r="BY1740" s="477"/>
    </row>
    <row r="1741" spans="4:77" ht="20">
      <c r="P1741" s="322"/>
      <c r="Q1741" s="322"/>
      <c r="R1741" s="322"/>
      <c r="S1741" s="322"/>
      <c r="T1741" s="322"/>
      <c r="U1741" s="322"/>
      <c r="V1741" s="322"/>
      <c r="W1741" s="322"/>
      <c r="X1741" s="322"/>
      <c r="Y1741" s="322"/>
      <c r="Z1741" s="322"/>
      <c r="AA1741" s="322"/>
      <c r="AB1741" s="322"/>
      <c r="AC1741" s="322"/>
      <c r="AD1741" s="322"/>
      <c r="AE1741" s="322"/>
      <c r="AF1741" s="322"/>
      <c r="AG1741" s="322"/>
      <c r="AH1741" s="322"/>
      <c r="AI1741" s="322"/>
      <c r="AJ1741" s="322"/>
      <c r="AK1741" s="322"/>
      <c r="AL1741" s="322"/>
      <c r="AM1741" s="322"/>
      <c r="AN1741" s="322"/>
      <c r="AO1741" s="322"/>
      <c r="AP1741" s="322"/>
      <c r="AQ1741" s="322"/>
      <c r="AR1741" s="322"/>
      <c r="AS1741" s="322"/>
      <c r="AT1741" s="322"/>
      <c r="AU1741" s="476"/>
      <c r="AV1741" s="477"/>
      <c r="AW1741" s="477"/>
      <c r="AX1741" s="535"/>
      <c r="AY1741" s="1151">
        <f t="shared" si="1293"/>
        <v>3.7733435661294448</v>
      </c>
      <c r="AZ1741" s="1147">
        <v>2.95</v>
      </c>
      <c r="BA1741" s="1159">
        <v>2115.5342009148649</v>
      </c>
      <c r="BB1741" s="1159">
        <v>2115.5342009148649</v>
      </c>
      <c r="BC1741" s="1159">
        <v>2115.5342009148649</v>
      </c>
      <c r="BD1741" s="1159">
        <v>2115.5342009148649</v>
      </c>
      <c r="BE1741" s="1159">
        <v>2115.5342009148649</v>
      </c>
      <c r="BF1741" s="1159">
        <v>2115.5342009148649</v>
      </c>
      <c r="BG1741" s="1159">
        <v>2115.5342009148649</v>
      </c>
      <c r="BH1741" s="1159">
        <v>2115.5342009148649</v>
      </c>
      <c r="BI1741" s="533"/>
      <c r="BJ1741" s="487"/>
      <c r="BK1741" s="490" t="e">
        <f>AZ1741*#REF!</f>
        <v>#REF!</v>
      </c>
      <c r="BL1741" s="486" t="e">
        <v>#REF!</v>
      </c>
      <c r="BM1741" s="486" t="e">
        <v>#REF!</v>
      </c>
      <c r="BN1741" s="486" t="e">
        <v>#REF!</v>
      </c>
      <c r="BO1741" s="486" t="e">
        <v>#REF!</v>
      </c>
      <c r="BP1741" s="486" t="e">
        <v>#REF!</v>
      </c>
      <c r="BQ1741" s="486" t="e">
        <v>#REF!</v>
      </c>
      <c r="BR1741" s="486" t="e">
        <v>#REF!</v>
      </c>
      <c r="BS1741" s="486" t="e">
        <v>#REF!</v>
      </c>
      <c r="BT1741" s="487"/>
      <c r="BU1741" s="487"/>
      <c r="BV1741" s="477"/>
      <c r="BW1741" s="477"/>
      <c r="BX1741" s="477"/>
      <c r="BY1741" s="477"/>
    </row>
    <row r="1742" spans="4:77" ht="20">
      <c r="P1742" s="322"/>
      <c r="Q1742" s="322"/>
      <c r="R1742" s="322"/>
      <c r="S1742" s="322"/>
      <c r="T1742" s="322"/>
      <c r="U1742" s="322"/>
      <c r="V1742" s="322"/>
      <c r="W1742" s="322"/>
      <c r="X1742" s="322"/>
      <c r="Y1742" s="322"/>
      <c r="Z1742" s="322"/>
      <c r="AA1742" s="322"/>
      <c r="AB1742" s="322"/>
      <c r="AC1742" s="322"/>
      <c r="AD1742" s="322"/>
      <c r="AE1742" s="322"/>
      <c r="AF1742" s="322"/>
      <c r="AG1742" s="322"/>
      <c r="AH1742" s="322"/>
      <c r="AI1742" s="322"/>
      <c r="AJ1742" s="322"/>
      <c r="AK1742" s="322"/>
      <c r="AL1742" s="322"/>
      <c r="AM1742" s="322"/>
      <c r="AN1742" s="322"/>
      <c r="AO1742" s="322"/>
      <c r="AP1742" s="322"/>
      <c r="AQ1742" s="322"/>
      <c r="AR1742" s="322"/>
      <c r="AS1742" s="322"/>
      <c r="AT1742" s="322"/>
      <c r="AU1742" s="476"/>
      <c r="AV1742" s="477"/>
      <c r="AW1742" s="477"/>
      <c r="AX1742" s="487"/>
      <c r="AY1742" s="1151">
        <f t="shared" si="1293"/>
        <v>3.8372985418265539</v>
      </c>
      <c r="AZ1742" s="1147">
        <v>3</v>
      </c>
      <c r="BA1742" s="1159">
        <v>2115.5342009148649</v>
      </c>
      <c r="BB1742" s="1159">
        <v>2115.5342009148649</v>
      </c>
      <c r="BC1742" s="1159">
        <v>2115.5342009148649</v>
      </c>
      <c r="BD1742" s="1159">
        <v>2115.5342009148649</v>
      </c>
      <c r="BE1742" s="1159">
        <v>2115.5342009148649</v>
      </c>
      <c r="BF1742" s="1159">
        <v>2115.5342009148649</v>
      </c>
      <c r="BG1742" s="1159">
        <v>2115.5342009148649</v>
      </c>
      <c r="BH1742" s="1159">
        <v>2115.5342009148649</v>
      </c>
      <c r="BI1742" s="533"/>
      <c r="BJ1742" s="487"/>
      <c r="BK1742" s="490" t="e">
        <f>AZ1742*#REF!</f>
        <v>#REF!</v>
      </c>
      <c r="BL1742" s="486" t="e">
        <v>#REF!</v>
      </c>
      <c r="BM1742" s="486" t="e">
        <v>#REF!</v>
      </c>
      <c r="BN1742" s="486" t="e">
        <v>#REF!</v>
      </c>
      <c r="BO1742" s="486" t="e">
        <v>#REF!</v>
      </c>
      <c r="BP1742" s="486" t="e">
        <v>#REF!</v>
      </c>
      <c r="BQ1742" s="486" t="e">
        <v>#REF!</v>
      </c>
      <c r="BR1742" s="486" t="e">
        <v>#REF!</v>
      </c>
      <c r="BS1742" s="486" t="e">
        <v>#REF!</v>
      </c>
      <c r="BT1742" s="487"/>
      <c r="BU1742" s="487"/>
      <c r="BV1742" s="477"/>
      <c r="BW1742" s="477"/>
      <c r="BX1742" s="477"/>
      <c r="BY1742" s="477"/>
    </row>
    <row r="1743" spans="4:77" ht="20">
      <c r="P1743" s="322"/>
      <c r="Q1743" s="322"/>
      <c r="R1743" s="322"/>
      <c r="S1743" s="322"/>
      <c r="T1743" s="322"/>
      <c r="U1743" s="322"/>
      <c r="V1743" s="322"/>
      <c r="W1743" s="322"/>
      <c r="X1743" s="322"/>
      <c r="Y1743" s="322"/>
      <c r="Z1743" s="322"/>
      <c r="AA1743" s="322"/>
      <c r="AB1743" s="322"/>
      <c r="AC1743" s="322"/>
      <c r="AD1743" s="322"/>
      <c r="AE1743" s="322"/>
      <c r="AF1743" s="322"/>
      <c r="AG1743" s="322"/>
      <c r="AH1743" s="322"/>
      <c r="AI1743" s="322"/>
      <c r="AJ1743" s="322"/>
      <c r="AK1743" s="322"/>
      <c r="AL1743" s="322"/>
      <c r="AM1743" s="322"/>
      <c r="AN1743" s="322"/>
      <c r="AO1743" s="322"/>
      <c r="AP1743" s="322"/>
      <c r="AQ1743" s="322"/>
      <c r="AR1743" s="322"/>
      <c r="AS1743" s="322"/>
      <c r="AT1743" s="322"/>
      <c r="AU1743" s="476"/>
      <c r="AV1743" s="477"/>
      <c r="AW1743" s="477"/>
      <c r="AX1743" s="487"/>
      <c r="AY1743" s="1151">
        <f t="shared" si="1293"/>
        <v>3.9012535175236627</v>
      </c>
      <c r="AZ1743" s="1147">
        <v>3.05</v>
      </c>
      <c r="BA1743" s="1159">
        <v>2115.5342009148649</v>
      </c>
      <c r="BB1743" s="1159">
        <v>2115.5342009148649</v>
      </c>
      <c r="BC1743" s="1159">
        <v>2115.5342009148649</v>
      </c>
      <c r="BD1743" s="1159">
        <v>2115.5342009148649</v>
      </c>
      <c r="BE1743" s="1159">
        <v>2115.5342009148649</v>
      </c>
      <c r="BF1743" s="1159">
        <v>2115.5342009148649</v>
      </c>
      <c r="BG1743" s="1159">
        <v>2115.5342009148649</v>
      </c>
      <c r="BH1743" s="1159">
        <v>2115.5342009148649</v>
      </c>
      <c r="BI1743" s="533"/>
      <c r="BJ1743" s="487"/>
      <c r="BK1743" s="490" t="e">
        <f>AZ1743*#REF!</f>
        <v>#REF!</v>
      </c>
      <c r="BL1743" s="486" t="e">
        <v>#REF!</v>
      </c>
      <c r="BM1743" s="486" t="e">
        <v>#REF!</v>
      </c>
      <c r="BN1743" s="486" t="e">
        <v>#REF!</v>
      </c>
      <c r="BO1743" s="486" t="e">
        <v>#REF!</v>
      </c>
      <c r="BP1743" s="486" t="e">
        <v>#REF!</v>
      </c>
      <c r="BQ1743" s="486" t="e">
        <v>#REF!</v>
      </c>
      <c r="BR1743" s="486" t="e">
        <v>#REF!</v>
      </c>
      <c r="BS1743" s="486" t="e">
        <v>#REF!</v>
      </c>
      <c r="BT1743" s="487"/>
      <c r="BU1743" s="487"/>
      <c r="BV1743" s="477"/>
      <c r="BW1743" s="477"/>
      <c r="BX1743" s="477"/>
      <c r="BY1743" s="477"/>
    </row>
    <row r="1744" spans="4:77" ht="20">
      <c r="P1744" s="322"/>
      <c r="Q1744" s="322"/>
      <c r="R1744" s="322"/>
      <c r="S1744" s="322"/>
      <c r="T1744" s="322"/>
      <c r="U1744" s="322"/>
      <c r="V1744" s="322"/>
      <c r="W1744" s="322"/>
      <c r="X1744" s="322"/>
      <c r="Y1744" s="322"/>
      <c r="Z1744" s="322"/>
      <c r="AA1744" s="322"/>
      <c r="AB1744" s="322"/>
      <c r="AC1744" s="322"/>
      <c r="AD1744" s="322"/>
      <c r="AE1744" s="322"/>
      <c r="AF1744" s="322"/>
      <c r="AG1744" s="322"/>
      <c r="AH1744" s="322"/>
      <c r="AI1744" s="322"/>
      <c r="AJ1744" s="322"/>
      <c r="AK1744" s="322"/>
      <c r="AL1744" s="322"/>
      <c r="AM1744" s="322"/>
      <c r="AN1744" s="322"/>
      <c r="AO1744" s="322"/>
      <c r="AP1744" s="322"/>
      <c r="AQ1744" s="322"/>
      <c r="AR1744" s="322"/>
      <c r="AS1744" s="322"/>
      <c r="AT1744" s="322"/>
      <c r="AU1744" s="476"/>
      <c r="AV1744" s="477"/>
      <c r="AW1744" s="477"/>
      <c r="AX1744" s="533"/>
      <c r="AY1744" s="529"/>
      <c r="AZ1744" s="533"/>
      <c r="BA1744" s="533"/>
      <c r="BB1744" s="533"/>
      <c r="BC1744" s="533"/>
      <c r="BD1744" s="533"/>
      <c r="BE1744" s="533"/>
      <c r="BF1744" s="533"/>
      <c r="BG1744" s="533"/>
      <c r="BH1744" s="533"/>
      <c r="BI1744" s="533"/>
      <c r="BJ1744" s="487"/>
      <c r="BK1744" s="489"/>
      <c r="BL1744" s="487"/>
      <c r="BM1744" s="487"/>
      <c r="BN1744" s="487"/>
      <c r="BO1744" s="487"/>
      <c r="BP1744" s="487"/>
      <c r="BQ1744" s="487"/>
      <c r="BR1744" s="487"/>
      <c r="BS1744" s="487"/>
      <c r="BT1744" s="487"/>
      <c r="BU1744" s="487"/>
      <c r="BV1744" s="477"/>
      <c r="BW1744" s="477"/>
      <c r="BX1744" s="477"/>
      <c r="BY1744" s="477"/>
    </row>
    <row r="1745" spans="4:77" ht="20">
      <c r="P1745" s="322"/>
      <c r="Q1745" s="322"/>
      <c r="R1745" s="322"/>
      <c r="S1745" s="322"/>
      <c r="T1745" s="322"/>
      <c r="U1745" s="322"/>
      <c r="V1745" s="322"/>
      <c r="W1745" s="322"/>
      <c r="X1745" s="322"/>
      <c r="Y1745" s="322"/>
      <c r="Z1745" s="322"/>
      <c r="AA1745" s="322"/>
      <c r="AB1745" s="322"/>
      <c r="AC1745" s="322"/>
      <c r="AD1745" s="322"/>
      <c r="AE1745" s="322"/>
      <c r="AF1745" s="322"/>
      <c r="AG1745" s="322"/>
      <c r="AH1745" s="322"/>
      <c r="AI1745" s="322"/>
      <c r="AJ1745" s="322"/>
      <c r="AK1745" s="322"/>
      <c r="AL1745" s="322"/>
      <c r="AM1745" s="322"/>
      <c r="AN1745" s="322"/>
      <c r="AO1745" s="322"/>
      <c r="AP1745" s="322"/>
      <c r="AQ1745" s="322"/>
      <c r="AR1745" s="322"/>
      <c r="AS1745" s="322"/>
      <c r="AT1745" s="322"/>
      <c r="AU1745" s="476"/>
      <c r="AV1745" s="477"/>
      <c r="AW1745" s="477"/>
      <c r="AX1745" s="533"/>
      <c r="AY1745" s="533"/>
      <c r="AZ1745" s="533"/>
      <c r="BA1745" s="533"/>
      <c r="BB1745" s="533"/>
      <c r="BC1745" s="533"/>
      <c r="BD1745" s="533"/>
      <c r="BE1745" s="533"/>
      <c r="BF1745" s="533"/>
      <c r="BG1745" s="533"/>
      <c r="BH1745" s="533"/>
      <c r="BI1745" s="533"/>
      <c r="BJ1745" s="487"/>
      <c r="BK1745" s="487"/>
      <c r="BL1745" s="487"/>
      <c r="BM1745" s="487"/>
      <c r="BN1745" s="487"/>
      <c r="BO1745" s="487"/>
      <c r="BP1745" s="487"/>
      <c r="BQ1745" s="487"/>
      <c r="BR1745" s="487"/>
      <c r="BS1745" s="487"/>
      <c r="BT1745" s="487"/>
      <c r="BU1745" s="487"/>
      <c r="BV1745" s="477"/>
      <c r="BW1745" s="477"/>
      <c r="BX1745" s="477"/>
      <c r="BY1745" s="477"/>
    </row>
    <row r="1746" spans="4:77" ht="20.5" thickBot="1">
      <c r="D1746" s="423" t="s">
        <v>104</v>
      </c>
      <c r="E1746" s="423"/>
      <c r="G1746" s="426" t="s">
        <v>0</v>
      </c>
      <c r="H1746" s="426" t="s">
        <v>0</v>
      </c>
      <c r="I1746" s="426" t="s">
        <v>0</v>
      </c>
      <c r="J1746" s="424" t="s">
        <v>0</v>
      </c>
      <c r="K1746" s="424" t="s">
        <v>0</v>
      </c>
      <c r="L1746" s="424"/>
      <c r="M1746" s="424"/>
      <c r="N1746" s="424"/>
      <c r="O1746" s="424"/>
      <c r="P1746" s="419" t="s">
        <v>0</v>
      </c>
      <c r="Q1746" s="419"/>
      <c r="R1746" s="419"/>
      <c r="S1746" s="419"/>
      <c r="T1746" s="419"/>
      <c r="U1746" s="322"/>
      <c r="V1746" s="322"/>
      <c r="W1746" s="322"/>
      <c r="X1746" s="322"/>
      <c r="Y1746" s="322"/>
      <c r="Z1746" s="322"/>
      <c r="AA1746" s="322"/>
      <c r="AB1746" s="322"/>
      <c r="AC1746" s="322"/>
      <c r="AD1746" s="322"/>
      <c r="AE1746" s="322"/>
      <c r="AF1746" s="322"/>
      <c r="AG1746" s="322"/>
      <c r="AH1746" s="322"/>
      <c r="AI1746" s="322"/>
      <c r="AJ1746" s="322"/>
      <c r="AK1746" s="322"/>
      <c r="AL1746" s="322"/>
      <c r="AM1746" s="322"/>
      <c r="AN1746" s="322"/>
      <c r="AO1746" s="322"/>
      <c r="AP1746" s="322"/>
      <c r="AQ1746" s="322"/>
      <c r="AR1746" s="322"/>
      <c r="AS1746" s="322"/>
      <c r="AT1746" s="322"/>
      <c r="AU1746" s="479"/>
      <c r="AV1746" s="480"/>
      <c r="AW1746" s="480"/>
      <c r="AX1746" s="534"/>
      <c r="AY1746" s="534"/>
      <c r="AZ1746" s="534"/>
      <c r="BA1746" s="534"/>
      <c r="BB1746" s="534"/>
      <c r="BC1746" s="534"/>
      <c r="BD1746" s="534"/>
      <c r="BE1746" s="534"/>
      <c r="BF1746" s="534"/>
      <c r="BG1746" s="534"/>
      <c r="BH1746" s="534"/>
      <c r="BI1746" s="534"/>
      <c r="BJ1746" s="511"/>
      <c r="BK1746" s="511"/>
      <c r="BL1746" s="511"/>
      <c r="BM1746" s="511"/>
      <c r="BN1746" s="511"/>
      <c r="BO1746" s="511"/>
      <c r="BP1746" s="511"/>
      <c r="BQ1746" s="511"/>
      <c r="BR1746" s="511"/>
      <c r="BS1746" s="511"/>
      <c r="BT1746" s="511"/>
      <c r="BU1746" s="511"/>
      <c r="BV1746" s="480"/>
      <c r="BW1746" s="480"/>
      <c r="BX1746" s="480"/>
      <c r="BY1746" s="480"/>
    </row>
    <row r="1747" spans="4:77" ht="16" thickBot="1">
      <c r="P1747" s="322"/>
      <c r="Q1747" s="322"/>
      <c r="R1747" s="322"/>
      <c r="S1747" s="322"/>
      <c r="T1747" s="322"/>
      <c r="U1747" s="322"/>
      <c r="V1747" s="322"/>
      <c r="W1747" s="322"/>
      <c r="X1747" s="322"/>
      <c r="Y1747" s="322"/>
      <c r="Z1747" s="322"/>
      <c r="AA1747" s="322"/>
      <c r="AB1747" s="322"/>
      <c r="AC1747" s="322"/>
      <c r="AD1747" s="322"/>
      <c r="AE1747" s="322"/>
      <c r="AF1747" s="322"/>
      <c r="AG1747" s="322"/>
      <c r="AH1747" s="322"/>
      <c r="AI1747" s="322"/>
      <c r="AJ1747" s="322"/>
      <c r="AK1747" s="322"/>
      <c r="AL1747" s="322"/>
      <c r="AM1747" s="322"/>
      <c r="AN1747" s="322"/>
      <c r="AO1747" s="322"/>
      <c r="AP1747" s="322"/>
      <c r="AQ1747" s="322"/>
      <c r="AR1747" s="322"/>
      <c r="AS1747" s="322"/>
      <c r="AT1747" s="322"/>
    </row>
    <row r="1748" spans="4:77">
      <c r="D1748" s="432" t="s">
        <v>146</v>
      </c>
      <c r="E1748" s="432"/>
      <c r="G1748" s="426" t="s">
        <v>0</v>
      </c>
      <c r="H1748" s="426" t="s">
        <v>0</v>
      </c>
      <c r="I1748" s="426" t="s">
        <v>0</v>
      </c>
      <c r="J1748" s="424" t="s">
        <v>0</v>
      </c>
      <c r="K1748" s="424" t="s">
        <v>0</v>
      </c>
      <c r="L1748" s="424"/>
      <c r="M1748" s="424"/>
      <c r="N1748" s="424"/>
      <c r="O1748" s="424"/>
      <c r="P1748" s="419" t="s">
        <v>0</v>
      </c>
      <c r="Q1748" s="419"/>
      <c r="R1748" s="419"/>
      <c r="S1748" s="419"/>
      <c r="T1748" s="419"/>
      <c r="U1748" s="322"/>
      <c r="V1748" s="322"/>
      <c r="W1748" s="322"/>
      <c r="X1748" s="322"/>
      <c r="Y1748" s="322"/>
      <c r="Z1748" s="322"/>
      <c r="AA1748" s="322"/>
      <c r="AB1748" s="322"/>
      <c r="AC1748" s="322"/>
      <c r="AD1748" s="322"/>
      <c r="AE1748" s="322"/>
      <c r="AF1748" s="322"/>
      <c r="AG1748" s="322"/>
      <c r="AH1748" s="322"/>
      <c r="AI1748" s="322"/>
      <c r="AJ1748" s="322"/>
      <c r="AK1748" s="322"/>
      <c r="AL1748" s="322"/>
      <c r="AM1748" s="322"/>
      <c r="AN1748" s="322"/>
      <c r="AO1748" s="322"/>
      <c r="AP1748" s="322"/>
      <c r="AQ1748" s="322"/>
      <c r="AR1748" s="322"/>
      <c r="AS1748" s="322"/>
      <c r="AT1748" s="322"/>
      <c r="AU1748" s="491" t="s">
        <v>542</v>
      </c>
      <c r="AV1748" s="474"/>
      <c r="AW1748" s="474"/>
      <c r="AX1748" s="474"/>
      <c r="AY1748" s="474"/>
      <c r="AZ1748" s="474"/>
      <c r="BA1748" s="474"/>
      <c r="BB1748" s="474"/>
      <c r="BC1748" s="474"/>
      <c r="BD1748" s="474"/>
      <c r="BE1748" s="474"/>
      <c r="BF1748" s="474"/>
      <c r="BG1748" s="474"/>
      <c r="BH1748" s="474"/>
      <c r="BI1748" s="474"/>
      <c r="BJ1748" s="475"/>
    </row>
    <row r="1749" spans="4:77">
      <c r="D1749" s="433" t="s">
        <v>107</v>
      </c>
      <c r="E1749" s="433"/>
      <c r="G1749" s="421">
        <v>882</v>
      </c>
      <c r="H1749" s="421">
        <v>943</v>
      </c>
      <c r="I1749" s="421">
        <v>999</v>
      </c>
      <c r="J1749" s="421">
        <v>750</v>
      </c>
      <c r="K1749" s="421">
        <v>733</v>
      </c>
      <c r="L1749" s="421"/>
      <c r="M1749" s="421"/>
      <c r="N1749" s="421"/>
      <c r="O1749" s="421"/>
      <c r="P1749" s="422">
        <v>941</v>
      </c>
      <c r="Q1749" s="422"/>
      <c r="R1749" s="422"/>
      <c r="S1749" s="422"/>
      <c r="T1749" s="422"/>
      <c r="U1749" s="322"/>
      <c r="V1749" s="322"/>
      <c r="W1749" s="322"/>
      <c r="X1749" s="322"/>
      <c r="Y1749" s="322"/>
      <c r="Z1749" s="322"/>
      <c r="AA1749" s="322"/>
      <c r="AB1749" s="322"/>
      <c r="AC1749" s="322"/>
      <c r="AD1749" s="322"/>
      <c r="AE1749" s="322"/>
      <c r="AF1749" s="322"/>
      <c r="AG1749" s="322"/>
      <c r="AH1749" s="322"/>
      <c r="AI1749" s="322"/>
      <c r="AJ1749" s="322"/>
      <c r="AK1749" s="322"/>
      <c r="AL1749" s="322"/>
      <c r="AM1749" s="322"/>
      <c r="AN1749" s="322"/>
      <c r="AO1749" s="322"/>
      <c r="AP1749" s="322"/>
      <c r="AQ1749" s="322"/>
      <c r="AR1749" s="322"/>
      <c r="AS1749" s="322"/>
      <c r="AT1749" s="322"/>
      <c r="AU1749" s="476"/>
      <c r="AV1749" s="477"/>
      <c r="AW1749" s="477"/>
      <c r="AX1749" s="477"/>
      <c r="AY1749" s="477"/>
      <c r="AZ1749" s="477"/>
      <c r="BA1749" s="477"/>
      <c r="BB1749" s="477"/>
      <c r="BC1749" s="477"/>
      <c r="BD1749" s="477"/>
      <c r="BE1749" s="477"/>
      <c r="BF1749" s="477"/>
      <c r="BG1749" s="477"/>
      <c r="BH1749" s="477"/>
      <c r="BI1749" s="477"/>
      <c r="BJ1749" s="478"/>
    </row>
    <row r="1750" spans="4:77">
      <c r="D1750" s="433" t="s">
        <v>108</v>
      </c>
      <c r="E1750" s="433"/>
      <c r="G1750" s="421">
        <v>822</v>
      </c>
      <c r="H1750" s="421">
        <v>659</v>
      </c>
      <c r="I1750" s="421">
        <v>634</v>
      </c>
      <c r="J1750" s="421">
        <v>627</v>
      </c>
      <c r="K1750" s="421">
        <v>936</v>
      </c>
      <c r="L1750" s="421"/>
      <c r="M1750" s="421"/>
      <c r="N1750" s="421"/>
      <c r="O1750" s="421"/>
      <c r="P1750" s="422">
        <v>1061</v>
      </c>
      <c r="Q1750" s="422"/>
      <c r="R1750" s="422"/>
      <c r="S1750" s="422"/>
      <c r="T1750" s="422"/>
      <c r="U1750" s="322"/>
      <c r="V1750" s="322"/>
      <c r="W1750" s="322"/>
      <c r="X1750" s="322"/>
      <c r="Y1750" s="322"/>
      <c r="Z1750" s="322"/>
      <c r="AA1750" s="322"/>
      <c r="AB1750" s="322"/>
      <c r="AC1750" s="322"/>
      <c r="AD1750" s="322"/>
      <c r="AE1750" s="322"/>
      <c r="AF1750" s="322"/>
      <c r="AG1750" s="322"/>
      <c r="AH1750" s="322"/>
      <c r="AI1750" s="322"/>
      <c r="AJ1750" s="322"/>
      <c r="AK1750" s="322"/>
      <c r="AL1750" s="322"/>
      <c r="AM1750" s="322"/>
      <c r="AN1750" s="322"/>
      <c r="AO1750" s="322"/>
      <c r="AP1750" s="322"/>
      <c r="AQ1750" s="322"/>
      <c r="AR1750" s="322"/>
      <c r="AS1750" s="322"/>
      <c r="AT1750" s="322"/>
      <c r="AU1750" s="476"/>
      <c r="AV1750" s="477"/>
      <c r="AW1750" s="477"/>
      <c r="AX1750" s="477"/>
      <c r="AY1750" s="477"/>
      <c r="AZ1750" s="477"/>
      <c r="BA1750" s="477"/>
      <c r="BB1750" s="477"/>
      <c r="BC1750" s="477"/>
      <c r="BD1750" s="477"/>
      <c r="BE1750" s="477"/>
      <c r="BF1750" s="477"/>
      <c r="BG1750" s="477"/>
      <c r="BH1750" s="477"/>
      <c r="BI1750" s="477"/>
      <c r="BJ1750" s="478"/>
    </row>
    <row r="1751" spans="4:77" ht="16" thickBot="1">
      <c r="D1751" s="433" t="s">
        <v>109</v>
      </c>
      <c r="E1751" s="433"/>
      <c r="G1751" s="421">
        <v>422</v>
      </c>
      <c r="H1751" s="421">
        <v>375</v>
      </c>
      <c r="I1751" s="421">
        <v>288</v>
      </c>
      <c r="J1751" s="421">
        <v>229</v>
      </c>
      <c r="K1751" s="421">
        <v>182</v>
      </c>
      <c r="L1751" s="421"/>
      <c r="M1751" s="421"/>
      <c r="N1751" s="421"/>
      <c r="O1751" s="421"/>
      <c r="P1751" s="422">
        <v>224</v>
      </c>
      <c r="Q1751" s="422"/>
      <c r="R1751" s="422"/>
      <c r="S1751" s="422"/>
      <c r="T1751" s="422"/>
      <c r="U1751" s="322"/>
      <c r="V1751" s="322"/>
      <c r="W1751" s="322"/>
      <c r="X1751" s="322"/>
      <c r="Y1751" s="322"/>
      <c r="Z1751" s="322"/>
      <c r="AA1751" s="322"/>
      <c r="AB1751" s="322"/>
      <c r="AC1751" s="322"/>
      <c r="AD1751" s="322"/>
      <c r="AE1751" s="322"/>
      <c r="AF1751" s="322"/>
      <c r="AG1751" s="322"/>
      <c r="AH1751" s="322"/>
      <c r="AI1751" s="322"/>
      <c r="AJ1751" s="322"/>
      <c r="AK1751" s="322"/>
      <c r="AL1751" s="322"/>
      <c r="AM1751" s="322"/>
      <c r="AN1751" s="322"/>
      <c r="AO1751" s="322"/>
      <c r="AP1751" s="322"/>
      <c r="AQ1751" s="322"/>
      <c r="AR1751" s="322"/>
      <c r="AS1751" s="322"/>
      <c r="AT1751" s="322"/>
      <c r="AU1751" s="476"/>
      <c r="AV1751" s="477"/>
      <c r="AW1751" s="477"/>
      <c r="AX1751" s="477"/>
      <c r="AY1751" s="477"/>
      <c r="AZ1751" s="477"/>
      <c r="BA1751" s="477"/>
      <c r="BB1751" s="477"/>
      <c r="BC1751" s="477"/>
      <c r="BD1751" s="477"/>
      <c r="BE1751" s="477"/>
      <c r="BF1751" s="477"/>
      <c r="BG1751" s="477"/>
      <c r="BH1751" s="477"/>
      <c r="BI1751" s="477"/>
      <c r="BJ1751" s="478"/>
    </row>
    <row r="1752" spans="4:77" ht="20">
      <c r="D1752" s="433" t="s">
        <v>110</v>
      </c>
      <c r="E1752" s="433"/>
      <c r="G1752" s="421">
        <v>606</v>
      </c>
      <c r="H1752" s="421">
        <v>504</v>
      </c>
      <c r="I1752" s="421">
        <v>442</v>
      </c>
      <c r="J1752" s="421">
        <v>401</v>
      </c>
      <c r="K1752" s="421">
        <v>549</v>
      </c>
      <c r="L1752" s="421"/>
      <c r="M1752" s="421"/>
      <c r="N1752" s="421"/>
      <c r="O1752" s="421"/>
      <c r="P1752" s="422">
        <v>488</v>
      </c>
      <c r="Q1752" s="422"/>
      <c r="R1752" s="422"/>
      <c r="S1752" s="422"/>
      <c r="T1752" s="422"/>
      <c r="U1752" s="322"/>
      <c r="V1752" s="322"/>
      <c r="W1752" s="322"/>
      <c r="X1752" s="322"/>
      <c r="Y1752" s="322"/>
      <c r="Z1752" s="322"/>
      <c r="AA1752" s="322"/>
      <c r="AB1752" s="322"/>
      <c r="AC1752" s="322"/>
      <c r="AD1752" s="322"/>
      <c r="AE1752" s="322"/>
      <c r="AF1752" s="322"/>
      <c r="AG1752" s="322"/>
      <c r="AH1752" s="322"/>
      <c r="AI1752" s="322"/>
      <c r="AJ1752" s="322"/>
      <c r="AK1752" s="322"/>
      <c r="AL1752" s="322"/>
      <c r="AM1752" s="322"/>
      <c r="AN1752" s="322"/>
      <c r="AO1752" s="322"/>
      <c r="AP1752" s="322"/>
      <c r="AQ1752" s="322"/>
      <c r="AR1752" s="322"/>
      <c r="AS1752" s="322"/>
      <c r="AT1752" s="322"/>
      <c r="AU1752" s="476"/>
      <c r="AV1752" s="477"/>
      <c r="AW1752" s="477"/>
      <c r="AX1752" s="527"/>
      <c r="AY1752" s="543" t="s">
        <v>542</v>
      </c>
      <c r="AZ1752" s="527"/>
      <c r="BA1752" s="532"/>
      <c r="BB1752" s="1381" t="s">
        <v>955</v>
      </c>
      <c r="BC1752" s="1381"/>
      <c r="BD1752" s="1381"/>
      <c r="BE1752" s="1381"/>
      <c r="BF1752" s="1381"/>
      <c r="BG1752" s="531"/>
      <c r="BH1752" s="531"/>
      <c r="BI1752" s="527"/>
      <c r="BJ1752" s="544"/>
    </row>
    <row r="1753" spans="4:77" ht="20">
      <c r="D1753" s="433" t="s">
        <v>111</v>
      </c>
      <c r="E1753" s="433"/>
      <c r="G1753" s="421">
        <v>113</v>
      </c>
      <c r="H1753" s="421">
        <v>96</v>
      </c>
      <c r="I1753" s="421">
        <v>53</v>
      </c>
      <c r="J1753" s="421">
        <v>0</v>
      </c>
      <c r="K1753" s="421" t="s">
        <v>0</v>
      </c>
      <c r="L1753" s="421"/>
      <c r="M1753" s="421"/>
      <c r="N1753" s="421"/>
      <c r="O1753" s="421"/>
      <c r="P1753" s="422" t="s">
        <v>0</v>
      </c>
      <c r="Q1753" s="422"/>
      <c r="R1753" s="422"/>
      <c r="S1753" s="422"/>
      <c r="T1753" s="422"/>
      <c r="U1753" s="322"/>
      <c r="V1753" s="322"/>
      <c r="W1753" s="322"/>
      <c r="X1753" s="322"/>
      <c r="Y1753" s="322"/>
      <c r="Z1753" s="322"/>
      <c r="AA1753" s="322"/>
      <c r="AB1753" s="322"/>
      <c r="AC1753" s="322"/>
      <c r="AD1753" s="322"/>
      <c r="AE1753" s="322"/>
      <c r="AF1753" s="322"/>
      <c r="AG1753" s="322"/>
      <c r="AH1753" s="322"/>
      <c r="AI1753" s="322"/>
      <c r="AJ1753" s="322"/>
      <c r="AK1753" s="322"/>
      <c r="AL1753" s="322"/>
      <c r="AM1753" s="322"/>
      <c r="AN1753" s="322"/>
      <c r="AO1753" s="322"/>
      <c r="AP1753" s="322"/>
      <c r="AQ1753" s="322"/>
      <c r="AR1753" s="322"/>
      <c r="AS1753" s="322"/>
      <c r="AT1753" s="322"/>
      <c r="AU1753" s="476"/>
      <c r="AV1753" s="477"/>
      <c r="AW1753" s="477"/>
      <c r="AX1753" s="527"/>
      <c r="AY1753" s="527"/>
      <c r="AZ1753" s="527"/>
      <c r="BA1753" s="1149">
        <f>BA1754/$AV$1700</f>
        <v>127.90995139421847</v>
      </c>
      <c r="BB1753" s="1149">
        <f t="shared" ref="BB1753:BH1753" si="1294">BB1754/$AV$1700</f>
        <v>140.70094653364032</v>
      </c>
      <c r="BC1753" s="1149">
        <f t="shared" si="1294"/>
        <v>153.49194167306214</v>
      </c>
      <c r="BD1753" s="1149">
        <f t="shared" si="1294"/>
        <v>166.282936812484</v>
      </c>
      <c r="BE1753" s="1149">
        <f t="shared" si="1294"/>
        <v>179.07393195190585</v>
      </c>
      <c r="BF1753" s="1149">
        <f t="shared" si="1294"/>
        <v>191.8649270913277</v>
      </c>
      <c r="BG1753" s="1149">
        <f t="shared" si="1294"/>
        <v>204.65592223074955</v>
      </c>
      <c r="BH1753" s="1149">
        <f t="shared" si="1294"/>
        <v>217.44691737017138</v>
      </c>
      <c r="BI1753" s="527"/>
      <c r="BJ1753" s="544"/>
    </row>
    <row r="1754" spans="4:77" ht="20">
      <c r="D1754" s="433" t="s">
        <v>112</v>
      </c>
      <c r="E1754" s="433"/>
      <c r="G1754" s="421">
        <v>8</v>
      </c>
      <c r="H1754" s="421">
        <v>9</v>
      </c>
      <c r="I1754" s="421">
        <v>6</v>
      </c>
      <c r="J1754" s="421">
        <v>0</v>
      </c>
      <c r="K1754" s="421" t="s">
        <v>0</v>
      </c>
      <c r="L1754" s="421"/>
      <c r="M1754" s="421"/>
      <c r="N1754" s="421"/>
      <c r="O1754" s="421"/>
      <c r="P1754" s="422" t="s">
        <v>0</v>
      </c>
      <c r="Q1754" s="422"/>
      <c r="R1754" s="422"/>
      <c r="S1754" s="422"/>
      <c r="T1754" s="422"/>
      <c r="U1754" s="322"/>
      <c r="V1754" s="322"/>
      <c r="W1754" s="322"/>
      <c r="X1754" s="322"/>
      <c r="Y1754" s="322"/>
      <c r="Z1754" s="322"/>
      <c r="AA1754" s="322"/>
      <c r="AB1754" s="322"/>
      <c r="AC1754" s="322"/>
      <c r="AD1754" s="322"/>
      <c r="AE1754" s="322"/>
      <c r="AF1754" s="322"/>
      <c r="AG1754" s="322"/>
      <c r="AH1754" s="322"/>
      <c r="AI1754" s="322"/>
      <c r="AJ1754" s="322"/>
      <c r="AK1754" s="322"/>
      <c r="AL1754" s="322"/>
      <c r="AM1754" s="322"/>
      <c r="AN1754" s="322"/>
      <c r="AO1754" s="322"/>
      <c r="AP1754" s="322"/>
      <c r="AQ1754" s="322" t="s">
        <v>957</v>
      </c>
      <c r="AR1754" s="322"/>
      <c r="AS1754" s="322"/>
      <c r="AT1754" s="322"/>
      <c r="AU1754" s="476"/>
      <c r="AV1754" s="477"/>
      <c r="AW1754" s="477"/>
      <c r="AX1754" s="527"/>
      <c r="AY1754" s="527"/>
      <c r="AZ1754" s="1155">
        <f ca="1">(AE1570/AR1733)</f>
        <v>-1.020569957544939</v>
      </c>
      <c r="BA1754" s="1148">
        <v>100</v>
      </c>
      <c r="BB1754" s="1148">
        <v>110</v>
      </c>
      <c r="BC1754" s="1148">
        <v>120</v>
      </c>
      <c r="BD1754" s="1148">
        <v>130</v>
      </c>
      <c r="BE1754" s="1148">
        <v>140</v>
      </c>
      <c r="BF1754" s="1148">
        <v>150</v>
      </c>
      <c r="BG1754" s="1148">
        <v>160</v>
      </c>
      <c r="BH1754" s="1148">
        <v>170</v>
      </c>
      <c r="BI1754" s="527"/>
      <c r="BJ1754" s="544"/>
    </row>
    <row r="1755" spans="4:77" ht="20">
      <c r="D1755" s="433" t="s">
        <v>113</v>
      </c>
      <c r="E1755" s="433"/>
      <c r="G1755" s="421">
        <v>2853</v>
      </c>
      <c r="H1755" s="421">
        <v>2586</v>
      </c>
      <c r="I1755" s="421">
        <v>2422</v>
      </c>
      <c r="J1755" s="421">
        <v>2007</v>
      </c>
      <c r="K1755" s="421">
        <v>2400</v>
      </c>
      <c r="L1755" s="421"/>
      <c r="M1755" s="421"/>
      <c r="N1755" s="421"/>
      <c r="O1755" s="421"/>
      <c r="P1755" s="422">
        <v>2714</v>
      </c>
      <c r="Q1755" s="422"/>
      <c r="R1755" s="422"/>
      <c r="S1755" s="422"/>
      <c r="T1755" s="422"/>
      <c r="U1755" s="322"/>
      <c r="V1755" s="322"/>
      <c r="W1755" s="322"/>
      <c r="X1755" s="322"/>
      <c r="Y1755" s="322"/>
      <c r="Z1755" s="322"/>
      <c r="AA1755" s="322"/>
      <c r="AB1755" s="322"/>
      <c r="AC1755" s="322"/>
      <c r="AD1755" s="322"/>
      <c r="AE1755" s="322"/>
      <c r="AF1755" s="322"/>
      <c r="AG1755" s="322"/>
      <c r="AH1755" s="322"/>
      <c r="AI1755" s="322"/>
      <c r="AJ1755" s="322"/>
      <c r="AK1755" s="322"/>
      <c r="AL1755" s="322"/>
      <c r="AM1755" s="322"/>
      <c r="AN1755" s="322"/>
      <c r="AO1755" s="322"/>
      <c r="AP1755" s="322"/>
      <c r="AQ1755" s="322"/>
      <c r="AR1755" s="322"/>
      <c r="AS1755" s="322"/>
      <c r="AT1755" s="322"/>
      <c r="AU1755" s="476"/>
      <c r="AV1755" s="477"/>
      <c r="AW1755" s="477"/>
      <c r="AX1755" s="487"/>
      <c r="AY1755" s="1151">
        <f>AZ1755/$AV$1700</f>
        <v>3.1337938091583526</v>
      </c>
      <c r="AZ1755" s="1147">
        <v>2.4500000000000002</v>
      </c>
      <c r="BA1755" s="545" t="e">
        <f t="dataTable" ref="BA1755:BH1767" dt2D="1" dtr="1" del1="1" del2="1" r1="C11" r2="C13"/>
        <v>#REF!</v>
      </c>
      <c r="BB1755" s="545" t="e">
        <v>#REF!</v>
      </c>
      <c r="BC1755" s="545" t="e">
        <v>#REF!</v>
      </c>
      <c r="BD1755" s="545" t="e">
        <v>#REF!</v>
      </c>
      <c r="BE1755" s="545" t="e">
        <v>#REF!</v>
      </c>
      <c r="BF1755" s="545" t="e">
        <v>#REF!</v>
      </c>
      <c r="BG1755" s="545" t="e">
        <v>#REF!</v>
      </c>
      <c r="BH1755" s="545" t="e">
        <v>#REF!</v>
      </c>
      <c r="BI1755" s="527"/>
      <c r="BJ1755" s="544"/>
    </row>
    <row r="1756" spans="4:77" ht="20">
      <c r="D1756" s="432" t="s">
        <v>114</v>
      </c>
      <c r="E1756" s="432"/>
      <c r="G1756" s="426" t="s">
        <v>0</v>
      </c>
      <c r="H1756" s="426" t="s">
        <v>0</v>
      </c>
      <c r="I1756" s="426" t="s">
        <v>0</v>
      </c>
      <c r="J1756" s="424" t="s">
        <v>0</v>
      </c>
      <c r="K1756" s="424" t="s">
        <v>0</v>
      </c>
      <c r="L1756" s="424"/>
      <c r="M1756" s="424"/>
      <c r="N1756" s="424"/>
      <c r="O1756" s="424"/>
      <c r="P1756" s="419" t="s">
        <v>0</v>
      </c>
      <c r="Q1756" s="419"/>
      <c r="R1756" s="419"/>
      <c r="S1756" s="419"/>
      <c r="T1756" s="419"/>
      <c r="U1756" s="322"/>
      <c r="V1756" s="322"/>
      <c r="W1756" s="322"/>
      <c r="X1756" s="322"/>
      <c r="Y1756" s="322"/>
      <c r="Z1756" s="322"/>
      <c r="AA1756" s="322"/>
      <c r="AB1756" s="322"/>
      <c r="AC1756" s="322"/>
      <c r="AD1756" s="322"/>
      <c r="AE1756" s="322"/>
      <c r="AF1756" s="322"/>
      <c r="AG1756" s="322"/>
      <c r="AH1756" s="322"/>
      <c r="AI1756" s="322"/>
      <c r="AJ1756" s="322"/>
      <c r="AK1756" s="322"/>
      <c r="AL1756" s="322"/>
      <c r="AM1756" s="322"/>
      <c r="AN1756" s="322"/>
      <c r="AO1756" s="322"/>
      <c r="AP1756" s="322"/>
      <c r="AQ1756" s="322"/>
      <c r="AR1756" s="322"/>
      <c r="AS1756" s="322"/>
      <c r="AT1756" s="322"/>
      <c r="AU1756" s="476"/>
      <c r="AV1756" s="477"/>
      <c r="AW1756" s="477"/>
      <c r="AX1756" s="487"/>
      <c r="AY1756" s="1151">
        <f t="shared" ref="AY1756:AY1767" si="1295">AZ1756/$AV$1700</f>
        <v>3.1977487848554618</v>
      </c>
      <c r="AZ1756" s="1147">
        <v>2.5</v>
      </c>
      <c r="BA1756" s="545" t="e">
        <v>#REF!</v>
      </c>
      <c r="BB1756" s="545" t="e">
        <v>#REF!</v>
      </c>
      <c r="BC1756" s="545" t="e">
        <v>#REF!</v>
      </c>
      <c r="BD1756" s="545" t="e">
        <v>#REF!</v>
      </c>
      <c r="BE1756" s="545" t="e">
        <v>#REF!</v>
      </c>
      <c r="BF1756" s="545" t="e">
        <v>#REF!</v>
      </c>
      <c r="BG1756" s="545" t="e">
        <v>#REF!</v>
      </c>
      <c r="BH1756" s="545" t="e">
        <v>#REF!</v>
      </c>
      <c r="BI1756" s="527"/>
      <c r="BJ1756" s="544"/>
    </row>
    <row r="1757" spans="4:77" ht="20.149999999999999" customHeight="1">
      <c r="D1757" s="433" t="s">
        <v>115</v>
      </c>
      <c r="E1757" s="433"/>
      <c r="G1757" s="421">
        <v>1751</v>
      </c>
      <c r="H1757" s="421">
        <v>1699</v>
      </c>
      <c r="I1757" s="421">
        <v>1847</v>
      </c>
      <c r="J1757" s="421">
        <v>2049</v>
      </c>
      <c r="K1757" s="421">
        <v>2266</v>
      </c>
      <c r="L1757" s="421"/>
      <c r="M1757" s="421"/>
      <c r="N1757" s="421"/>
      <c r="O1757" s="421"/>
      <c r="P1757" s="422">
        <v>1942</v>
      </c>
      <c r="Q1757" s="422"/>
      <c r="R1757" s="422"/>
      <c r="S1757" s="422"/>
      <c r="T1757" s="422"/>
      <c r="U1757" s="322"/>
      <c r="V1757" s="322"/>
      <c r="W1757" s="322"/>
      <c r="X1757" s="322"/>
      <c r="Y1757" s="322"/>
      <c r="Z1757" s="322"/>
      <c r="AA1757" s="322"/>
      <c r="AB1757" s="322"/>
      <c r="AC1757" s="322"/>
      <c r="AD1757" s="322"/>
      <c r="AE1757" s="322"/>
      <c r="AF1757" s="322"/>
      <c r="AG1757" s="322"/>
      <c r="AH1757" s="322"/>
      <c r="AI1757" s="322"/>
      <c r="AJ1757" s="322"/>
      <c r="AK1757" s="322"/>
      <c r="AL1757" s="322"/>
      <c r="AM1757" s="322"/>
      <c r="AN1757" s="322"/>
      <c r="AO1757" s="322"/>
      <c r="AP1757" s="322"/>
      <c r="AQ1757" s="322"/>
      <c r="AR1757" s="322"/>
      <c r="AS1757" s="322"/>
      <c r="AT1757" s="322"/>
      <c r="AU1757" s="476"/>
      <c r="AV1757" s="477"/>
      <c r="AW1757" s="477"/>
      <c r="AX1757" s="1382" t="s">
        <v>954</v>
      </c>
      <c r="AY1757" s="1151">
        <f t="shared" si="1295"/>
        <v>3.2617037605525705</v>
      </c>
      <c r="AZ1757" s="1147">
        <v>2.5499999999999998</v>
      </c>
      <c r="BA1757" s="545" t="e">
        <v>#REF!</v>
      </c>
      <c r="BB1757" s="545" t="e">
        <v>#REF!</v>
      </c>
      <c r="BC1757" s="545" t="e">
        <v>#REF!</v>
      </c>
      <c r="BD1757" s="545" t="e">
        <v>#REF!</v>
      </c>
      <c r="BE1757" s="545" t="e">
        <v>#REF!</v>
      </c>
      <c r="BF1757" s="545" t="e">
        <v>#REF!</v>
      </c>
      <c r="BG1757" s="545" t="e">
        <v>#REF!</v>
      </c>
      <c r="BH1757" s="545" t="e">
        <v>#REF!</v>
      </c>
      <c r="BI1757" s="527"/>
      <c r="BJ1757" s="544"/>
    </row>
    <row r="1758" spans="4:77" ht="20">
      <c r="D1758" s="433" t="s">
        <v>116</v>
      </c>
      <c r="E1758" s="433"/>
      <c r="G1758" s="421">
        <v>874</v>
      </c>
      <c r="H1758" s="421">
        <v>1240</v>
      </c>
      <c r="I1758" s="421">
        <v>1220</v>
      </c>
      <c r="J1758" s="421">
        <v>1444</v>
      </c>
      <c r="K1758" s="421">
        <v>1752</v>
      </c>
      <c r="L1758" s="421"/>
      <c r="M1758" s="421"/>
      <c r="N1758" s="421"/>
      <c r="O1758" s="421"/>
      <c r="P1758" s="422">
        <v>1696</v>
      </c>
      <c r="Q1758" s="422"/>
      <c r="R1758" s="422"/>
      <c r="S1758" s="422"/>
      <c r="T1758" s="422"/>
      <c r="U1758" s="322"/>
      <c r="V1758" s="322"/>
      <c r="W1758" s="322"/>
      <c r="X1758" s="322"/>
      <c r="Y1758" s="322"/>
      <c r="Z1758" s="322"/>
      <c r="AA1758" s="322"/>
      <c r="AB1758" s="322"/>
      <c r="AC1758" s="322"/>
      <c r="AD1758" s="322"/>
      <c r="AE1758" s="322"/>
      <c r="AF1758" s="322"/>
      <c r="AG1758" s="322"/>
      <c r="AH1758" s="322"/>
      <c r="AI1758" s="322"/>
      <c r="AJ1758" s="322"/>
      <c r="AK1758" s="322"/>
      <c r="AL1758" s="322"/>
      <c r="AM1758" s="322"/>
      <c r="AN1758" s="322"/>
      <c r="AO1758" s="322"/>
      <c r="AP1758" s="322"/>
      <c r="AQ1758" s="322"/>
      <c r="AR1758" s="322"/>
      <c r="AS1758" s="322"/>
      <c r="AT1758" s="322"/>
      <c r="AU1758" s="476"/>
      <c r="AV1758" s="477"/>
      <c r="AW1758" s="477"/>
      <c r="AX1758" s="1382"/>
      <c r="AY1758" s="1151">
        <f t="shared" si="1295"/>
        <v>3.3256587362496801</v>
      </c>
      <c r="AZ1758" s="1147">
        <v>2.6</v>
      </c>
      <c r="BA1758" s="545" t="e">
        <v>#REF!</v>
      </c>
      <c r="BB1758" s="545" t="e">
        <v>#REF!</v>
      </c>
      <c r="BC1758" s="545" t="e">
        <v>#REF!</v>
      </c>
      <c r="BD1758" s="545" t="e">
        <v>#REF!</v>
      </c>
      <c r="BE1758" s="545" t="e">
        <v>#REF!</v>
      </c>
      <c r="BF1758" s="545" t="e">
        <v>#REF!</v>
      </c>
      <c r="BG1758" s="545" t="e">
        <v>#REF!</v>
      </c>
      <c r="BH1758" s="545" t="e">
        <v>#REF!</v>
      </c>
      <c r="BI1758" s="527"/>
      <c r="BJ1758" s="544"/>
    </row>
    <row r="1759" spans="4:77" ht="20">
      <c r="D1759" s="434" t="s">
        <v>117</v>
      </c>
      <c r="E1759" s="434"/>
      <c r="G1759" s="421" t="s">
        <v>0</v>
      </c>
      <c r="H1759" s="421" t="s">
        <v>0</v>
      </c>
      <c r="I1759" s="421">
        <v>47</v>
      </c>
      <c r="J1759" s="421">
        <v>77</v>
      </c>
      <c r="K1759" s="421">
        <v>105</v>
      </c>
      <c r="L1759" s="421"/>
      <c r="M1759" s="421"/>
      <c r="N1759" s="421"/>
      <c r="O1759" s="421"/>
      <c r="P1759" s="422">
        <v>98</v>
      </c>
      <c r="Q1759" s="422"/>
      <c r="R1759" s="422"/>
      <c r="S1759" s="422"/>
      <c r="T1759" s="422"/>
      <c r="U1759" s="322"/>
      <c r="V1759" s="322"/>
      <c r="W1759" s="322"/>
      <c r="X1759" s="322"/>
      <c r="Y1759" s="322"/>
      <c r="Z1759" s="322"/>
      <c r="AA1759" s="322"/>
      <c r="AB1759" s="322"/>
      <c r="AC1759" s="322"/>
      <c r="AD1759" s="322"/>
      <c r="AE1759" s="322"/>
      <c r="AF1759" s="322"/>
      <c r="AG1759" s="322"/>
      <c r="AH1759" s="322"/>
      <c r="AI1759" s="322"/>
      <c r="AJ1759" s="322"/>
      <c r="AK1759" s="322"/>
      <c r="AL1759" s="322"/>
      <c r="AM1759" s="322"/>
      <c r="AN1759" s="322"/>
      <c r="AO1759" s="322"/>
      <c r="AP1759" s="322"/>
      <c r="AQ1759" s="322"/>
      <c r="AR1759" s="322"/>
      <c r="AS1759" s="322"/>
      <c r="AT1759" s="322"/>
      <c r="AU1759" s="476"/>
      <c r="AV1759" s="477"/>
      <c r="AW1759" s="477"/>
      <c r="AX1759" s="1382"/>
      <c r="AY1759" s="1151">
        <f t="shared" si="1295"/>
        <v>3.3896137119467893</v>
      </c>
      <c r="AZ1759" s="1147">
        <v>2.65</v>
      </c>
      <c r="BA1759" s="545" t="e">
        <v>#REF!</v>
      </c>
      <c r="BB1759" s="545" t="e">
        <v>#REF!</v>
      </c>
      <c r="BC1759" s="545" t="e">
        <v>#REF!</v>
      </c>
      <c r="BD1759" s="545" t="e">
        <v>#REF!</v>
      </c>
      <c r="BE1759" s="545" t="e">
        <v>#REF!</v>
      </c>
      <c r="BF1759" s="545" t="e">
        <v>#REF!</v>
      </c>
      <c r="BG1759" s="545" t="e">
        <v>#REF!</v>
      </c>
      <c r="BH1759" s="545" t="e">
        <v>#REF!</v>
      </c>
      <c r="BI1759" s="527"/>
      <c r="BJ1759" s="544"/>
    </row>
    <row r="1760" spans="4:77" ht="20">
      <c r="D1760" s="433" t="s">
        <v>112</v>
      </c>
      <c r="E1760" s="433"/>
      <c r="G1760" s="421">
        <v>13</v>
      </c>
      <c r="H1760" s="421">
        <v>11</v>
      </c>
      <c r="I1760" s="421">
        <v>7</v>
      </c>
      <c r="J1760" s="421">
        <v>7</v>
      </c>
      <c r="K1760" s="421">
        <v>8</v>
      </c>
      <c r="L1760" s="421"/>
      <c r="M1760" s="421"/>
      <c r="N1760" s="421"/>
      <c r="O1760" s="421"/>
      <c r="P1760" s="422">
        <v>8</v>
      </c>
      <c r="Q1760" s="422"/>
      <c r="R1760" s="422"/>
      <c r="S1760" s="422"/>
      <c r="T1760" s="422"/>
      <c r="U1760" s="322"/>
      <c r="V1760" s="322"/>
      <c r="W1760" s="322"/>
      <c r="X1760" s="322"/>
      <c r="Y1760" s="322"/>
      <c r="Z1760" s="322"/>
      <c r="AA1760" s="322"/>
      <c r="AB1760" s="322"/>
      <c r="AC1760" s="322"/>
      <c r="AD1760" s="322"/>
      <c r="AE1760" s="322"/>
      <c r="AF1760" s="322"/>
      <c r="AG1760" s="322"/>
      <c r="AH1760" s="322"/>
      <c r="AI1760" s="322"/>
      <c r="AJ1760" s="322"/>
      <c r="AK1760" s="322"/>
      <c r="AL1760" s="322"/>
      <c r="AM1760" s="322"/>
      <c r="AN1760" s="322"/>
      <c r="AO1760" s="322"/>
      <c r="AP1760" s="322"/>
      <c r="AQ1760" s="322"/>
      <c r="AR1760" s="322"/>
      <c r="AS1760" s="322"/>
      <c r="AT1760" s="322"/>
      <c r="AU1760" s="476"/>
      <c r="AV1760" s="477"/>
      <c r="AW1760" s="477"/>
      <c r="AX1760" s="1382"/>
      <c r="AY1760" s="1151">
        <f t="shared" si="1295"/>
        <v>3.4535686876438989</v>
      </c>
      <c r="AZ1760" s="1147">
        <v>2.7</v>
      </c>
      <c r="BA1760" s="545" t="e">
        <v>#REF!</v>
      </c>
      <c r="BB1760" s="545" t="e">
        <v>#REF!</v>
      </c>
      <c r="BC1760" s="545" t="e">
        <v>#REF!</v>
      </c>
      <c r="BD1760" s="545" t="e">
        <v>#REF!</v>
      </c>
      <c r="BE1760" s="545" t="e">
        <v>#REF!</v>
      </c>
      <c r="BF1760" s="545" t="e">
        <v>#REF!</v>
      </c>
      <c r="BG1760" s="545" t="e">
        <v>#REF!</v>
      </c>
      <c r="BH1760" s="545" t="e">
        <v>#REF!</v>
      </c>
      <c r="BI1760" s="527"/>
      <c r="BJ1760" s="544"/>
    </row>
    <row r="1761" spans="4:62" ht="20">
      <c r="D1761" s="433" t="s">
        <v>118</v>
      </c>
      <c r="E1761" s="433"/>
      <c r="G1761" s="421">
        <v>-228</v>
      </c>
      <c r="H1761" s="421">
        <v>-275</v>
      </c>
      <c r="I1761" s="421">
        <v>-337</v>
      </c>
      <c r="J1761" s="421">
        <v>-430</v>
      </c>
      <c r="K1761" s="421">
        <v>-635</v>
      </c>
      <c r="L1761" s="421"/>
      <c r="M1761" s="421"/>
      <c r="N1761" s="421"/>
      <c r="O1761" s="421"/>
      <c r="P1761" s="422">
        <v>-650</v>
      </c>
      <c r="Q1761" s="422"/>
      <c r="R1761" s="422"/>
      <c r="S1761" s="422"/>
      <c r="T1761" s="422"/>
      <c r="U1761" s="322"/>
      <c r="V1761" s="322"/>
      <c r="W1761" s="322"/>
      <c r="X1761" s="322"/>
      <c r="Y1761" s="322"/>
      <c r="Z1761" s="322"/>
      <c r="AA1761" s="322"/>
      <c r="AB1761" s="322"/>
      <c r="AC1761" s="322"/>
      <c r="AD1761" s="322"/>
      <c r="AE1761" s="322"/>
      <c r="AF1761" s="322"/>
      <c r="AG1761" s="322"/>
      <c r="AH1761" s="322"/>
      <c r="AI1761" s="322"/>
      <c r="AJ1761" s="322"/>
      <c r="AK1761" s="322"/>
      <c r="AL1761" s="322"/>
      <c r="AM1761" s="322"/>
      <c r="AN1761" s="322"/>
      <c r="AO1761" s="322"/>
      <c r="AP1761" s="322"/>
      <c r="AQ1761" s="322"/>
      <c r="AR1761" s="322"/>
      <c r="AS1761" s="322"/>
      <c r="AT1761" s="322"/>
      <c r="AU1761" s="476"/>
      <c r="AV1761" s="477"/>
      <c r="AW1761" s="477"/>
      <c r="AX1761" s="1382"/>
      <c r="AY1761" s="1151">
        <f t="shared" si="1295"/>
        <v>3.5175236633410076</v>
      </c>
      <c r="AZ1761" s="1147">
        <v>2.75</v>
      </c>
      <c r="BA1761" s="545" t="e">
        <v>#REF!</v>
      </c>
      <c r="BB1761" s="545" t="e">
        <v>#REF!</v>
      </c>
      <c r="BC1761" s="545" t="e">
        <v>#REF!</v>
      </c>
      <c r="BD1761" s="545" t="e">
        <v>#REF!</v>
      </c>
      <c r="BE1761" s="545" t="e">
        <v>#REF!</v>
      </c>
      <c r="BF1761" s="545" t="e">
        <v>#REF!</v>
      </c>
      <c r="BG1761" s="545" t="e">
        <v>#REF!</v>
      </c>
      <c r="BH1761" s="545" t="e">
        <v>#REF!</v>
      </c>
      <c r="BI1761" s="527"/>
      <c r="BJ1761" s="544"/>
    </row>
    <row r="1762" spans="4:62" ht="20">
      <c r="D1762" s="433" t="s">
        <v>119</v>
      </c>
      <c r="E1762" s="433"/>
      <c r="G1762" s="421">
        <v>2410</v>
      </c>
      <c r="H1762" s="421">
        <v>2675</v>
      </c>
      <c r="I1762" s="421">
        <v>2784</v>
      </c>
      <c r="J1762" s="421">
        <v>3147</v>
      </c>
      <c r="K1762" s="421">
        <v>3496</v>
      </c>
      <c r="L1762" s="421"/>
      <c r="M1762" s="421"/>
      <c r="N1762" s="421"/>
      <c r="O1762" s="421"/>
      <c r="P1762" s="422">
        <v>3094</v>
      </c>
      <c r="Q1762" s="422"/>
      <c r="R1762" s="422"/>
      <c r="S1762" s="422"/>
      <c r="T1762" s="422"/>
      <c r="U1762" s="322"/>
      <c r="V1762" s="322"/>
      <c r="W1762" s="322"/>
      <c r="X1762" s="322"/>
      <c r="Y1762" s="322"/>
      <c r="Z1762" s="322"/>
      <c r="AA1762" s="322"/>
      <c r="AB1762" s="322"/>
      <c r="AC1762" s="322"/>
      <c r="AD1762" s="322"/>
      <c r="AE1762" s="322"/>
      <c r="AF1762" s="322"/>
      <c r="AG1762" s="322"/>
      <c r="AH1762" s="322"/>
      <c r="AI1762" s="322"/>
      <c r="AJ1762" s="322"/>
      <c r="AK1762" s="322"/>
      <c r="AL1762" s="322"/>
      <c r="AM1762" s="322"/>
      <c r="AN1762" s="322"/>
      <c r="AO1762" s="322"/>
      <c r="AP1762" s="322"/>
      <c r="AQ1762" s="322"/>
      <c r="AR1762" s="322"/>
      <c r="AS1762" s="322"/>
      <c r="AT1762" s="322"/>
      <c r="AU1762" s="476"/>
      <c r="AV1762" s="477"/>
      <c r="AW1762" s="477"/>
      <c r="AX1762" s="1382"/>
      <c r="AY1762" s="1151">
        <f t="shared" si="1295"/>
        <v>3.5814786390381168</v>
      </c>
      <c r="AZ1762" s="1147">
        <v>2.8</v>
      </c>
      <c r="BA1762" s="545" t="e">
        <v>#REF!</v>
      </c>
      <c r="BB1762" s="545" t="e">
        <v>#REF!</v>
      </c>
      <c r="BC1762" s="545" t="e">
        <v>#REF!</v>
      </c>
      <c r="BD1762" s="545" t="e">
        <v>#REF!</v>
      </c>
      <c r="BE1762" s="545" t="e">
        <v>#REF!</v>
      </c>
      <c r="BF1762" s="545" t="e">
        <v>#REF!</v>
      </c>
      <c r="BG1762" s="545" t="e">
        <v>#REF!</v>
      </c>
      <c r="BH1762" s="545" t="e">
        <v>#REF!</v>
      </c>
      <c r="BI1762" s="527"/>
      <c r="BJ1762" s="544"/>
    </row>
    <row r="1763" spans="4:62" ht="20">
      <c r="D1763" s="425" t="s">
        <v>120</v>
      </c>
      <c r="E1763" s="425"/>
      <c r="G1763" s="421">
        <v>6</v>
      </c>
      <c r="H1763" s="421">
        <v>3</v>
      </c>
      <c r="I1763" s="421">
        <v>4</v>
      </c>
      <c r="J1763" s="421">
        <v>2</v>
      </c>
      <c r="K1763" s="421">
        <v>0</v>
      </c>
      <c r="L1763" s="421"/>
      <c r="M1763" s="421"/>
      <c r="N1763" s="421"/>
      <c r="O1763" s="421"/>
      <c r="P1763" s="422">
        <v>407</v>
      </c>
      <c r="Q1763" s="422"/>
      <c r="R1763" s="422"/>
      <c r="S1763" s="422"/>
      <c r="T1763" s="422"/>
      <c r="U1763" s="322"/>
      <c r="V1763" s="322"/>
      <c r="W1763" s="322"/>
      <c r="X1763" s="322"/>
      <c r="Y1763" s="322"/>
      <c r="Z1763" s="322"/>
      <c r="AA1763" s="322"/>
      <c r="AB1763" s="322"/>
      <c r="AC1763" s="322"/>
      <c r="AD1763" s="322"/>
      <c r="AE1763" s="322"/>
      <c r="AF1763" s="322"/>
      <c r="AG1763" s="322"/>
      <c r="AH1763" s="322"/>
      <c r="AI1763" s="322"/>
      <c r="AJ1763" s="322"/>
      <c r="AK1763" s="322"/>
      <c r="AL1763" s="322"/>
      <c r="AM1763" s="322"/>
      <c r="AN1763" s="322"/>
      <c r="AO1763" s="322"/>
      <c r="AP1763" s="322"/>
      <c r="AQ1763" s="322"/>
      <c r="AR1763" s="322"/>
      <c r="AS1763" s="322"/>
      <c r="AT1763" s="322"/>
      <c r="AU1763" s="476"/>
      <c r="AV1763" s="477"/>
      <c r="AW1763" s="477"/>
      <c r="AX1763" s="1382"/>
      <c r="AY1763" s="1151">
        <f t="shared" si="1295"/>
        <v>3.6454336147352264</v>
      </c>
      <c r="AZ1763" s="1147">
        <v>2.85</v>
      </c>
      <c r="BA1763" s="545" t="e">
        <v>#REF!</v>
      </c>
      <c r="BB1763" s="545" t="e">
        <v>#REF!</v>
      </c>
      <c r="BC1763" s="545" t="e">
        <v>#REF!</v>
      </c>
      <c r="BD1763" s="545" t="e">
        <v>#REF!</v>
      </c>
      <c r="BE1763" s="545" t="e">
        <v>#REF!</v>
      </c>
      <c r="BF1763" s="545" t="e">
        <v>#REF!</v>
      </c>
      <c r="BG1763" s="545" t="e">
        <v>#REF!</v>
      </c>
      <c r="BH1763" s="545" t="e">
        <v>#REF!</v>
      </c>
      <c r="BI1763" s="527"/>
      <c r="BJ1763" s="544"/>
    </row>
    <row r="1764" spans="4:62" ht="20">
      <c r="D1764" s="423" t="s">
        <v>121</v>
      </c>
      <c r="E1764" s="423"/>
      <c r="G1764" s="426">
        <v>9382</v>
      </c>
      <c r="H1764" s="426">
        <v>8599</v>
      </c>
      <c r="I1764" s="426">
        <v>8259</v>
      </c>
      <c r="J1764" s="426">
        <v>9300</v>
      </c>
      <c r="K1764" s="426">
        <v>11910</v>
      </c>
      <c r="L1764" s="426"/>
      <c r="M1764" s="426"/>
      <c r="N1764" s="426"/>
      <c r="O1764" s="426"/>
      <c r="P1764" s="427">
        <v>12564</v>
      </c>
      <c r="Q1764" s="427"/>
      <c r="R1764" s="427"/>
      <c r="S1764" s="427"/>
      <c r="T1764" s="427"/>
      <c r="U1764" s="322"/>
      <c r="V1764" s="322"/>
      <c r="W1764" s="322"/>
      <c r="X1764" s="322"/>
      <c r="Y1764" s="322"/>
      <c r="Z1764" s="322"/>
      <c r="AA1764" s="322"/>
      <c r="AB1764" s="322"/>
      <c r="AC1764" s="322"/>
      <c r="AD1764" s="322"/>
      <c r="AE1764" s="322"/>
      <c r="AF1764" s="322"/>
      <c r="AG1764" s="322"/>
      <c r="AH1764" s="322"/>
      <c r="AI1764" s="322"/>
      <c r="AJ1764" s="322"/>
      <c r="AK1764" s="322"/>
      <c r="AL1764" s="322"/>
      <c r="AM1764" s="322"/>
      <c r="AN1764" s="322"/>
      <c r="AO1764" s="322"/>
      <c r="AP1764" s="322"/>
      <c r="AQ1764" s="322"/>
      <c r="AR1764" s="322"/>
      <c r="AS1764" s="322"/>
      <c r="AT1764" s="322"/>
      <c r="AU1764" s="476"/>
      <c r="AV1764" s="477"/>
      <c r="AW1764" s="477"/>
      <c r="AX1764" s="1382"/>
      <c r="AY1764" s="1151">
        <f t="shared" si="1295"/>
        <v>3.7093885904323352</v>
      </c>
      <c r="AZ1764" s="1147">
        <v>2.9</v>
      </c>
      <c r="BA1764" s="545" t="e">
        <v>#REF!</v>
      </c>
      <c r="BB1764" s="545" t="e">
        <v>#REF!</v>
      </c>
      <c r="BC1764" s="545" t="e">
        <v>#REF!</v>
      </c>
      <c r="BD1764" s="545" t="e">
        <v>#REF!</v>
      </c>
      <c r="BE1764" s="545" t="e">
        <v>#REF!</v>
      </c>
      <c r="BF1764" s="545" t="e">
        <v>#REF!</v>
      </c>
      <c r="BG1764" s="545" t="e">
        <v>#REF!</v>
      </c>
      <c r="BH1764" s="545" t="e">
        <v>#REF!</v>
      </c>
      <c r="BI1764" s="527"/>
      <c r="BJ1764" s="544"/>
    </row>
    <row r="1765" spans="4:62" ht="20">
      <c r="P1765" s="322"/>
      <c r="Q1765" s="322"/>
      <c r="R1765" s="322"/>
      <c r="S1765" s="322"/>
      <c r="T1765" s="322"/>
      <c r="U1765" s="322"/>
      <c r="V1765" s="322"/>
      <c r="W1765" s="322"/>
      <c r="X1765" s="322"/>
      <c r="Y1765" s="322"/>
      <c r="Z1765" s="322"/>
      <c r="AA1765" s="322"/>
      <c r="AB1765" s="322"/>
      <c r="AC1765" s="322"/>
      <c r="AD1765" s="322"/>
      <c r="AE1765" s="322"/>
      <c r="AF1765" s="322"/>
      <c r="AG1765" s="322"/>
      <c r="AH1765" s="322"/>
      <c r="AI1765" s="322"/>
      <c r="AJ1765" s="322"/>
      <c r="AK1765" s="322"/>
      <c r="AL1765" s="322"/>
      <c r="AM1765" s="322"/>
      <c r="AN1765" s="322"/>
      <c r="AO1765" s="322"/>
      <c r="AP1765" s="322"/>
      <c r="AQ1765" s="322"/>
      <c r="AR1765" s="322"/>
      <c r="AS1765" s="322"/>
      <c r="AT1765" s="322"/>
      <c r="AU1765" s="476"/>
      <c r="AV1765" s="477"/>
      <c r="AW1765" s="477"/>
      <c r="AX1765" s="535"/>
      <c r="AY1765" s="1151">
        <f t="shared" si="1295"/>
        <v>3.7733435661294448</v>
      </c>
      <c r="AZ1765" s="1147">
        <v>2.95</v>
      </c>
      <c r="BA1765" s="545" t="e">
        <v>#REF!</v>
      </c>
      <c r="BB1765" s="545" t="e">
        <v>#REF!</v>
      </c>
      <c r="BC1765" s="545" t="e">
        <v>#REF!</v>
      </c>
      <c r="BD1765" s="545" t="e">
        <v>#REF!</v>
      </c>
      <c r="BE1765" s="545" t="e">
        <v>#REF!</v>
      </c>
      <c r="BF1765" s="545" t="e">
        <v>#REF!</v>
      </c>
      <c r="BG1765" s="545" t="e">
        <v>#REF!</v>
      </c>
      <c r="BH1765" s="545" t="e">
        <v>#REF!</v>
      </c>
      <c r="BI1765" s="527"/>
      <c r="BJ1765" s="544"/>
    </row>
    <row r="1766" spans="4:62" ht="20">
      <c r="P1766" s="322"/>
      <c r="Q1766" s="322"/>
      <c r="R1766" s="322"/>
      <c r="S1766" s="322"/>
      <c r="T1766" s="322"/>
      <c r="U1766" s="322"/>
      <c r="V1766" s="322"/>
      <c r="W1766" s="322"/>
      <c r="X1766" s="322"/>
      <c r="Y1766" s="322"/>
      <c r="Z1766" s="322"/>
      <c r="AA1766" s="322"/>
      <c r="AB1766" s="322"/>
      <c r="AC1766" s="322"/>
      <c r="AD1766" s="322"/>
      <c r="AE1766" s="322"/>
      <c r="AF1766" s="322"/>
      <c r="AG1766" s="322"/>
      <c r="AH1766" s="322"/>
      <c r="AI1766" s="322"/>
      <c r="AJ1766" s="322"/>
      <c r="AK1766" s="322"/>
      <c r="AL1766" s="322"/>
      <c r="AM1766" s="322"/>
      <c r="AN1766" s="322"/>
      <c r="AO1766" s="322"/>
      <c r="AP1766" s="322"/>
      <c r="AQ1766" s="322"/>
      <c r="AR1766" s="322"/>
      <c r="AS1766" s="322"/>
      <c r="AT1766" s="322"/>
      <c r="AU1766" s="476"/>
      <c r="AV1766" s="477"/>
      <c r="AW1766" s="477"/>
      <c r="AX1766" s="487"/>
      <c r="AY1766" s="1151">
        <f t="shared" si="1295"/>
        <v>3.8372985418265539</v>
      </c>
      <c r="AZ1766" s="1147">
        <v>3</v>
      </c>
      <c r="BA1766" s="545" t="e">
        <v>#REF!</v>
      </c>
      <c r="BB1766" s="545" t="e">
        <v>#REF!</v>
      </c>
      <c r="BC1766" s="545" t="e">
        <v>#REF!</v>
      </c>
      <c r="BD1766" s="545" t="e">
        <v>#REF!</v>
      </c>
      <c r="BE1766" s="545" t="e">
        <v>#REF!</v>
      </c>
      <c r="BF1766" s="545" t="e">
        <v>#REF!</v>
      </c>
      <c r="BG1766" s="545" t="e">
        <v>#REF!</v>
      </c>
      <c r="BH1766" s="545" t="e">
        <v>#REF!</v>
      </c>
      <c r="BI1766" s="527"/>
      <c r="BJ1766" s="544"/>
    </row>
    <row r="1767" spans="4:62" ht="20">
      <c r="D1767" s="81" t="s">
        <v>123</v>
      </c>
      <c r="E1767" s="81"/>
      <c r="G1767" s="82" t="s">
        <v>0</v>
      </c>
      <c r="H1767" s="82" t="s">
        <v>0</v>
      </c>
      <c r="I1767" s="82" t="s">
        <v>0</v>
      </c>
      <c r="J1767" s="211" t="s">
        <v>0</v>
      </c>
      <c r="K1767" s="211" t="s">
        <v>0</v>
      </c>
      <c r="L1767" s="211"/>
      <c r="M1767" s="211"/>
      <c r="N1767" s="211"/>
      <c r="O1767" s="211"/>
      <c r="P1767" s="435" t="s">
        <v>0</v>
      </c>
      <c r="Q1767" s="435"/>
      <c r="R1767" s="435"/>
      <c r="S1767" s="435"/>
      <c r="T1767" s="435"/>
      <c r="U1767" s="322"/>
      <c r="V1767" s="322"/>
      <c r="W1767" s="322"/>
      <c r="X1767" s="322"/>
      <c r="Y1767" s="322"/>
      <c r="Z1767" s="322"/>
      <c r="AA1767" s="322"/>
      <c r="AB1767" s="322"/>
      <c r="AC1767" s="322"/>
      <c r="AD1767" s="322"/>
      <c r="AE1767" s="322"/>
      <c r="AF1767" s="322"/>
      <c r="AG1767" s="322"/>
      <c r="AH1767" s="322"/>
      <c r="AI1767" s="322"/>
      <c r="AJ1767" s="322"/>
      <c r="AK1767" s="322"/>
      <c r="AL1767" s="322"/>
      <c r="AM1767" s="322"/>
      <c r="AN1767" s="322"/>
      <c r="AO1767" s="322"/>
      <c r="AP1767" s="322"/>
      <c r="AQ1767" s="322"/>
      <c r="AR1767" s="322"/>
      <c r="AS1767" s="322"/>
      <c r="AT1767" s="322"/>
      <c r="AU1767" s="476"/>
      <c r="AV1767" s="477"/>
      <c r="AW1767" s="477"/>
      <c r="AX1767" s="487"/>
      <c r="AY1767" s="1151">
        <f t="shared" si="1295"/>
        <v>3.9012535175236627</v>
      </c>
      <c r="AZ1767" s="1147">
        <v>3.05</v>
      </c>
      <c r="BA1767" s="545" t="e">
        <v>#REF!</v>
      </c>
      <c r="BB1767" s="545" t="e">
        <v>#REF!</v>
      </c>
      <c r="BC1767" s="545" t="e">
        <v>#REF!</v>
      </c>
      <c r="BD1767" s="545" t="e">
        <v>#REF!</v>
      </c>
      <c r="BE1767" s="545" t="e">
        <v>#REF!</v>
      </c>
      <c r="BF1767" s="545" t="e">
        <v>#REF!</v>
      </c>
      <c r="BG1767" s="545" t="e">
        <v>#REF!</v>
      </c>
      <c r="BH1767" s="545" t="e">
        <v>#REF!</v>
      </c>
      <c r="BI1767" s="527"/>
      <c r="BJ1767" s="544"/>
    </row>
    <row r="1768" spans="4:62" ht="20">
      <c r="D1768" s="436" t="s">
        <v>9</v>
      </c>
      <c r="E1768" s="436"/>
      <c r="G1768" s="437" t="s">
        <v>0</v>
      </c>
      <c r="H1768" s="437" t="s">
        <v>0</v>
      </c>
      <c r="I1768" s="437" t="s">
        <v>0</v>
      </c>
      <c r="J1768" s="438" t="s">
        <v>0</v>
      </c>
      <c r="K1768" s="438" t="s">
        <v>0</v>
      </c>
      <c r="L1768" s="438"/>
      <c r="M1768" s="438"/>
      <c r="N1768" s="438"/>
      <c r="O1768" s="438"/>
      <c r="P1768" s="419" t="s">
        <v>0</v>
      </c>
      <c r="Q1768" s="419"/>
      <c r="R1768" s="419"/>
      <c r="S1768" s="419"/>
      <c r="T1768" s="419"/>
      <c r="U1768" s="322"/>
      <c r="V1768" s="322"/>
      <c r="W1768" s="322"/>
      <c r="X1768" s="322"/>
      <c r="Y1768" s="322"/>
      <c r="Z1768" s="322"/>
      <c r="AA1768" s="322"/>
      <c r="AB1768" s="322"/>
      <c r="AC1768" s="322"/>
      <c r="AD1768" s="322"/>
      <c r="AE1768" s="322"/>
      <c r="AF1768" s="322"/>
      <c r="AG1768" s="322"/>
      <c r="AH1768" s="322"/>
      <c r="AI1768" s="322"/>
      <c r="AJ1768" s="322"/>
      <c r="AK1768" s="322"/>
      <c r="AL1768" s="322"/>
      <c r="AM1768" s="322"/>
      <c r="AN1768" s="322"/>
      <c r="AO1768" s="322"/>
      <c r="AP1768" s="322"/>
      <c r="AQ1768" s="322"/>
      <c r="AR1768" s="322"/>
      <c r="AS1768" s="322"/>
      <c r="AT1768" s="322"/>
      <c r="AU1768" s="476"/>
      <c r="AV1768" s="477"/>
      <c r="AW1768" s="477"/>
      <c r="AX1768" s="527"/>
      <c r="AY1768" s="527"/>
      <c r="AZ1768" s="527"/>
      <c r="BA1768" s="527"/>
      <c r="BB1768" s="527"/>
      <c r="BC1768" s="527"/>
      <c r="BD1768" s="527"/>
      <c r="BE1768" s="527"/>
      <c r="BF1768" s="527"/>
      <c r="BG1768" s="527"/>
      <c r="BH1768" s="527"/>
      <c r="BI1768" s="527"/>
      <c r="BJ1768" s="544"/>
    </row>
    <row r="1769" spans="4:62">
      <c r="D1769" s="439" t="s">
        <v>105</v>
      </c>
      <c r="E1769" s="439"/>
      <c r="G1769" s="153">
        <v>1007</v>
      </c>
      <c r="H1769" s="153">
        <v>208</v>
      </c>
      <c r="I1769" s="153">
        <v>200</v>
      </c>
      <c r="J1769" s="153">
        <v>1379</v>
      </c>
      <c r="K1769" s="153">
        <v>3014</v>
      </c>
      <c r="L1769" s="153"/>
      <c r="M1769" s="153"/>
      <c r="N1769" s="153"/>
      <c r="O1769" s="153"/>
      <c r="P1769" s="422">
        <v>3040</v>
      </c>
      <c r="Q1769" s="422"/>
      <c r="R1769" s="422"/>
      <c r="S1769" s="422"/>
      <c r="T1769" s="422"/>
      <c r="U1769" s="322"/>
      <c r="V1769" s="322"/>
      <c r="W1769" s="322"/>
      <c r="X1769" s="322"/>
      <c r="Y1769" s="322"/>
      <c r="Z1769" s="322"/>
      <c r="AA1769" s="322"/>
      <c r="AB1769" s="322"/>
      <c r="AC1769" s="322"/>
      <c r="AD1769" s="322"/>
      <c r="AE1769" s="322"/>
      <c r="AF1769" s="322"/>
      <c r="AG1769" s="322"/>
      <c r="AH1769" s="322"/>
      <c r="AI1769" s="322"/>
      <c r="AJ1769" s="322"/>
      <c r="AK1769" s="322"/>
      <c r="AL1769" s="322"/>
      <c r="AM1769" s="322"/>
      <c r="AN1769" s="322"/>
      <c r="AO1769" s="322"/>
      <c r="AP1769" s="322"/>
      <c r="AQ1769" s="322"/>
      <c r="AR1769" s="322"/>
      <c r="AS1769" s="322"/>
      <c r="AT1769" s="322"/>
      <c r="AU1769" s="476"/>
      <c r="AV1769" s="477"/>
      <c r="AW1769" s="477"/>
      <c r="AX1769" s="487"/>
      <c r="AY1769" s="487"/>
      <c r="AZ1769" s="487"/>
      <c r="BA1769" s="487"/>
      <c r="BB1769" s="487"/>
      <c r="BC1769" s="487"/>
      <c r="BD1769" s="487"/>
      <c r="BE1769" s="487"/>
      <c r="BF1769" s="487"/>
      <c r="BG1769" s="487"/>
      <c r="BH1769" s="487"/>
      <c r="BI1769" s="487"/>
      <c r="BJ1769" s="504"/>
    </row>
    <row r="1770" spans="4:62">
      <c r="D1770" s="440" t="s">
        <v>106</v>
      </c>
      <c r="E1770" s="440"/>
      <c r="G1770" s="437" t="s">
        <v>0</v>
      </c>
      <c r="H1770" s="437" t="s">
        <v>0</v>
      </c>
      <c r="I1770" s="437" t="s">
        <v>0</v>
      </c>
      <c r="J1770" s="438" t="s">
        <v>0</v>
      </c>
      <c r="K1770" s="438" t="s">
        <v>0</v>
      </c>
      <c r="L1770" s="438"/>
      <c r="M1770" s="438"/>
      <c r="N1770" s="438"/>
      <c r="O1770" s="438"/>
      <c r="P1770" s="419" t="s">
        <v>0</v>
      </c>
      <c r="Q1770" s="419"/>
      <c r="R1770" s="419"/>
      <c r="S1770" s="419"/>
      <c r="T1770" s="419"/>
      <c r="U1770" s="322"/>
      <c r="V1770" s="322"/>
      <c r="W1770" s="322"/>
      <c r="X1770" s="322"/>
      <c r="Y1770" s="322"/>
      <c r="Z1770" s="322"/>
      <c r="AA1770" s="322"/>
      <c r="AB1770" s="322"/>
      <c r="AC1770" s="322"/>
      <c r="AD1770" s="322"/>
      <c r="AE1770" s="322"/>
      <c r="AF1770" s="322"/>
      <c r="AG1770" s="322"/>
      <c r="AH1770" s="322"/>
      <c r="AI1770" s="322"/>
      <c r="AJ1770" s="322"/>
      <c r="AK1770" s="322"/>
      <c r="AL1770" s="322"/>
      <c r="AM1770" s="322"/>
      <c r="AN1770" s="322"/>
      <c r="AO1770" s="322"/>
      <c r="AP1770" s="322"/>
      <c r="AQ1770" s="322"/>
      <c r="AR1770" s="322"/>
      <c r="AS1770" s="322"/>
      <c r="AT1770" s="322"/>
      <c r="AU1770" s="476"/>
      <c r="AV1770" s="477"/>
      <c r="AW1770" s="477"/>
      <c r="AX1770" s="477"/>
      <c r="AY1770" s="477"/>
      <c r="AZ1770" s="477"/>
      <c r="BA1770" s="477"/>
      <c r="BB1770" s="477"/>
      <c r="BC1770" s="477"/>
      <c r="BD1770" s="477"/>
      <c r="BE1770" s="477"/>
      <c r="BF1770" s="477"/>
      <c r="BG1770" s="477"/>
      <c r="BH1770" s="477"/>
      <c r="BI1770" s="477"/>
      <c r="BJ1770" s="478"/>
    </row>
    <row r="1771" spans="4:62">
      <c r="D1771" s="441" t="s">
        <v>107</v>
      </c>
      <c r="E1771" s="441"/>
      <c r="G1771" s="153">
        <v>297</v>
      </c>
      <c r="H1771" s="153">
        <v>265</v>
      </c>
      <c r="I1771" s="153">
        <v>278</v>
      </c>
      <c r="J1771" s="153">
        <v>86</v>
      </c>
      <c r="K1771" s="153">
        <v>18</v>
      </c>
      <c r="L1771" s="153"/>
      <c r="M1771" s="153"/>
      <c r="N1771" s="153"/>
      <c r="O1771" s="153"/>
      <c r="P1771" s="422">
        <v>164</v>
      </c>
      <c r="Q1771" s="422"/>
      <c r="R1771" s="422"/>
      <c r="S1771" s="422"/>
      <c r="T1771" s="422"/>
      <c r="U1771" s="322"/>
      <c r="V1771" s="322"/>
      <c r="W1771" s="322"/>
      <c r="X1771" s="322"/>
      <c r="Y1771" s="322"/>
      <c r="Z1771" s="322"/>
      <c r="AA1771" s="322"/>
      <c r="AB1771" s="322"/>
      <c r="AC1771" s="322"/>
      <c r="AD1771" s="322"/>
      <c r="AE1771" s="322"/>
      <c r="AF1771" s="322"/>
      <c r="AG1771" s="322"/>
      <c r="AH1771" s="322"/>
      <c r="AI1771" s="322"/>
      <c r="AJ1771" s="322"/>
      <c r="AK1771" s="322"/>
      <c r="AL1771" s="322"/>
      <c r="AM1771" s="322"/>
      <c r="AN1771" s="322"/>
      <c r="AO1771" s="322"/>
      <c r="AP1771" s="322"/>
      <c r="AQ1771" s="322"/>
      <c r="AR1771" s="322"/>
      <c r="AS1771" s="322"/>
      <c r="AT1771" s="322"/>
      <c r="AU1771" s="476"/>
      <c r="AV1771" s="477"/>
      <c r="AW1771" s="477"/>
      <c r="AX1771" s="477"/>
      <c r="AY1771" s="477"/>
      <c r="AZ1771" s="477"/>
      <c r="BA1771" s="477"/>
      <c r="BB1771" s="477"/>
      <c r="BC1771" s="477"/>
      <c r="BD1771" s="477"/>
      <c r="BE1771" s="477"/>
      <c r="BF1771" s="477"/>
      <c r="BG1771" s="477"/>
      <c r="BH1771" s="477"/>
      <c r="BI1771" s="477"/>
      <c r="BJ1771" s="478"/>
    </row>
    <row r="1772" spans="4:62">
      <c r="D1772" s="441" t="s">
        <v>108</v>
      </c>
      <c r="E1772" s="441"/>
      <c r="G1772" s="153">
        <v>549</v>
      </c>
      <c r="H1772" s="153">
        <v>373</v>
      </c>
      <c r="I1772" s="153">
        <v>304</v>
      </c>
      <c r="J1772" s="153">
        <v>305</v>
      </c>
      <c r="K1772" s="153">
        <v>534</v>
      </c>
      <c r="L1772" s="153"/>
      <c r="M1772" s="153"/>
      <c r="N1772" s="153"/>
      <c r="O1772" s="153"/>
      <c r="P1772" s="422">
        <v>652</v>
      </c>
      <c r="Q1772" s="422"/>
      <c r="R1772" s="422"/>
      <c r="S1772" s="422"/>
      <c r="T1772" s="422"/>
      <c r="U1772" s="322"/>
      <c r="V1772" s="322"/>
      <c r="W1772" s="322"/>
      <c r="X1772" s="322"/>
      <c r="Y1772" s="322"/>
      <c r="Z1772" s="322"/>
      <c r="AA1772" s="322"/>
      <c r="AB1772" s="322"/>
      <c r="AC1772" s="322"/>
      <c r="AD1772" s="322"/>
      <c r="AE1772" s="322"/>
      <c r="AF1772" s="322"/>
      <c r="AG1772" s="322"/>
      <c r="AH1772" s="322"/>
      <c r="AI1772" s="322"/>
      <c r="AJ1772" s="322"/>
      <c r="AK1772" s="322"/>
      <c r="AL1772" s="322"/>
      <c r="AM1772" s="322"/>
      <c r="AN1772" s="322"/>
      <c r="AO1772" s="322"/>
      <c r="AP1772" s="322"/>
      <c r="AQ1772" s="322"/>
      <c r="AR1772" s="322"/>
      <c r="AS1772" s="322"/>
      <c r="AT1772" s="322"/>
      <c r="AU1772" s="476"/>
      <c r="AV1772" s="477"/>
      <c r="AW1772" s="477"/>
      <c r="AX1772" s="477"/>
      <c r="AY1772" s="477"/>
      <c r="AZ1772" s="477"/>
      <c r="BA1772" s="477"/>
      <c r="BB1772" s="477"/>
      <c r="BC1772" s="477"/>
      <c r="BD1772" s="477"/>
      <c r="BE1772" s="477"/>
      <c r="BF1772" s="477"/>
      <c r="BG1772" s="477"/>
      <c r="BH1772" s="477"/>
      <c r="BI1772" s="477"/>
      <c r="BJ1772" s="478"/>
    </row>
    <row r="1773" spans="4:62" ht="16" thickBot="1">
      <c r="D1773" s="441" t="s">
        <v>109</v>
      </c>
      <c r="E1773" s="441"/>
      <c r="G1773" s="153">
        <v>3</v>
      </c>
      <c r="H1773" s="153">
        <v>-16</v>
      </c>
      <c r="I1773" s="153">
        <v>-141</v>
      </c>
      <c r="J1773" s="153">
        <v>-211</v>
      </c>
      <c r="K1773" s="153">
        <v>-107</v>
      </c>
      <c r="L1773" s="153"/>
      <c r="M1773" s="153"/>
      <c r="N1773" s="153"/>
      <c r="O1773" s="153"/>
      <c r="P1773" s="422">
        <v>-59</v>
      </c>
      <c r="Q1773" s="422"/>
      <c r="R1773" s="422"/>
      <c r="S1773" s="422"/>
      <c r="T1773" s="422"/>
      <c r="U1773" s="322"/>
      <c r="V1773" s="322"/>
      <c r="W1773" s="322"/>
      <c r="X1773" s="322"/>
      <c r="Y1773" s="322"/>
      <c r="Z1773" s="322"/>
      <c r="AA1773" s="322"/>
      <c r="AB1773" s="322"/>
      <c r="AC1773" s="322"/>
      <c r="AD1773" s="322"/>
      <c r="AE1773" s="322"/>
      <c r="AF1773" s="322"/>
      <c r="AG1773" s="322"/>
      <c r="AH1773" s="322"/>
      <c r="AI1773" s="322"/>
      <c r="AJ1773" s="322"/>
      <c r="AK1773" s="322"/>
      <c r="AL1773" s="322"/>
      <c r="AM1773" s="322"/>
      <c r="AN1773" s="322"/>
      <c r="AO1773" s="322"/>
      <c r="AP1773" s="322"/>
      <c r="AQ1773" s="322"/>
      <c r="AR1773" s="322"/>
      <c r="AS1773" s="322"/>
      <c r="AT1773" s="322"/>
      <c r="AU1773" s="479"/>
      <c r="AV1773" s="480"/>
      <c r="AW1773" s="480"/>
      <c r="AX1773" s="480"/>
      <c r="AY1773" s="480"/>
      <c r="AZ1773" s="480"/>
      <c r="BA1773" s="480"/>
      <c r="BB1773" s="480"/>
      <c r="BC1773" s="480"/>
      <c r="BD1773" s="480"/>
      <c r="BE1773" s="480"/>
      <c r="BF1773" s="480"/>
      <c r="BG1773" s="480"/>
      <c r="BH1773" s="480"/>
      <c r="BI1773" s="480"/>
      <c r="BJ1773" s="481"/>
    </row>
    <row r="1774" spans="4:62">
      <c r="D1774" s="441" t="s">
        <v>110</v>
      </c>
      <c r="E1774" s="441"/>
      <c r="G1774" s="153">
        <v>150</v>
      </c>
      <c r="H1774" s="153">
        <v>67</v>
      </c>
      <c r="I1774" s="153">
        <v>-4</v>
      </c>
      <c r="J1774" s="153">
        <v>9</v>
      </c>
      <c r="K1774" s="153">
        <v>142</v>
      </c>
      <c r="L1774" s="153"/>
      <c r="M1774" s="153"/>
      <c r="N1774" s="153"/>
      <c r="O1774" s="153"/>
      <c r="P1774" s="422">
        <v>121</v>
      </c>
      <c r="Q1774" s="422"/>
      <c r="R1774" s="422"/>
      <c r="S1774" s="422"/>
      <c r="T1774" s="422"/>
      <c r="U1774" s="322"/>
      <c r="V1774" s="322"/>
      <c r="W1774" s="322"/>
      <c r="X1774" s="322"/>
      <c r="Y1774" s="322"/>
      <c r="Z1774" s="322"/>
      <c r="AA1774" s="322"/>
      <c r="AB1774" s="322"/>
      <c r="AC1774" s="322"/>
      <c r="AD1774" s="322"/>
      <c r="AE1774" s="322"/>
      <c r="AF1774" s="322"/>
      <c r="AG1774" s="322"/>
      <c r="AH1774" s="322"/>
      <c r="AI1774" s="322"/>
      <c r="AJ1774" s="322"/>
      <c r="AK1774" s="322"/>
      <c r="AL1774" s="322"/>
      <c r="AM1774" s="322"/>
      <c r="AN1774" s="322"/>
      <c r="AO1774" s="322"/>
      <c r="AP1774" s="322"/>
      <c r="AQ1774" s="322"/>
      <c r="AR1774" s="322"/>
      <c r="AS1774" s="322"/>
      <c r="AT1774" s="322"/>
    </row>
    <row r="1775" spans="4:62">
      <c r="D1775" s="441" t="s">
        <v>111</v>
      </c>
      <c r="E1775" s="441"/>
      <c r="G1775" s="153">
        <v>-14</v>
      </c>
      <c r="H1775" s="153">
        <v>-21</v>
      </c>
      <c r="I1775" s="153">
        <v>-17</v>
      </c>
      <c r="J1775" s="153">
        <v>0</v>
      </c>
      <c r="K1775" s="153">
        <v>0</v>
      </c>
      <c r="L1775" s="153"/>
      <c r="M1775" s="153"/>
      <c r="N1775" s="153"/>
      <c r="O1775" s="153"/>
      <c r="P1775" s="422" t="s">
        <v>0</v>
      </c>
      <c r="Q1775" s="422"/>
      <c r="R1775" s="422"/>
      <c r="S1775" s="422"/>
      <c r="T1775" s="422"/>
      <c r="U1775" s="322"/>
      <c r="V1775" s="322"/>
      <c r="W1775" s="322"/>
      <c r="X1775" s="322"/>
      <c r="Y1775" s="322"/>
      <c r="Z1775" s="322"/>
      <c r="AA1775" s="322"/>
      <c r="AB1775" s="322"/>
      <c r="AC1775" s="322"/>
      <c r="AD1775" s="322"/>
      <c r="AE1775" s="322"/>
      <c r="AF1775" s="322"/>
      <c r="AG1775" s="322"/>
      <c r="AH1775" s="322"/>
      <c r="AI1775" s="322"/>
      <c r="AJ1775" s="322"/>
      <c r="AK1775" s="322"/>
      <c r="AL1775" s="322"/>
      <c r="AM1775" s="322"/>
      <c r="AN1775" s="322"/>
      <c r="AO1775" s="322"/>
      <c r="AP1775" s="322"/>
      <c r="AQ1775" s="322"/>
      <c r="AR1775" s="322"/>
      <c r="AS1775" s="322"/>
      <c r="AT1775" s="322"/>
    </row>
    <row r="1776" spans="4:62" ht="16" thickBot="1">
      <c r="D1776" s="441" t="s">
        <v>112</v>
      </c>
      <c r="E1776" s="441"/>
      <c r="G1776" s="153">
        <v>3</v>
      </c>
      <c r="H1776" s="153">
        <v>10</v>
      </c>
      <c r="I1776" s="153">
        <v>6</v>
      </c>
      <c r="J1776" s="153">
        <v>1</v>
      </c>
      <c r="K1776" s="153">
        <v>-1</v>
      </c>
      <c r="L1776" s="153"/>
      <c r="M1776" s="153"/>
      <c r="N1776" s="153"/>
      <c r="O1776" s="153"/>
      <c r="P1776" s="422">
        <v>-1</v>
      </c>
      <c r="Q1776" s="422"/>
      <c r="R1776" s="422"/>
      <c r="S1776" s="422"/>
      <c r="T1776" s="422"/>
      <c r="U1776" s="322"/>
      <c r="V1776" s="322"/>
      <c r="W1776" s="322"/>
      <c r="X1776" s="322"/>
      <c r="Y1776" s="322"/>
      <c r="Z1776" s="322"/>
      <c r="AA1776" s="322"/>
      <c r="AB1776" s="322"/>
      <c r="AC1776" s="322"/>
      <c r="AD1776" s="322"/>
      <c r="AE1776" s="322"/>
      <c r="AF1776" s="322"/>
      <c r="AG1776" s="322"/>
      <c r="AH1776" s="322"/>
      <c r="AI1776" s="322"/>
      <c r="AJ1776" s="322"/>
      <c r="AK1776" s="322"/>
      <c r="AL1776" s="322"/>
      <c r="AM1776" s="322"/>
      <c r="AN1776" s="322"/>
      <c r="AO1776" s="322"/>
      <c r="AP1776" s="322"/>
      <c r="AQ1776" s="322"/>
      <c r="AR1776" s="322"/>
      <c r="AS1776" s="322"/>
      <c r="AT1776" s="322"/>
    </row>
    <row r="1777" spans="4:77">
      <c r="D1777" s="441" t="s">
        <v>113</v>
      </c>
      <c r="E1777" s="441"/>
      <c r="G1777" s="153">
        <v>988</v>
      </c>
      <c r="H1777" s="153">
        <v>678</v>
      </c>
      <c r="I1777" s="153">
        <v>426</v>
      </c>
      <c r="J1777" s="153">
        <v>190</v>
      </c>
      <c r="K1777" s="153">
        <v>586</v>
      </c>
      <c r="L1777" s="153"/>
      <c r="M1777" s="153"/>
      <c r="N1777" s="153"/>
      <c r="O1777" s="153"/>
      <c r="P1777" s="422">
        <v>877</v>
      </c>
      <c r="Q1777" s="422"/>
      <c r="R1777" s="422"/>
      <c r="S1777" s="422"/>
      <c r="T1777" s="422"/>
      <c r="U1777" s="322"/>
      <c r="V1777" s="322"/>
      <c r="W1777" s="322"/>
      <c r="X1777" s="322"/>
      <c r="Y1777" s="322"/>
      <c r="Z1777" s="322"/>
      <c r="AA1777" s="322"/>
      <c r="AB1777" s="322"/>
      <c r="AC1777" s="322"/>
      <c r="AD1777" s="322"/>
      <c r="AE1777" s="322"/>
      <c r="AF1777" s="322"/>
      <c r="AG1777" s="322"/>
      <c r="AH1777" s="322"/>
      <c r="AI1777" s="322"/>
      <c r="AJ1777" s="322"/>
      <c r="AK1777" s="322"/>
      <c r="AL1777" s="322"/>
      <c r="AM1777" s="322"/>
      <c r="AN1777" s="322"/>
      <c r="AO1777" s="322"/>
      <c r="AP1777" s="322"/>
      <c r="AQ1777" s="322"/>
      <c r="AR1777" s="322"/>
      <c r="AS1777" s="322"/>
      <c r="AT1777" s="322"/>
      <c r="AU1777" s="491" t="s">
        <v>315</v>
      </c>
      <c r="AV1777" s="474"/>
      <c r="AW1777" s="474"/>
      <c r="AX1777" s="474"/>
      <c r="AY1777" s="474"/>
      <c r="AZ1777" s="474"/>
      <c r="BA1777" s="474"/>
      <c r="BB1777" s="474"/>
      <c r="BC1777" s="474"/>
      <c r="BD1777" s="474"/>
      <c r="BE1777" s="474"/>
      <c r="BF1777" s="474"/>
      <c r="BG1777" s="474"/>
      <c r="BH1777" s="474"/>
      <c r="BI1777" s="474"/>
      <c r="BJ1777" s="474"/>
      <c r="BK1777" s="474"/>
      <c r="BL1777" s="474"/>
      <c r="BM1777" s="474"/>
      <c r="BN1777" s="474"/>
      <c r="BO1777" s="474"/>
      <c r="BP1777" s="474"/>
      <c r="BQ1777" s="474"/>
      <c r="BR1777" s="474"/>
      <c r="BS1777" s="474"/>
      <c r="BT1777" s="474"/>
      <c r="BU1777" s="474"/>
      <c r="BV1777" s="474"/>
      <c r="BW1777" s="474"/>
      <c r="BX1777" s="474"/>
      <c r="BY1777" s="474"/>
    </row>
    <row r="1778" spans="4:77">
      <c r="D1778" s="440" t="s">
        <v>114</v>
      </c>
      <c r="E1778" s="440"/>
      <c r="G1778" s="437" t="s">
        <v>0</v>
      </c>
      <c r="H1778" s="437" t="s">
        <v>0</v>
      </c>
      <c r="I1778" s="437" t="s">
        <v>0</v>
      </c>
      <c r="J1778" s="438" t="s">
        <v>0</v>
      </c>
      <c r="K1778" s="438" t="s">
        <v>0</v>
      </c>
      <c r="L1778" s="438"/>
      <c r="M1778" s="438"/>
      <c r="N1778" s="438"/>
      <c r="O1778" s="438"/>
      <c r="P1778" s="419" t="s">
        <v>0</v>
      </c>
      <c r="Q1778" s="419"/>
      <c r="R1778" s="419"/>
      <c r="S1778" s="419"/>
      <c r="T1778" s="419"/>
      <c r="U1778" s="322"/>
      <c r="V1778" s="322"/>
      <c r="W1778" s="322"/>
      <c r="X1778" s="322"/>
      <c r="Y1778" s="322"/>
      <c r="Z1778" s="322"/>
      <c r="AA1778" s="322"/>
      <c r="AB1778" s="322"/>
      <c r="AC1778" s="322"/>
      <c r="AD1778" s="322"/>
      <c r="AE1778" s="322"/>
      <c r="AF1778" s="322"/>
      <c r="AG1778" s="322"/>
      <c r="AH1778" s="322"/>
      <c r="AI1778" s="322"/>
      <c r="AJ1778" s="322"/>
      <c r="AK1778" s="322"/>
      <c r="AL1778" s="322"/>
      <c r="AM1778" s="322"/>
      <c r="AN1778" s="322"/>
      <c r="AO1778" s="322"/>
      <c r="AP1778" s="322"/>
      <c r="AQ1778" s="322"/>
      <c r="AR1778" s="322"/>
      <c r="AS1778" s="322"/>
      <c r="AT1778" s="322"/>
      <c r="AU1778" s="476"/>
      <c r="AV1778" s="477"/>
      <c r="AW1778" s="477"/>
      <c r="AX1778" s="477"/>
      <c r="AY1778" s="477"/>
      <c r="AZ1778" s="477"/>
      <c r="BA1778" s="477"/>
      <c r="BB1778" s="477"/>
      <c r="BC1778" s="477"/>
      <c r="BD1778" s="477"/>
      <c r="BE1778" s="477"/>
      <c r="BF1778" s="477"/>
      <c r="BG1778" s="477"/>
      <c r="BH1778" s="477"/>
      <c r="BI1778" s="477"/>
      <c r="BJ1778" s="477"/>
      <c r="BK1778" s="477"/>
      <c r="BL1778" s="477"/>
      <c r="BM1778" s="477"/>
      <c r="BN1778" s="477"/>
      <c r="BO1778" s="477"/>
      <c r="BP1778" s="477"/>
      <c r="BQ1778" s="477"/>
      <c r="BR1778" s="477"/>
      <c r="BS1778" s="477"/>
      <c r="BT1778" s="477"/>
      <c r="BU1778" s="477"/>
      <c r="BV1778" s="477"/>
      <c r="BW1778" s="477"/>
      <c r="BX1778" s="477"/>
      <c r="BY1778" s="477"/>
    </row>
    <row r="1779" spans="4:77" ht="16" thickBot="1">
      <c r="D1779" s="441" t="s">
        <v>115</v>
      </c>
      <c r="E1779" s="441"/>
      <c r="G1779" s="153">
        <v>61</v>
      </c>
      <c r="H1779" s="153">
        <v>76</v>
      </c>
      <c r="I1779" s="153">
        <v>124</v>
      </c>
      <c r="J1779" s="153">
        <v>178</v>
      </c>
      <c r="K1779" s="153">
        <v>131</v>
      </c>
      <c r="L1779" s="153"/>
      <c r="M1779" s="153"/>
      <c r="N1779" s="153"/>
      <c r="O1779" s="153"/>
      <c r="P1779" s="422">
        <v>16</v>
      </c>
      <c r="Q1779" s="422"/>
      <c r="R1779" s="422"/>
      <c r="S1779" s="422"/>
      <c r="T1779" s="422"/>
      <c r="U1779" s="322"/>
      <c r="V1779" s="322"/>
      <c r="W1779" s="322"/>
      <c r="X1779" s="322"/>
      <c r="Y1779" s="322"/>
      <c r="Z1779" s="322"/>
      <c r="AA1779" s="322"/>
      <c r="AB1779" s="322"/>
      <c r="AC1779" s="322"/>
      <c r="AD1779" s="322"/>
      <c r="AE1779" s="322"/>
      <c r="AF1779" s="322"/>
      <c r="AG1779" s="322"/>
      <c r="AH1779" s="322"/>
      <c r="AI1779" s="322"/>
      <c r="AJ1779" s="322"/>
      <c r="AK1779" s="322"/>
      <c r="AL1779" s="322"/>
      <c r="AM1779" s="322"/>
      <c r="AN1779" s="322"/>
      <c r="AO1779" s="322"/>
      <c r="AP1779" s="322"/>
      <c r="AQ1779" s="322"/>
      <c r="AR1779" s="322"/>
      <c r="AS1779" s="322"/>
      <c r="AT1779" s="322"/>
      <c r="AU1779" s="476"/>
      <c r="AV1779" s="477"/>
      <c r="AW1779" s="477"/>
      <c r="AX1779" s="477"/>
      <c r="AY1779" s="477"/>
      <c r="AZ1779" s="477"/>
      <c r="BA1779" s="477"/>
      <c r="BB1779" s="477"/>
      <c r="BC1779" s="477"/>
      <c r="BD1779" s="477"/>
      <c r="BE1779" s="477"/>
      <c r="BF1779" s="477"/>
      <c r="BG1779" s="477"/>
      <c r="BH1779" s="477"/>
      <c r="BI1779" s="477"/>
      <c r="BJ1779" s="477"/>
      <c r="BK1779" s="477"/>
      <c r="BL1779" s="477"/>
      <c r="BM1779" s="477"/>
      <c r="BN1779" s="477"/>
      <c r="BO1779" s="477"/>
      <c r="BP1779" s="477"/>
      <c r="BQ1779" s="477"/>
      <c r="BR1779" s="477"/>
      <c r="BS1779" s="477"/>
      <c r="BT1779" s="477"/>
      <c r="BU1779" s="477"/>
      <c r="BV1779" s="477"/>
      <c r="BW1779" s="477"/>
      <c r="BX1779" s="477"/>
      <c r="BY1779" s="477"/>
    </row>
    <row r="1780" spans="4:77" ht="20">
      <c r="D1780" s="441" t="s">
        <v>116</v>
      </c>
      <c r="E1780" s="441"/>
      <c r="G1780" s="153">
        <v>364</v>
      </c>
      <c r="H1780" s="153">
        <v>574</v>
      </c>
      <c r="I1780" s="153">
        <v>537</v>
      </c>
      <c r="J1780" s="153">
        <v>668</v>
      </c>
      <c r="K1780" s="153">
        <v>874</v>
      </c>
      <c r="L1780" s="153"/>
      <c r="M1780" s="153"/>
      <c r="N1780" s="153"/>
      <c r="O1780" s="153"/>
      <c r="P1780" s="422">
        <v>864</v>
      </c>
      <c r="Q1780" s="422"/>
      <c r="R1780" s="422"/>
      <c r="S1780" s="422"/>
      <c r="T1780" s="422"/>
      <c r="U1780" s="322"/>
      <c r="V1780" s="322"/>
      <c r="W1780" s="322"/>
      <c r="X1780" s="322"/>
      <c r="Y1780" s="322"/>
      <c r="Z1780" s="322"/>
      <c r="AA1780" s="322"/>
      <c r="AB1780" s="322"/>
      <c r="AC1780" s="322"/>
      <c r="AD1780" s="322"/>
      <c r="AE1780" s="322"/>
      <c r="AF1780" s="322"/>
      <c r="AG1780" s="322"/>
      <c r="AH1780" s="322"/>
      <c r="AI1780" s="322"/>
      <c r="AJ1780" s="322"/>
      <c r="AK1780" s="322"/>
      <c r="AL1780" s="322"/>
      <c r="AM1780" s="322"/>
      <c r="AN1780" s="322"/>
      <c r="AO1780" s="322"/>
      <c r="AP1780" s="322"/>
      <c r="AQ1780" s="322"/>
      <c r="AR1780" s="322"/>
      <c r="AS1780" s="322"/>
      <c r="AT1780" s="322"/>
      <c r="AU1780" s="476"/>
      <c r="AV1780" s="477"/>
      <c r="AW1780" s="477"/>
      <c r="AX1780" s="477"/>
      <c r="AY1780" s="477"/>
      <c r="AZ1780" s="477"/>
      <c r="BA1780" s="532"/>
      <c r="BB1780" s="1381" t="s">
        <v>955</v>
      </c>
      <c r="BC1780" s="1381"/>
      <c r="BD1780" s="1381"/>
      <c r="BE1780" s="1381"/>
      <c r="BF1780" s="1381"/>
      <c r="BG1780" s="531"/>
      <c r="BH1780" s="531"/>
      <c r="BI1780" s="477"/>
      <c r="BJ1780" s="477"/>
      <c r="BK1780" s="477"/>
      <c r="BL1780" s="477"/>
      <c r="BM1780" s="477"/>
      <c r="BN1780" s="477"/>
      <c r="BO1780" s="477"/>
      <c r="BP1780" s="477"/>
      <c r="BQ1780" s="477"/>
      <c r="BR1780" s="477"/>
      <c r="BS1780" s="477"/>
      <c r="BT1780" s="477"/>
      <c r="BU1780" s="477"/>
      <c r="BV1780" s="477"/>
      <c r="BW1780" s="477"/>
      <c r="BX1780" s="477"/>
      <c r="BY1780" s="477"/>
    </row>
    <row r="1781" spans="4:77" ht="20">
      <c r="D1781" s="433" t="s">
        <v>124</v>
      </c>
      <c r="E1781" s="433"/>
      <c r="G1781" s="421" t="s">
        <v>0</v>
      </c>
      <c r="H1781" s="421" t="s">
        <v>0</v>
      </c>
      <c r="I1781" s="421">
        <v>-15</v>
      </c>
      <c r="J1781" s="421">
        <v>-10</v>
      </c>
      <c r="K1781" s="421">
        <v>-12</v>
      </c>
      <c r="L1781" s="421"/>
      <c r="M1781" s="421"/>
      <c r="N1781" s="421"/>
      <c r="O1781" s="421"/>
      <c r="P1781" s="422">
        <v>-20</v>
      </c>
      <c r="Q1781" s="422"/>
      <c r="R1781" s="422"/>
      <c r="S1781" s="422"/>
      <c r="T1781" s="422"/>
      <c r="U1781" s="322"/>
      <c r="V1781" s="322"/>
      <c r="W1781" s="322"/>
      <c r="X1781" s="322"/>
      <c r="Y1781" s="322"/>
      <c r="Z1781" s="322"/>
      <c r="AA1781" s="322"/>
      <c r="AB1781" s="322"/>
      <c r="AC1781" s="322"/>
      <c r="AD1781" s="322"/>
      <c r="AE1781" s="322"/>
      <c r="AF1781" s="322"/>
      <c r="AG1781" s="322"/>
      <c r="AH1781" s="322"/>
      <c r="AI1781" s="322"/>
      <c r="AJ1781" s="322"/>
      <c r="AK1781" s="322"/>
      <c r="AL1781" s="322"/>
      <c r="AM1781" s="322"/>
      <c r="AN1781" s="322"/>
      <c r="AO1781" s="322"/>
      <c r="AP1781" s="322"/>
      <c r="AQ1781" s="322"/>
      <c r="AR1781" s="322"/>
      <c r="AS1781" s="322"/>
      <c r="AT1781" s="322"/>
      <c r="AU1781" s="476"/>
      <c r="AV1781" s="477"/>
      <c r="AW1781" s="477"/>
      <c r="AX1781" s="477"/>
      <c r="AY1781" s="477"/>
      <c r="AZ1781" s="477"/>
      <c r="BA1781" s="1149">
        <f>BA1782/$AV$1700</f>
        <v>127.90995139421847</v>
      </c>
      <c r="BB1781" s="1149">
        <f t="shared" ref="BB1781:BH1781" si="1296">BB1782/$AV$1700</f>
        <v>140.70094653364032</v>
      </c>
      <c r="BC1781" s="1149">
        <f t="shared" si="1296"/>
        <v>153.49194167306214</v>
      </c>
      <c r="BD1781" s="1149">
        <f t="shared" si="1296"/>
        <v>166.282936812484</v>
      </c>
      <c r="BE1781" s="1149">
        <f t="shared" si="1296"/>
        <v>179.07393195190585</v>
      </c>
      <c r="BF1781" s="1149">
        <f t="shared" si="1296"/>
        <v>191.8649270913277</v>
      </c>
      <c r="BG1781" s="1149">
        <f t="shared" si="1296"/>
        <v>204.65592223074955</v>
      </c>
      <c r="BH1781" s="1149">
        <f t="shared" si="1296"/>
        <v>217.44691737017138</v>
      </c>
      <c r="BI1781" s="477"/>
      <c r="BJ1781" s="477"/>
      <c r="BK1781" s="477"/>
      <c r="BL1781" s="477"/>
      <c r="BM1781" s="477"/>
      <c r="BN1781" s="477"/>
      <c r="BO1781" s="477"/>
      <c r="BP1781" s="477"/>
      <c r="BQ1781" s="477"/>
      <c r="BR1781" s="477"/>
      <c r="BS1781" s="477"/>
      <c r="BT1781" s="477"/>
      <c r="BU1781" s="477"/>
      <c r="BV1781" s="477"/>
      <c r="BW1781" s="477"/>
      <c r="BX1781" s="477"/>
      <c r="BY1781" s="477"/>
    </row>
    <row r="1782" spans="4:77" ht="20">
      <c r="D1782" s="441" t="s">
        <v>112</v>
      </c>
      <c r="E1782" s="441"/>
      <c r="G1782" s="153">
        <v>4</v>
      </c>
      <c r="H1782" s="153">
        <v>-1</v>
      </c>
      <c r="I1782" s="153">
        <v>9</v>
      </c>
      <c r="J1782" s="153">
        <v>-6</v>
      </c>
      <c r="K1782" s="153">
        <v>-26</v>
      </c>
      <c r="L1782" s="153"/>
      <c r="M1782" s="153"/>
      <c r="N1782" s="153"/>
      <c r="O1782" s="153"/>
      <c r="P1782" s="422">
        <v>9</v>
      </c>
      <c r="Q1782" s="422"/>
      <c r="R1782" s="422"/>
      <c r="S1782" s="422"/>
      <c r="T1782" s="422"/>
      <c r="U1782" s="322"/>
      <c r="V1782" s="322"/>
      <c r="W1782" s="322"/>
      <c r="X1782" s="322"/>
      <c r="Y1782" s="322"/>
      <c r="Z1782" s="322"/>
      <c r="AA1782" s="322"/>
      <c r="AB1782" s="322"/>
      <c r="AC1782" s="322"/>
      <c r="AD1782" s="322"/>
      <c r="AE1782" s="322"/>
      <c r="AF1782" s="322"/>
      <c r="AG1782" s="322"/>
      <c r="AH1782" s="322"/>
      <c r="AI1782" s="322"/>
      <c r="AJ1782" s="322"/>
      <c r="AK1782" s="322"/>
      <c r="AL1782" s="322"/>
      <c r="AM1782" s="322"/>
      <c r="AN1782" s="322"/>
      <c r="AO1782" s="322"/>
      <c r="AP1782" s="322"/>
      <c r="AQ1782" s="322"/>
      <c r="AR1782" s="322"/>
      <c r="AS1782" s="322"/>
      <c r="AT1782" s="322"/>
      <c r="AU1782" s="476"/>
      <c r="AV1782" s="477"/>
      <c r="AW1782" s="477"/>
      <c r="AX1782" s="477"/>
      <c r="AY1782" s="477"/>
      <c r="AZ1782" s="1152">
        <f ca="1">AE1527</f>
        <v>2295.8755120186597</v>
      </c>
      <c r="BA1782" s="1148">
        <v>100</v>
      </c>
      <c r="BB1782" s="1148">
        <v>110</v>
      </c>
      <c r="BC1782" s="1148">
        <v>120</v>
      </c>
      <c r="BD1782" s="1148">
        <v>130</v>
      </c>
      <c r="BE1782" s="1148">
        <v>140</v>
      </c>
      <c r="BF1782" s="1148">
        <v>150</v>
      </c>
      <c r="BG1782" s="1148">
        <v>160</v>
      </c>
      <c r="BH1782" s="1148">
        <v>170</v>
      </c>
      <c r="BI1782" s="477"/>
      <c r="BJ1782" s="477"/>
      <c r="BK1782" s="488" t="e">
        <f ca="1">AZ1782*#REF!</f>
        <v>#REF!</v>
      </c>
      <c r="BL1782" s="490" t="e">
        <f>BA1782*#REF!</f>
        <v>#REF!</v>
      </c>
      <c r="BM1782" s="490" t="e">
        <f>BB1782*#REF!</f>
        <v>#REF!</v>
      </c>
      <c r="BN1782" s="490" t="e">
        <f>BC1782*#REF!</f>
        <v>#REF!</v>
      </c>
      <c r="BO1782" s="490" t="e">
        <f>BD1782*#REF!</f>
        <v>#REF!</v>
      </c>
      <c r="BP1782" s="490" t="e">
        <f>BE1782*#REF!</f>
        <v>#REF!</v>
      </c>
      <c r="BQ1782" s="490" t="e">
        <f>BF1782*#REF!</f>
        <v>#REF!</v>
      </c>
      <c r="BR1782" s="490" t="e">
        <f>BG1782*#REF!</f>
        <v>#REF!</v>
      </c>
      <c r="BS1782" s="490" t="e">
        <f>BH1782*#REF!</f>
        <v>#REF!</v>
      </c>
      <c r="BT1782" s="477"/>
      <c r="BU1782" s="477"/>
      <c r="BV1782" s="477"/>
      <c r="BW1782" s="477"/>
      <c r="BX1782" s="477"/>
      <c r="BY1782" s="477"/>
    </row>
    <row r="1783" spans="4:77" ht="21">
      <c r="D1783" s="441" t="s">
        <v>128</v>
      </c>
      <c r="E1783" s="441"/>
      <c r="G1783" s="153">
        <v>0</v>
      </c>
      <c r="H1783" s="153">
        <v>0</v>
      </c>
      <c r="I1783" s="153">
        <v>0</v>
      </c>
      <c r="J1783" s="153" t="s">
        <v>0</v>
      </c>
      <c r="K1783" s="153" t="s">
        <v>0</v>
      </c>
      <c r="L1783" s="153"/>
      <c r="M1783" s="153"/>
      <c r="N1783" s="153"/>
      <c r="O1783" s="153"/>
      <c r="P1783" s="422" t="s">
        <v>0</v>
      </c>
      <c r="Q1783" s="422"/>
      <c r="R1783" s="422"/>
      <c r="S1783" s="422"/>
      <c r="T1783" s="422"/>
      <c r="U1783" s="322"/>
      <c r="V1783" s="322"/>
      <c r="W1783" s="322"/>
      <c r="X1783" s="322"/>
      <c r="Y1783" s="322"/>
      <c r="Z1783" s="322"/>
      <c r="AA1783" s="322"/>
      <c r="AB1783" s="322"/>
      <c r="AC1783" s="322"/>
      <c r="AD1783" s="322"/>
      <c r="AE1783" s="322"/>
      <c r="AF1783" s="322"/>
      <c r="AG1783" s="322"/>
      <c r="AH1783" s="322"/>
      <c r="AI1783" s="322"/>
      <c r="AJ1783" s="322"/>
      <c r="AK1783" s="322"/>
      <c r="AL1783" s="322"/>
      <c r="AM1783" s="322"/>
      <c r="AN1783" s="322"/>
      <c r="AO1783" s="322"/>
      <c r="AP1783" s="322"/>
      <c r="AQ1783" s="322"/>
      <c r="AR1783" s="322"/>
      <c r="AS1783" s="322"/>
      <c r="AT1783" s="322"/>
      <c r="AU1783" s="476"/>
      <c r="AV1783" s="477"/>
      <c r="AW1783" s="477"/>
      <c r="AX1783" s="487"/>
      <c r="AY1783" s="1151">
        <f>AZ1783/$AV$1700</f>
        <v>3.1337938091583526</v>
      </c>
      <c r="AZ1783" s="1147">
        <v>2.4500000000000002</v>
      </c>
      <c r="BA1783" s="1156">
        <f t="dataTable" ref="BA1783:BH1795" dt2D="1" dtr="1" r1="AE15" r2="AE16" ca="1"/>
        <v>2295.8755120186597</v>
      </c>
      <c r="BB1783" s="1156">
        <v>2295.8755120186597</v>
      </c>
      <c r="BC1783" s="1156">
        <v>2295.8755120186597</v>
      </c>
      <c r="BD1783" s="1156">
        <v>2295.8755120186597</v>
      </c>
      <c r="BE1783" s="1156">
        <v>2295.8755120186597</v>
      </c>
      <c r="BF1783" s="1156">
        <v>2295.8755120186597</v>
      </c>
      <c r="BG1783" s="1156">
        <v>2295.8755120186597</v>
      </c>
      <c r="BH1783" s="1156">
        <v>2295.8755120186597</v>
      </c>
      <c r="BI1783" s="477"/>
      <c r="BJ1783" s="477"/>
      <c r="BK1783" s="490" t="e">
        <f>AZ1783*#REF!</f>
        <v>#REF!</v>
      </c>
      <c r="BL1783" s="485" t="e">
        <f t="dataTable" ref="BL1783:BS1795" dt2D="1" dtr="1" del1="1" del2="1" r1="E11" r2="E13"/>
        <v>#REF!</v>
      </c>
      <c r="BM1783" s="485" t="e">
        <v>#REF!</v>
      </c>
      <c r="BN1783" s="485" t="e">
        <v>#REF!</v>
      </c>
      <c r="BO1783" s="485" t="e">
        <v>#REF!</v>
      </c>
      <c r="BP1783" s="485" t="e">
        <v>#REF!</v>
      </c>
      <c r="BQ1783" s="485" t="e">
        <v>#REF!</v>
      </c>
      <c r="BR1783" s="485" t="e">
        <v>#REF!</v>
      </c>
      <c r="BS1783" s="485" t="e">
        <v>#REF!</v>
      </c>
      <c r="BT1783" s="477"/>
      <c r="BU1783" s="477"/>
      <c r="BV1783" s="477"/>
      <c r="BW1783" s="477"/>
      <c r="BX1783" s="477"/>
      <c r="BY1783" s="477"/>
    </row>
    <row r="1784" spans="4:77" ht="21">
      <c r="D1784" s="441" t="s">
        <v>119</v>
      </c>
      <c r="E1784" s="441"/>
      <c r="G1784" s="153">
        <v>429</v>
      </c>
      <c r="H1784" s="153">
        <v>649</v>
      </c>
      <c r="I1784" s="153">
        <v>655</v>
      </c>
      <c r="J1784" s="153">
        <v>830</v>
      </c>
      <c r="K1784" s="153">
        <v>967</v>
      </c>
      <c r="L1784" s="153"/>
      <c r="M1784" s="153"/>
      <c r="N1784" s="153"/>
      <c r="O1784" s="153"/>
      <c r="P1784" s="422">
        <v>869</v>
      </c>
      <c r="Q1784" s="422"/>
      <c r="R1784" s="422"/>
      <c r="S1784" s="422"/>
      <c r="T1784" s="422"/>
      <c r="U1784" s="322"/>
      <c r="V1784" s="322"/>
      <c r="W1784" s="322"/>
      <c r="X1784" s="322"/>
      <c r="Y1784" s="322"/>
      <c r="Z1784" s="322"/>
      <c r="AA1784" s="322"/>
      <c r="AB1784" s="322"/>
      <c r="AC1784" s="322"/>
      <c r="AD1784" s="322"/>
      <c r="AE1784" s="322"/>
      <c r="AF1784" s="322"/>
      <c r="AG1784" s="322"/>
      <c r="AH1784" s="322"/>
      <c r="AI1784" s="322"/>
      <c r="AJ1784" s="322"/>
      <c r="AK1784" s="322"/>
      <c r="AL1784" s="322"/>
      <c r="AM1784" s="322"/>
      <c r="AN1784" s="322"/>
      <c r="AO1784" s="322"/>
      <c r="AP1784" s="322"/>
      <c r="AQ1784" s="322"/>
      <c r="AR1784" s="322"/>
      <c r="AS1784" s="322"/>
      <c r="AT1784" s="322"/>
      <c r="AU1784" s="476"/>
      <c r="AV1784" s="477"/>
      <c r="AW1784" s="477"/>
      <c r="AX1784" s="487"/>
      <c r="AY1784" s="1151">
        <f t="shared" ref="AY1784:AY1795" si="1297">AZ1784/$AV$1700</f>
        <v>3.1977487848554618</v>
      </c>
      <c r="AZ1784" s="1147">
        <v>2.5</v>
      </c>
      <c r="BA1784" s="1156">
        <v>2295.8755120186597</v>
      </c>
      <c r="BB1784" s="1156">
        <v>2295.8755120186597</v>
      </c>
      <c r="BC1784" s="1156">
        <v>2295.8755120186597</v>
      </c>
      <c r="BD1784" s="1156">
        <v>2295.8755120186597</v>
      </c>
      <c r="BE1784" s="1156">
        <v>2295.8755120186597</v>
      </c>
      <c r="BF1784" s="1156">
        <v>2295.8755120186597</v>
      </c>
      <c r="BG1784" s="1156">
        <v>2295.8755120186597</v>
      </c>
      <c r="BH1784" s="1156">
        <v>2295.8755120186597</v>
      </c>
      <c r="BI1784" s="477"/>
      <c r="BJ1784" s="477"/>
      <c r="BK1784" s="490" t="e">
        <f>AZ1784*#REF!</f>
        <v>#REF!</v>
      </c>
      <c r="BL1784" s="485" t="e">
        <v>#REF!</v>
      </c>
      <c r="BM1784" s="485" t="e">
        <v>#REF!</v>
      </c>
      <c r="BN1784" s="485" t="e">
        <v>#REF!</v>
      </c>
      <c r="BO1784" s="485" t="e">
        <v>#REF!</v>
      </c>
      <c r="BP1784" s="485" t="e">
        <v>#REF!</v>
      </c>
      <c r="BQ1784" s="485" t="e">
        <v>#REF!</v>
      </c>
      <c r="BR1784" s="485" t="e">
        <v>#REF!</v>
      </c>
      <c r="BS1784" s="485" t="e">
        <v>#REF!</v>
      </c>
      <c r="BT1784" s="477"/>
      <c r="BU1784" s="477"/>
      <c r="BV1784" s="477"/>
      <c r="BW1784" s="477"/>
      <c r="BX1784" s="477"/>
      <c r="BY1784" s="477"/>
    </row>
    <row r="1785" spans="4:77" ht="21">
      <c r="D1785" s="439" t="s">
        <v>120</v>
      </c>
      <c r="E1785" s="439"/>
      <c r="G1785" s="153">
        <v>2</v>
      </c>
      <c r="H1785" s="153">
        <v>0</v>
      </c>
      <c r="I1785" s="153">
        <v>-2</v>
      </c>
      <c r="J1785" s="153">
        <v>-3</v>
      </c>
      <c r="K1785" s="153">
        <v>0</v>
      </c>
      <c r="L1785" s="153"/>
      <c r="M1785" s="153"/>
      <c r="N1785" s="153"/>
      <c r="O1785" s="153"/>
      <c r="P1785" s="422">
        <v>-165</v>
      </c>
      <c r="Q1785" s="422"/>
      <c r="R1785" s="422"/>
      <c r="S1785" s="422"/>
      <c r="T1785" s="422"/>
      <c r="U1785" s="322"/>
      <c r="V1785" s="322"/>
      <c r="W1785" s="322"/>
      <c r="X1785" s="322"/>
      <c r="Y1785" s="322"/>
      <c r="Z1785" s="322"/>
      <c r="AA1785" s="322"/>
      <c r="AB1785" s="322"/>
      <c r="AC1785" s="322"/>
      <c r="AD1785" s="322"/>
      <c r="AE1785" s="322"/>
      <c r="AF1785" s="322"/>
      <c r="AG1785" s="322"/>
      <c r="AH1785" s="322"/>
      <c r="AI1785" s="322"/>
      <c r="AJ1785" s="322"/>
      <c r="AK1785" s="322"/>
      <c r="AL1785" s="322"/>
      <c r="AM1785" s="322"/>
      <c r="AN1785" s="322"/>
      <c r="AO1785" s="322"/>
      <c r="AP1785" s="322"/>
      <c r="AQ1785" s="322"/>
      <c r="AR1785" s="322"/>
      <c r="AS1785" s="322"/>
      <c r="AT1785" s="322"/>
      <c r="AU1785" s="476"/>
      <c r="AV1785" s="477"/>
      <c r="AW1785" s="477"/>
      <c r="AX1785" s="1382" t="s">
        <v>954</v>
      </c>
      <c r="AY1785" s="1151">
        <f t="shared" si="1297"/>
        <v>3.2617037605525705</v>
      </c>
      <c r="AZ1785" s="1147">
        <v>2.5499999999999998</v>
      </c>
      <c r="BA1785" s="1156">
        <v>2295.8755120186597</v>
      </c>
      <c r="BB1785" s="1156">
        <v>2295.8755120186597</v>
      </c>
      <c r="BC1785" s="1156">
        <v>2295.8755120186597</v>
      </c>
      <c r="BD1785" s="1156">
        <v>2295.8755120186597</v>
      </c>
      <c r="BE1785" s="1156">
        <v>2295.8755120186597</v>
      </c>
      <c r="BF1785" s="1156">
        <v>2295.8755120186597</v>
      </c>
      <c r="BG1785" s="1156">
        <v>2295.8755120186597</v>
      </c>
      <c r="BH1785" s="1156">
        <v>2295.8755120186597</v>
      </c>
      <c r="BI1785" s="477"/>
      <c r="BJ1785" s="477"/>
      <c r="BK1785" s="490" t="e">
        <f>AZ1785*#REF!</f>
        <v>#REF!</v>
      </c>
      <c r="BL1785" s="485" t="e">
        <v>#REF!</v>
      </c>
      <c r="BM1785" s="485" t="e">
        <v>#REF!</v>
      </c>
      <c r="BN1785" s="485" t="e">
        <v>#REF!</v>
      </c>
      <c r="BO1785" s="485" t="e">
        <v>#REF!</v>
      </c>
      <c r="BP1785" s="485" t="e">
        <v>#REF!</v>
      </c>
      <c r="BQ1785" s="485" t="e">
        <v>#REF!</v>
      </c>
      <c r="BR1785" s="485" t="e">
        <v>#REF!</v>
      </c>
      <c r="BS1785" s="485" t="e">
        <v>#REF!</v>
      </c>
      <c r="BT1785" s="477"/>
      <c r="BU1785" s="477"/>
      <c r="BV1785" s="477"/>
      <c r="BW1785" s="477"/>
      <c r="BX1785" s="477"/>
      <c r="BY1785" s="477"/>
    </row>
    <row r="1786" spans="4:77" ht="21">
      <c r="D1786" s="152" t="s">
        <v>125</v>
      </c>
      <c r="E1786" s="152"/>
      <c r="G1786" s="153">
        <v>2426</v>
      </c>
      <c r="H1786" s="153">
        <v>1535</v>
      </c>
      <c r="I1786" s="153">
        <v>1279</v>
      </c>
      <c r="J1786" s="153">
        <v>2396</v>
      </c>
      <c r="K1786" s="153">
        <v>4567</v>
      </c>
      <c r="L1786" s="153"/>
      <c r="M1786" s="153"/>
      <c r="N1786" s="153"/>
      <c r="O1786" s="153"/>
      <c r="P1786" s="422">
        <v>4621</v>
      </c>
      <c r="Q1786" s="422"/>
      <c r="R1786" s="422"/>
      <c r="S1786" s="422"/>
      <c r="T1786" s="422"/>
      <c r="U1786" s="322"/>
      <c r="V1786" s="322"/>
      <c r="W1786" s="322"/>
      <c r="X1786" s="322"/>
      <c r="Y1786" s="322"/>
      <c r="Z1786" s="322"/>
      <c r="AA1786" s="322"/>
      <c r="AB1786" s="322"/>
      <c r="AC1786" s="322"/>
      <c r="AD1786" s="322"/>
      <c r="AE1786" s="322"/>
      <c r="AF1786" s="322"/>
      <c r="AG1786" s="322"/>
      <c r="AH1786" s="322"/>
      <c r="AI1786" s="322"/>
      <c r="AJ1786" s="322"/>
      <c r="AK1786" s="322"/>
      <c r="AL1786" s="322"/>
      <c r="AM1786" s="322"/>
      <c r="AN1786" s="322"/>
      <c r="AO1786" s="322"/>
      <c r="AP1786" s="322"/>
      <c r="AQ1786" s="322"/>
      <c r="AR1786" s="322"/>
      <c r="AS1786" s="322"/>
      <c r="AT1786" s="322"/>
      <c r="AU1786" s="476"/>
      <c r="AV1786" s="477"/>
      <c r="AW1786" s="477"/>
      <c r="AX1786" s="1382"/>
      <c r="AY1786" s="1151">
        <f t="shared" si="1297"/>
        <v>3.3256587362496801</v>
      </c>
      <c r="AZ1786" s="1147">
        <v>2.6</v>
      </c>
      <c r="BA1786" s="1156">
        <v>2295.8755120186597</v>
      </c>
      <c r="BB1786" s="1156">
        <v>2295.8755120186597</v>
      </c>
      <c r="BC1786" s="1156">
        <v>2295.8755120186597</v>
      </c>
      <c r="BD1786" s="1156">
        <v>2295.8755120186597</v>
      </c>
      <c r="BE1786" s="1156">
        <v>2295.8755120186597</v>
      </c>
      <c r="BF1786" s="1156">
        <v>2295.8755120186597</v>
      </c>
      <c r="BG1786" s="1156">
        <v>2295.8755120186597</v>
      </c>
      <c r="BH1786" s="1156">
        <v>2295.8755120186597</v>
      </c>
      <c r="BI1786" s="477"/>
      <c r="BJ1786" s="477"/>
      <c r="BK1786" s="490" t="e">
        <f>AZ1786*#REF!</f>
        <v>#REF!</v>
      </c>
      <c r="BL1786" s="485" t="e">
        <v>#REF!</v>
      </c>
      <c r="BM1786" s="485" t="e">
        <v>#REF!</v>
      </c>
      <c r="BN1786" s="485" t="e">
        <v>#REF!</v>
      </c>
      <c r="BO1786" s="485" t="e">
        <v>#REF!</v>
      </c>
      <c r="BP1786" s="485" t="e">
        <v>#REF!</v>
      </c>
      <c r="BQ1786" s="485" t="e">
        <v>#REF!</v>
      </c>
      <c r="BR1786" s="485" t="e">
        <v>#REF!</v>
      </c>
      <c r="BS1786" s="485" t="e">
        <v>#REF!</v>
      </c>
      <c r="BT1786" s="477"/>
      <c r="BU1786" s="477"/>
      <c r="BV1786" s="477"/>
      <c r="BW1786" s="477"/>
      <c r="BX1786" s="477"/>
      <c r="BY1786" s="477"/>
    </row>
    <row r="1787" spans="4:77" ht="21">
      <c r="D1787" s="442" t="s">
        <v>122</v>
      </c>
      <c r="E1787" s="442"/>
      <c r="G1787" s="443" t="s">
        <v>0</v>
      </c>
      <c r="H1787" s="443" t="s">
        <v>0</v>
      </c>
      <c r="I1787" s="443" t="s">
        <v>0</v>
      </c>
      <c r="J1787" s="444" t="s">
        <v>0</v>
      </c>
      <c r="K1787" s="444" t="s">
        <v>0</v>
      </c>
      <c r="L1787" s="444"/>
      <c r="M1787" s="444"/>
      <c r="N1787" s="444"/>
      <c r="O1787" s="444"/>
      <c r="P1787" s="445" t="s">
        <v>0</v>
      </c>
      <c r="Q1787" s="445"/>
      <c r="R1787" s="445"/>
      <c r="S1787" s="445"/>
      <c r="T1787" s="445"/>
      <c r="U1787" s="322"/>
      <c r="V1787" s="322"/>
      <c r="W1787" s="322"/>
      <c r="X1787" s="322"/>
      <c r="Y1787" s="322"/>
      <c r="Z1787" s="322"/>
      <c r="AA1787" s="322"/>
      <c r="AB1787" s="322"/>
      <c r="AC1787" s="322"/>
      <c r="AD1787" s="322"/>
      <c r="AE1787" s="322"/>
      <c r="AF1787" s="322"/>
      <c r="AG1787" s="322"/>
      <c r="AH1787" s="322"/>
      <c r="AI1787" s="322"/>
      <c r="AJ1787" s="322"/>
      <c r="AK1787" s="322"/>
      <c r="AL1787" s="322"/>
      <c r="AM1787" s="322"/>
      <c r="AN1787" s="322"/>
      <c r="AO1787" s="322"/>
      <c r="AP1787" s="322"/>
      <c r="AQ1787" s="322"/>
      <c r="AR1787" s="322"/>
      <c r="AS1787" s="322"/>
      <c r="AT1787" s="322"/>
      <c r="AU1787" s="476"/>
      <c r="AV1787" s="477"/>
      <c r="AW1787" s="477"/>
      <c r="AX1787" s="1382"/>
      <c r="AY1787" s="1151">
        <f t="shared" si="1297"/>
        <v>3.3896137119467893</v>
      </c>
      <c r="AZ1787" s="1147">
        <v>2.65</v>
      </c>
      <c r="BA1787" s="1156">
        <v>2295.8755120186597</v>
      </c>
      <c r="BB1787" s="1156">
        <v>2295.8755120186597</v>
      </c>
      <c r="BC1787" s="1156">
        <v>2295.8755120186597</v>
      </c>
      <c r="BD1787" s="1156">
        <v>2295.8755120186597</v>
      </c>
      <c r="BE1787" s="1156">
        <v>2295.8755120186597</v>
      </c>
      <c r="BF1787" s="1156">
        <v>2295.8755120186597</v>
      </c>
      <c r="BG1787" s="1156">
        <v>2295.8755120186597</v>
      </c>
      <c r="BH1787" s="1156">
        <v>2295.8755120186597</v>
      </c>
      <c r="BI1787" s="477"/>
      <c r="BJ1787" s="477"/>
      <c r="BK1787" s="490" t="e">
        <f>AZ1787*#REF!</f>
        <v>#REF!</v>
      </c>
      <c r="BL1787" s="485" t="e">
        <v>#REF!</v>
      </c>
      <c r="BM1787" s="485" t="e">
        <v>#REF!</v>
      </c>
      <c r="BN1787" s="485" t="e">
        <v>#REF!</v>
      </c>
      <c r="BO1787" s="485" t="e">
        <v>#REF!</v>
      </c>
      <c r="BP1787" s="485" t="e">
        <v>#REF!</v>
      </c>
      <c r="BQ1787" s="485" t="e">
        <v>#REF!</v>
      </c>
      <c r="BR1787" s="485" t="e">
        <v>#REF!</v>
      </c>
      <c r="BS1787" s="485" t="e">
        <v>#REF!</v>
      </c>
      <c r="BT1787" s="477"/>
      <c r="BU1787" s="477"/>
      <c r="BV1787" s="477"/>
      <c r="BW1787" s="477"/>
      <c r="BX1787" s="477"/>
      <c r="BY1787" s="477"/>
    </row>
    <row r="1788" spans="4:77" ht="21">
      <c r="D1788" s="423" t="s">
        <v>126</v>
      </c>
      <c r="E1788" s="423"/>
      <c r="G1788" s="426" t="s">
        <v>0</v>
      </c>
      <c r="H1788" s="426" t="s">
        <v>0</v>
      </c>
      <c r="I1788" s="426" t="s">
        <v>0</v>
      </c>
      <c r="J1788" s="424" t="s">
        <v>0</v>
      </c>
      <c r="K1788" s="424" t="s">
        <v>0</v>
      </c>
      <c r="L1788" s="424"/>
      <c r="M1788" s="424"/>
      <c r="N1788" s="424"/>
      <c r="O1788" s="424"/>
      <c r="P1788" s="419" t="s">
        <v>0</v>
      </c>
      <c r="Q1788" s="419"/>
      <c r="R1788" s="419"/>
      <c r="S1788" s="419"/>
      <c r="T1788" s="419"/>
      <c r="U1788" s="322"/>
      <c r="V1788" s="322"/>
      <c r="W1788" s="322"/>
      <c r="X1788" s="322"/>
      <c r="Y1788" s="322"/>
      <c r="Z1788" s="322"/>
      <c r="AA1788" s="322"/>
      <c r="AB1788" s="322"/>
      <c r="AC1788" s="322"/>
      <c r="AD1788" s="322"/>
      <c r="AE1788" s="322"/>
      <c r="AF1788" s="322"/>
      <c r="AG1788" s="322"/>
      <c r="AH1788" s="322"/>
      <c r="AI1788" s="322"/>
      <c r="AJ1788" s="322"/>
      <c r="AK1788" s="322"/>
      <c r="AL1788" s="322"/>
      <c r="AM1788" s="322"/>
      <c r="AN1788" s="322"/>
      <c r="AO1788" s="322"/>
      <c r="AP1788" s="322"/>
      <c r="AQ1788" s="322"/>
      <c r="AR1788" s="322"/>
      <c r="AS1788" s="322"/>
      <c r="AT1788" s="322"/>
      <c r="AU1788" s="476"/>
      <c r="AV1788" s="477"/>
      <c r="AW1788" s="477"/>
      <c r="AX1788" s="1382"/>
      <c r="AY1788" s="1151">
        <f t="shared" si="1297"/>
        <v>3.4535686876438989</v>
      </c>
      <c r="AZ1788" s="1147">
        <v>2.7</v>
      </c>
      <c r="BA1788" s="1156">
        <v>2295.8755120186597</v>
      </c>
      <c r="BB1788" s="1156">
        <v>2295.8755120186597</v>
      </c>
      <c r="BC1788" s="1156">
        <v>2295.8755120186597</v>
      </c>
      <c r="BD1788" s="1156">
        <v>2295.8755120186597</v>
      </c>
      <c r="BE1788" s="1156">
        <v>2295.8755120186597</v>
      </c>
      <c r="BF1788" s="1156">
        <v>2295.8755120186597</v>
      </c>
      <c r="BG1788" s="1156">
        <v>2295.8755120186597</v>
      </c>
      <c r="BH1788" s="1156">
        <v>2295.8755120186597</v>
      </c>
      <c r="BI1788" s="477"/>
      <c r="BJ1788" s="477"/>
      <c r="BK1788" s="490" t="e">
        <f>AZ1788*#REF!</f>
        <v>#REF!</v>
      </c>
      <c r="BL1788" s="485" t="e">
        <v>#REF!</v>
      </c>
      <c r="BM1788" s="485" t="e">
        <v>#REF!</v>
      </c>
      <c r="BN1788" s="485" t="e">
        <v>#REF!</v>
      </c>
      <c r="BO1788" s="485" t="e">
        <v>#REF!</v>
      </c>
      <c r="BP1788" s="485" t="e">
        <v>#REF!</v>
      </c>
      <c r="BQ1788" s="485" t="e">
        <v>#REF!</v>
      </c>
      <c r="BR1788" s="485" t="e">
        <v>#REF!</v>
      </c>
      <c r="BS1788" s="485" t="e">
        <v>#REF!</v>
      </c>
      <c r="BT1788" s="477"/>
      <c r="BU1788" s="477"/>
      <c r="BV1788" s="477"/>
      <c r="BW1788" s="477"/>
      <c r="BX1788" s="477"/>
      <c r="BY1788" s="477"/>
    </row>
    <row r="1789" spans="4:77" ht="21">
      <c r="D1789" s="152" t="s">
        <v>105</v>
      </c>
      <c r="E1789" s="152"/>
      <c r="G1789" s="153">
        <v>1729</v>
      </c>
      <c r="H1789" s="153">
        <v>920</v>
      </c>
      <c r="I1789" s="153">
        <v>906</v>
      </c>
      <c r="J1789" s="153">
        <v>2007</v>
      </c>
      <c r="K1789" s="153">
        <v>3732</v>
      </c>
      <c r="L1789" s="153"/>
      <c r="M1789" s="153"/>
      <c r="N1789" s="153"/>
      <c r="O1789" s="153"/>
      <c r="P1789" s="422">
        <v>3770</v>
      </c>
      <c r="Q1789" s="422"/>
      <c r="R1789" s="422"/>
      <c r="S1789" s="422"/>
      <c r="T1789" s="422"/>
      <c r="U1789" s="322"/>
      <c r="V1789" s="322"/>
      <c r="W1789" s="322"/>
      <c r="X1789" s="322"/>
      <c r="Y1789" s="322"/>
      <c r="Z1789" s="322"/>
      <c r="AA1789" s="322"/>
      <c r="AB1789" s="322"/>
      <c r="AC1789" s="322"/>
      <c r="AD1789" s="322"/>
      <c r="AE1789" s="322"/>
      <c r="AF1789" s="322"/>
      <c r="AG1789" s="322"/>
      <c r="AH1789" s="322"/>
      <c r="AI1789" s="322"/>
      <c r="AJ1789" s="322"/>
      <c r="AK1789" s="322"/>
      <c r="AL1789" s="322"/>
      <c r="AM1789" s="322"/>
      <c r="AN1789" s="322"/>
      <c r="AO1789" s="322"/>
      <c r="AP1789" s="322"/>
      <c r="AQ1789" s="322"/>
      <c r="AR1789" s="322"/>
      <c r="AS1789" s="322"/>
      <c r="AT1789" s="322"/>
      <c r="AU1789" s="476"/>
      <c r="AV1789" s="477"/>
      <c r="AW1789" s="477"/>
      <c r="AX1789" s="1382"/>
      <c r="AY1789" s="1151">
        <f t="shared" si="1297"/>
        <v>3.5175236633410076</v>
      </c>
      <c r="AZ1789" s="1147">
        <v>2.75</v>
      </c>
      <c r="BA1789" s="1156">
        <v>2295.8755120186597</v>
      </c>
      <c r="BB1789" s="1156">
        <v>2295.8755120186597</v>
      </c>
      <c r="BC1789" s="1156">
        <v>2295.8755120186597</v>
      </c>
      <c r="BD1789" s="1156">
        <v>2295.8755120186597</v>
      </c>
      <c r="BE1789" s="1156">
        <v>2295.8755120186597</v>
      </c>
      <c r="BF1789" s="1156">
        <v>2295.8755120186597</v>
      </c>
      <c r="BG1789" s="1156">
        <v>2295.8755120186597</v>
      </c>
      <c r="BH1789" s="1156">
        <v>2295.8755120186597</v>
      </c>
      <c r="BI1789" s="477"/>
      <c r="BJ1789" s="477"/>
      <c r="BK1789" s="490" t="e">
        <f>AZ1789*#REF!</f>
        <v>#REF!</v>
      </c>
      <c r="BL1789" s="485" t="e">
        <v>#REF!</v>
      </c>
      <c r="BM1789" s="485" t="e">
        <v>#REF!</v>
      </c>
      <c r="BN1789" s="485" t="e">
        <v>#REF!</v>
      </c>
      <c r="BO1789" s="485" t="e">
        <v>#REF!</v>
      </c>
      <c r="BP1789" s="485" t="e">
        <v>#REF!</v>
      </c>
      <c r="BQ1789" s="485" t="e">
        <v>#REF!</v>
      </c>
      <c r="BR1789" s="485" t="e">
        <v>#REF!</v>
      </c>
      <c r="BS1789" s="485" t="e">
        <v>#REF!</v>
      </c>
      <c r="BT1789" s="477"/>
      <c r="BU1789" s="477"/>
      <c r="BV1789" s="477"/>
      <c r="BW1789" s="477"/>
      <c r="BX1789" s="477"/>
      <c r="BY1789" s="477"/>
    </row>
    <row r="1790" spans="4:77" ht="21">
      <c r="D1790" s="432" t="s">
        <v>106</v>
      </c>
      <c r="E1790" s="432"/>
      <c r="G1790" s="426" t="s">
        <v>0</v>
      </c>
      <c r="H1790" s="426" t="s">
        <v>0</v>
      </c>
      <c r="I1790" s="426" t="s">
        <v>0</v>
      </c>
      <c r="J1790" s="424" t="s">
        <v>0</v>
      </c>
      <c r="K1790" s="424" t="s">
        <v>0</v>
      </c>
      <c r="L1790" s="424"/>
      <c r="M1790" s="424"/>
      <c r="N1790" s="424"/>
      <c r="O1790" s="424"/>
      <c r="P1790" s="419" t="s">
        <v>0</v>
      </c>
      <c r="Q1790" s="419"/>
      <c r="R1790" s="419"/>
      <c r="S1790" s="419"/>
      <c r="T1790" s="419"/>
      <c r="U1790" s="322"/>
      <c r="V1790" s="322"/>
      <c r="W1790" s="322"/>
      <c r="X1790" s="322"/>
      <c r="Y1790" s="322"/>
      <c r="Z1790" s="322"/>
      <c r="AA1790" s="322"/>
      <c r="AB1790" s="322"/>
      <c r="AC1790" s="322"/>
      <c r="AD1790" s="322"/>
      <c r="AE1790" s="322"/>
      <c r="AF1790" s="322"/>
      <c r="AG1790" s="322"/>
      <c r="AH1790" s="322"/>
      <c r="AI1790" s="322"/>
      <c r="AJ1790" s="322"/>
      <c r="AK1790" s="322"/>
      <c r="AL1790" s="322"/>
      <c r="AM1790" s="322"/>
      <c r="AN1790" s="322"/>
      <c r="AO1790" s="322"/>
      <c r="AP1790" s="322"/>
      <c r="AQ1790" s="322"/>
      <c r="AR1790" s="322"/>
      <c r="AS1790" s="322"/>
      <c r="AT1790" s="322"/>
      <c r="AU1790" s="476"/>
      <c r="AV1790" s="477"/>
      <c r="AW1790" s="477"/>
      <c r="AX1790" s="1382"/>
      <c r="AY1790" s="1151">
        <f t="shared" si="1297"/>
        <v>3.5814786390381168</v>
      </c>
      <c r="AZ1790" s="1147">
        <v>2.8</v>
      </c>
      <c r="BA1790" s="1156">
        <v>2295.8755120186597</v>
      </c>
      <c r="BB1790" s="1156">
        <v>2295.8755120186597</v>
      </c>
      <c r="BC1790" s="1156">
        <v>2295.8755120186597</v>
      </c>
      <c r="BD1790" s="1156">
        <v>2295.8755120186597</v>
      </c>
      <c r="BE1790" s="1156">
        <v>2295.8755120186597</v>
      </c>
      <c r="BF1790" s="1156">
        <v>2295.8755120186597</v>
      </c>
      <c r="BG1790" s="1156">
        <v>2295.8755120186597</v>
      </c>
      <c r="BH1790" s="1156">
        <v>2295.8755120186597</v>
      </c>
      <c r="BI1790" s="477"/>
      <c r="BJ1790" s="477"/>
      <c r="BK1790" s="490" t="e">
        <f>AZ1790*#REF!</f>
        <v>#REF!</v>
      </c>
      <c r="BL1790" s="485" t="e">
        <v>#REF!</v>
      </c>
      <c r="BM1790" s="485" t="e">
        <v>#REF!</v>
      </c>
      <c r="BN1790" s="485" t="e">
        <v>#REF!</v>
      </c>
      <c r="BO1790" s="485" t="e">
        <v>#REF!</v>
      </c>
      <c r="BP1790" s="485" t="e">
        <v>#REF!</v>
      </c>
      <c r="BQ1790" s="485" t="e">
        <v>#REF!</v>
      </c>
      <c r="BR1790" s="485" t="e">
        <v>#REF!</v>
      </c>
      <c r="BS1790" s="485" t="e">
        <v>#REF!</v>
      </c>
      <c r="BT1790" s="477"/>
      <c r="BU1790" s="477"/>
      <c r="BV1790" s="477"/>
      <c r="BW1790" s="477"/>
      <c r="BX1790" s="477"/>
      <c r="BY1790" s="477"/>
    </row>
    <row r="1791" spans="4:77" ht="21">
      <c r="D1791" s="433" t="s">
        <v>107</v>
      </c>
      <c r="E1791" s="433"/>
      <c r="G1791" s="421">
        <v>408</v>
      </c>
      <c r="H1791" s="421">
        <v>419</v>
      </c>
      <c r="I1791" s="421">
        <v>449</v>
      </c>
      <c r="J1791" s="421">
        <v>268</v>
      </c>
      <c r="K1791" s="421">
        <v>213</v>
      </c>
      <c r="L1791" s="421"/>
      <c r="M1791" s="421"/>
      <c r="N1791" s="421"/>
      <c r="O1791" s="421"/>
      <c r="P1791" s="422">
        <v>343</v>
      </c>
      <c r="Q1791" s="422"/>
      <c r="R1791" s="422"/>
      <c r="S1791" s="422"/>
      <c r="T1791" s="422"/>
      <c r="U1791" s="322"/>
      <c r="V1791" s="322"/>
      <c r="W1791" s="322"/>
      <c r="X1791" s="322"/>
      <c r="Y1791" s="322"/>
      <c r="Z1791" s="322"/>
      <c r="AA1791" s="322"/>
      <c r="AB1791" s="322"/>
      <c r="AC1791" s="322"/>
      <c r="AD1791" s="322"/>
      <c r="AE1791" s="322"/>
      <c r="AF1791" s="322"/>
      <c r="AG1791" s="322"/>
      <c r="AH1791" s="322"/>
      <c r="AI1791" s="322"/>
      <c r="AJ1791" s="322"/>
      <c r="AK1791" s="322"/>
      <c r="AL1791" s="322"/>
      <c r="AM1791" s="322"/>
      <c r="AN1791" s="322"/>
      <c r="AO1791" s="322"/>
      <c r="AP1791" s="322"/>
      <c r="AQ1791" s="322"/>
      <c r="AR1791" s="322"/>
      <c r="AS1791" s="322"/>
      <c r="AT1791" s="322"/>
      <c r="AU1791" s="476"/>
      <c r="AV1791" s="477"/>
      <c r="AW1791" s="477"/>
      <c r="AX1791" s="1382"/>
      <c r="AY1791" s="1151">
        <f t="shared" si="1297"/>
        <v>3.6454336147352264</v>
      </c>
      <c r="AZ1791" s="1147">
        <v>2.85</v>
      </c>
      <c r="BA1791" s="1156">
        <v>2295.8755120186597</v>
      </c>
      <c r="BB1791" s="1156">
        <v>2295.8755120186597</v>
      </c>
      <c r="BC1791" s="1156">
        <v>2295.8755120186597</v>
      </c>
      <c r="BD1791" s="1156">
        <v>2295.8755120186597</v>
      </c>
      <c r="BE1791" s="1156">
        <v>2295.8755120186597</v>
      </c>
      <c r="BF1791" s="1156">
        <v>2295.8755120186597</v>
      </c>
      <c r="BG1791" s="1156">
        <v>2295.8755120186597</v>
      </c>
      <c r="BH1791" s="1156">
        <v>2295.8755120186597</v>
      </c>
      <c r="BI1791" s="477"/>
      <c r="BJ1791" s="477"/>
      <c r="BK1791" s="490" t="e">
        <f>AZ1791*#REF!</f>
        <v>#REF!</v>
      </c>
      <c r="BL1791" s="485" t="e">
        <v>#REF!</v>
      </c>
      <c r="BM1791" s="485" t="e">
        <v>#REF!</v>
      </c>
      <c r="BN1791" s="485" t="e">
        <v>#REF!</v>
      </c>
      <c r="BO1791" s="485" t="e">
        <v>#REF!</v>
      </c>
      <c r="BP1791" s="485" t="e">
        <v>#REF!</v>
      </c>
      <c r="BQ1791" s="485" t="e">
        <v>#REF!</v>
      </c>
      <c r="BR1791" s="485" t="e">
        <v>#REF!</v>
      </c>
      <c r="BS1791" s="485" t="e">
        <v>#REF!</v>
      </c>
      <c r="BT1791" s="477"/>
      <c r="BU1791" s="477"/>
      <c r="BV1791" s="477"/>
      <c r="BW1791" s="477"/>
      <c r="BX1791" s="477"/>
      <c r="BY1791" s="477"/>
    </row>
    <row r="1792" spans="4:77" ht="21">
      <c r="D1792" s="433" t="s">
        <v>108</v>
      </c>
      <c r="E1792" s="433"/>
      <c r="G1792" s="421">
        <v>596</v>
      </c>
      <c r="H1792" s="421">
        <v>450</v>
      </c>
      <c r="I1792" s="421">
        <v>412</v>
      </c>
      <c r="J1792" s="421">
        <v>409</v>
      </c>
      <c r="K1792" s="421">
        <v>670</v>
      </c>
      <c r="L1792" s="421"/>
      <c r="M1792" s="421"/>
      <c r="N1792" s="421"/>
      <c r="O1792" s="421"/>
      <c r="P1792" s="422">
        <v>794</v>
      </c>
      <c r="Q1792" s="422"/>
      <c r="R1792" s="422"/>
      <c r="S1792" s="422"/>
      <c r="T1792" s="422"/>
      <c r="U1792" s="322"/>
      <c r="V1792" s="322"/>
      <c r="W1792" s="322"/>
      <c r="X1792" s="322"/>
      <c r="Y1792" s="322"/>
      <c r="Z1792" s="322"/>
      <c r="AA1792" s="322"/>
      <c r="AB1792" s="322"/>
      <c r="AC1792" s="322"/>
      <c r="AD1792" s="322"/>
      <c r="AE1792" s="322"/>
      <c r="AF1792" s="322"/>
      <c r="AG1792" s="322"/>
      <c r="AH1792" s="322"/>
      <c r="AI1792" s="322"/>
      <c r="AJ1792" s="322"/>
      <c r="AK1792" s="322"/>
      <c r="AL1792" s="322"/>
      <c r="AM1792" s="322"/>
      <c r="AN1792" s="322"/>
      <c r="AO1792" s="322"/>
      <c r="AP1792" s="322"/>
      <c r="AQ1792" s="322"/>
      <c r="AR1792" s="322"/>
      <c r="AS1792" s="322"/>
      <c r="AT1792" s="322"/>
      <c r="AU1792" s="476"/>
      <c r="AV1792" s="477"/>
      <c r="AW1792" s="477"/>
      <c r="AX1792" s="1382"/>
      <c r="AY1792" s="1151">
        <f t="shared" si="1297"/>
        <v>3.7093885904323352</v>
      </c>
      <c r="AZ1792" s="1147">
        <v>2.9</v>
      </c>
      <c r="BA1792" s="1156">
        <v>2295.8755120186597</v>
      </c>
      <c r="BB1792" s="1156">
        <v>2295.8755120186597</v>
      </c>
      <c r="BC1792" s="1156">
        <v>2295.8755120186597</v>
      </c>
      <c r="BD1792" s="1156">
        <v>2295.8755120186597</v>
      </c>
      <c r="BE1792" s="1156">
        <v>2295.8755120186597</v>
      </c>
      <c r="BF1792" s="1156">
        <v>2295.8755120186597</v>
      </c>
      <c r="BG1792" s="1156">
        <v>2295.8755120186597</v>
      </c>
      <c r="BH1792" s="1156">
        <v>2295.8755120186597</v>
      </c>
      <c r="BI1792" s="477"/>
      <c r="BJ1792" s="477"/>
      <c r="BK1792" s="490" t="e">
        <f>AZ1792*#REF!</f>
        <v>#REF!</v>
      </c>
      <c r="BL1792" s="485" t="e">
        <v>#REF!</v>
      </c>
      <c r="BM1792" s="485" t="e">
        <v>#REF!</v>
      </c>
      <c r="BN1792" s="485" t="e">
        <v>#REF!</v>
      </c>
      <c r="BO1792" s="485" t="e">
        <v>#REF!</v>
      </c>
      <c r="BP1792" s="485" t="e">
        <v>#REF!</v>
      </c>
      <c r="BQ1792" s="485" t="e">
        <v>#REF!</v>
      </c>
      <c r="BR1792" s="485" t="e">
        <v>#REF!</v>
      </c>
      <c r="BS1792" s="485" t="e">
        <v>#REF!</v>
      </c>
      <c r="BT1792" s="477"/>
      <c r="BU1792" s="477"/>
      <c r="BV1792" s="477"/>
      <c r="BW1792" s="477"/>
      <c r="BX1792" s="477"/>
      <c r="BY1792" s="477"/>
    </row>
    <row r="1793" spans="4:77" ht="21">
      <c r="D1793" s="433" t="s">
        <v>109</v>
      </c>
      <c r="E1793" s="433"/>
      <c r="G1793" s="421">
        <v>121</v>
      </c>
      <c r="H1793" s="421">
        <v>118</v>
      </c>
      <c r="I1793" s="421">
        <v>-19</v>
      </c>
      <c r="J1793" s="421">
        <v>24</v>
      </c>
      <c r="K1793" s="421">
        <v>50</v>
      </c>
      <c r="L1793" s="421"/>
      <c r="M1793" s="421"/>
      <c r="N1793" s="421"/>
      <c r="O1793" s="421"/>
      <c r="P1793" s="422">
        <v>26</v>
      </c>
      <c r="Q1793" s="422"/>
      <c r="R1793" s="422"/>
      <c r="S1793" s="422"/>
      <c r="T1793" s="422"/>
      <c r="U1793" s="322"/>
      <c r="V1793" s="322"/>
      <c r="W1793" s="322"/>
      <c r="X1793" s="322"/>
      <c r="Y1793" s="322"/>
      <c r="Z1793" s="322"/>
      <c r="AA1793" s="322"/>
      <c r="AB1793" s="322"/>
      <c r="AC1793" s="322"/>
      <c r="AD1793" s="322"/>
      <c r="AE1793" s="322"/>
      <c r="AF1793" s="322"/>
      <c r="AG1793" s="322"/>
      <c r="AH1793" s="322"/>
      <c r="AI1793" s="322"/>
      <c r="AJ1793" s="322"/>
      <c r="AK1793" s="322"/>
      <c r="AL1793" s="322"/>
      <c r="AM1793" s="322"/>
      <c r="AN1793" s="322"/>
      <c r="AO1793" s="322"/>
      <c r="AP1793" s="322"/>
      <c r="AQ1793" s="322"/>
      <c r="AR1793" s="322"/>
      <c r="AS1793" s="322"/>
      <c r="AT1793" s="322"/>
      <c r="AU1793" s="476"/>
      <c r="AV1793" s="477"/>
      <c r="AW1793" s="477"/>
      <c r="AX1793" s="535"/>
      <c r="AY1793" s="1151">
        <f t="shared" si="1297"/>
        <v>3.7733435661294448</v>
      </c>
      <c r="AZ1793" s="1147">
        <v>2.95</v>
      </c>
      <c r="BA1793" s="1156">
        <v>2295.8755120186597</v>
      </c>
      <c r="BB1793" s="1156">
        <v>2295.8755120186597</v>
      </c>
      <c r="BC1793" s="1156">
        <v>2295.8755120186597</v>
      </c>
      <c r="BD1793" s="1156">
        <v>2295.8755120186597</v>
      </c>
      <c r="BE1793" s="1156">
        <v>2295.8755120186597</v>
      </c>
      <c r="BF1793" s="1156">
        <v>2295.8755120186597</v>
      </c>
      <c r="BG1793" s="1156">
        <v>2295.8755120186597</v>
      </c>
      <c r="BH1793" s="1156">
        <v>2295.8755120186597</v>
      </c>
      <c r="BI1793" s="477"/>
      <c r="BJ1793" s="477"/>
      <c r="BK1793" s="490" t="e">
        <f>AZ1793*#REF!</f>
        <v>#REF!</v>
      </c>
      <c r="BL1793" s="485" t="e">
        <v>#REF!</v>
      </c>
      <c r="BM1793" s="485" t="e">
        <v>#REF!</v>
      </c>
      <c r="BN1793" s="485" t="e">
        <v>#REF!</v>
      </c>
      <c r="BO1793" s="485" t="e">
        <v>#REF!</v>
      </c>
      <c r="BP1793" s="485" t="e">
        <v>#REF!</v>
      </c>
      <c r="BQ1793" s="485" t="e">
        <v>#REF!</v>
      </c>
      <c r="BR1793" s="485" t="e">
        <v>#REF!</v>
      </c>
      <c r="BS1793" s="485" t="e">
        <v>#REF!</v>
      </c>
      <c r="BT1793" s="477"/>
      <c r="BU1793" s="477"/>
      <c r="BV1793" s="477"/>
      <c r="BW1793" s="477"/>
      <c r="BX1793" s="477"/>
      <c r="BY1793" s="477"/>
    </row>
    <row r="1794" spans="4:77" ht="21">
      <c r="D1794" s="433" t="s">
        <v>110</v>
      </c>
      <c r="E1794" s="433"/>
      <c r="G1794" s="421">
        <v>244</v>
      </c>
      <c r="H1794" s="421">
        <v>164</v>
      </c>
      <c r="I1794" s="421">
        <v>86</v>
      </c>
      <c r="J1794" s="421">
        <v>86</v>
      </c>
      <c r="K1794" s="421">
        <v>222</v>
      </c>
      <c r="L1794" s="421"/>
      <c r="M1794" s="421"/>
      <c r="N1794" s="421"/>
      <c r="O1794" s="421"/>
      <c r="P1794" s="422">
        <v>193</v>
      </c>
      <c r="Q1794" s="422"/>
      <c r="R1794" s="422"/>
      <c r="S1794" s="422"/>
      <c r="T1794" s="422"/>
      <c r="U1794" s="322"/>
      <c r="V1794" s="322"/>
      <c r="W1794" s="322"/>
      <c r="X1794" s="322"/>
      <c r="Y1794" s="322"/>
      <c r="Z1794" s="322"/>
      <c r="AA1794" s="322"/>
      <c r="AB1794" s="322"/>
      <c r="AC1794" s="322"/>
      <c r="AD1794" s="322"/>
      <c r="AE1794" s="322"/>
      <c r="AF1794" s="322"/>
      <c r="AG1794" s="322"/>
      <c r="AH1794" s="322"/>
      <c r="AI1794" s="322"/>
      <c r="AJ1794" s="322"/>
      <c r="AK1794" s="322"/>
      <c r="AL1794" s="322"/>
      <c r="AM1794" s="322"/>
      <c r="AN1794" s="322"/>
      <c r="AO1794" s="322"/>
      <c r="AP1794" s="322"/>
      <c r="AQ1794" s="322"/>
      <c r="AR1794" s="322"/>
      <c r="AS1794" s="322"/>
      <c r="AT1794" s="322"/>
      <c r="AU1794" s="476"/>
      <c r="AV1794" s="477"/>
      <c r="AW1794" s="477"/>
      <c r="AX1794" s="487"/>
      <c r="AY1794" s="1151">
        <f t="shared" si="1297"/>
        <v>3.8372985418265539</v>
      </c>
      <c r="AZ1794" s="1147">
        <v>3</v>
      </c>
      <c r="BA1794" s="1156">
        <v>2295.8755120186597</v>
      </c>
      <c r="BB1794" s="1156">
        <v>2295.8755120186597</v>
      </c>
      <c r="BC1794" s="1156">
        <v>2295.8755120186597</v>
      </c>
      <c r="BD1794" s="1156">
        <v>2295.8755120186597</v>
      </c>
      <c r="BE1794" s="1156">
        <v>2295.8755120186597</v>
      </c>
      <c r="BF1794" s="1156">
        <v>2295.8755120186597</v>
      </c>
      <c r="BG1794" s="1156">
        <v>2295.8755120186597</v>
      </c>
      <c r="BH1794" s="1156">
        <v>2295.8755120186597</v>
      </c>
      <c r="BI1794" s="477"/>
      <c r="BJ1794" s="477"/>
      <c r="BK1794" s="490" t="e">
        <f>AZ1794*#REF!</f>
        <v>#REF!</v>
      </c>
      <c r="BL1794" s="485" t="e">
        <v>#REF!</v>
      </c>
      <c r="BM1794" s="485" t="e">
        <v>#REF!</v>
      </c>
      <c r="BN1794" s="485" t="e">
        <v>#REF!</v>
      </c>
      <c r="BO1794" s="485" t="e">
        <v>#REF!</v>
      </c>
      <c r="BP1794" s="485" t="e">
        <v>#REF!</v>
      </c>
      <c r="BQ1794" s="485" t="e">
        <v>#REF!</v>
      </c>
      <c r="BR1794" s="485" t="e">
        <v>#REF!</v>
      </c>
      <c r="BS1794" s="485" t="e">
        <v>#REF!</v>
      </c>
      <c r="BT1794" s="477"/>
      <c r="BU1794" s="477"/>
      <c r="BV1794" s="477"/>
      <c r="BW1794" s="477"/>
      <c r="BX1794" s="477"/>
      <c r="BY1794" s="477"/>
    </row>
    <row r="1795" spans="4:77" ht="21">
      <c r="D1795" s="433" t="s">
        <v>111</v>
      </c>
      <c r="E1795" s="433"/>
      <c r="G1795" s="421">
        <v>19</v>
      </c>
      <c r="H1795" s="421">
        <v>16</v>
      </c>
      <c r="I1795" s="421">
        <v>-3</v>
      </c>
      <c r="J1795" s="421">
        <v>0</v>
      </c>
      <c r="K1795" s="421">
        <v>0</v>
      </c>
      <c r="L1795" s="421"/>
      <c r="M1795" s="421"/>
      <c r="N1795" s="421"/>
      <c r="O1795" s="421"/>
      <c r="P1795" s="422">
        <v>0</v>
      </c>
      <c r="Q1795" s="422"/>
      <c r="R1795" s="422"/>
      <c r="S1795" s="422"/>
      <c r="T1795" s="422"/>
      <c r="U1795" s="322"/>
      <c r="V1795" s="322"/>
      <c r="W1795" s="322"/>
      <c r="X1795" s="322"/>
      <c r="Y1795" s="322"/>
      <c r="Z1795" s="322"/>
      <c r="AA1795" s="322"/>
      <c r="AB1795" s="322"/>
      <c r="AC1795" s="322"/>
      <c r="AD1795" s="322"/>
      <c r="AE1795" s="322"/>
      <c r="AF1795" s="322"/>
      <c r="AG1795" s="322"/>
      <c r="AH1795" s="322"/>
      <c r="AI1795" s="322"/>
      <c r="AJ1795" s="322"/>
      <c r="AK1795" s="322"/>
      <c r="AL1795" s="322"/>
      <c r="AM1795" s="322"/>
      <c r="AN1795" s="322"/>
      <c r="AO1795" s="322"/>
      <c r="AP1795" s="322"/>
      <c r="AQ1795" s="322"/>
      <c r="AR1795" s="322"/>
      <c r="AS1795" s="322"/>
      <c r="AT1795" s="322"/>
      <c r="AU1795" s="476"/>
      <c r="AV1795" s="477"/>
      <c r="AW1795" s="477"/>
      <c r="AX1795" s="487"/>
      <c r="AY1795" s="1151">
        <f t="shared" si="1297"/>
        <v>3.9012535175236627</v>
      </c>
      <c r="AZ1795" s="1147">
        <v>3.05</v>
      </c>
      <c r="BA1795" s="1156">
        <v>2295.8755120186597</v>
      </c>
      <c r="BB1795" s="1156">
        <v>2295.8755120186597</v>
      </c>
      <c r="BC1795" s="1156">
        <v>2295.8755120186597</v>
      </c>
      <c r="BD1795" s="1156">
        <v>2295.8755120186597</v>
      </c>
      <c r="BE1795" s="1156">
        <v>2295.8755120186597</v>
      </c>
      <c r="BF1795" s="1156">
        <v>2295.8755120186597</v>
      </c>
      <c r="BG1795" s="1156">
        <v>2295.8755120186597</v>
      </c>
      <c r="BH1795" s="1156">
        <v>2295.8755120186597</v>
      </c>
      <c r="BI1795" s="477"/>
      <c r="BJ1795" s="477"/>
      <c r="BK1795" s="490" t="e">
        <f>AZ1795*#REF!</f>
        <v>#REF!</v>
      </c>
      <c r="BL1795" s="485" t="e">
        <v>#REF!</v>
      </c>
      <c r="BM1795" s="485" t="e">
        <v>#REF!</v>
      </c>
      <c r="BN1795" s="485" t="e">
        <v>#REF!</v>
      </c>
      <c r="BO1795" s="485" t="e">
        <v>#REF!</v>
      </c>
      <c r="BP1795" s="485" t="e">
        <v>#REF!</v>
      </c>
      <c r="BQ1795" s="485" t="e">
        <v>#REF!</v>
      </c>
      <c r="BR1795" s="485" t="e">
        <v>#REF!</v>
      </c>
      <c r="BS1795" s="485" t="e">
        <v>#REF!</v>
      </c>
      <c r="BT1795" s="477"/>
      <c r="BU1795" s="477"/>
      <c r="BV1795" s="477"/>
      <c r="BW1795" s="477"/>
      <c r="BX1795" s="477"/>
      <c r="BY1795" s="477"/>
    </row>
    <row r="1796" spans="4:77">
      <c r="D1796" s="433" t="s">
        <v>112</v>
      </c>
      <c r="E1796" s="433"/>
      <c r="G1796" s="421">
        <v>3</v>
      </c>
      <c r="H1796" s="421">
        <v>10</v>
      </c>
      <c r="I1796" s="421">
        <v>6</v>
      </c>
      <c r="J1796" s="421">
        <v>1</v>
      </c>
      <c r="K1796" s="421">
        <v>-1</v>
      </c>
      <c r="L1796" s="421"/>
      <c r="M1796" s="421"/>
      <c r="N1796" s="421"/>
      <c r="O1796" s="421"/>
      <c r="P1796" s="422">
        <v>-1</v>
      </c>
      <c r="Q1796" s="422"/>
      <c r="R1796" s="422"/>
      <c r="S1796" s="422"/>
      <c r="T1796" s="422"/>
      <c r="U1796" s="322"/>
      <c r="V1796" s="322"/>
      <c r="W1796" s="322"/>
      <c r="X1796" s="322"/>
      <c r="Y1796" s="322"/>
      <c r="Z1796" s="322"/>
      <c r="AA1796" s="322"/>
      <c r="AB1796" s="322"/>
      <c r="AC1796" s="322"/>
      <c r="AD1796" s="322"/>
      <c r="AE1796" s="322"/>
      <c r="AF1796" s="322"/>
      <c r="AG1796" s="322"/>
      <c r="AH1796" s="322"/>
      <c r="AI1796" s="322"/>
      <c r="AJ1796" s="322"/>
      <c r="AK1796" s="322"/>
      <c r="AL1796" s="322"/>
      <c r="AM1796" s="322"/>
      <c r="AN1796" s="322"/>
      <c r="AO1796" s="322"/>
      <c r="AP1796" s="322"/>
      <c r="AQ1796" s="322"/>
      <c r="AR1796" s="322"/>
      <c r="AS1796" s="322"/>
      <c r="AT1796" s="322"/>
      <c r="AU1796" s="476"/>
      <c r="AV1796" s="477"/>
      <c r="AW1796" s="477"/>
      <c r="AX1796" s="477"/>
      <c r="AY1796" s="477"/>
      <c r="AZ1796" s="477"/>
      <c r="BA1796" s="477"/>
      <c r="BB1796" s="477"/>
      <c r="BC1796" s="477"/>
      <c r="BD1796" s="477"/>
      <c r="BE1796" s="477"/>
      <c r="BF1796" s="477"/>
      <c r="BG1796" s="477"/>
      <c r="BH1796" s="477"/>
      <c r="BI1796" s="477"/>
      <c r="BJ1796" s="477"/>
      <c r="BK1796" s="477"/>
      <c r="BL1796" s="477"/>
      <c r="BM1796" s="477"/>
      <c r="BN1796" s="477"/>
      <c r="BO1796" s="477"/>
      <c r="BP1796" s="477"/>
      <c r="BQ1796" s="477"/>
      <c r="BR1796" s="477"/>
      <c r="BS1796" s="477"/>
      <c r="BT1796" s="477"/>
      <c r="BU1796" s="477"/>
      <c r="BV1796" s="477"/>
      <c r="BW1796" s="477"/>
      <c r="BX1796" s="477"/>
      <c r="BY1796" s="477"/>
    </row>
    <row r="1797" spans="4:77">
      <c r="D1797" s="433" t="s">
        <v>113</v>
      </c>
      <c r="E1797" s="433"/>
      <c r="G1797" s="421">
        <v>1391</v>
      </c>
      <c r="H1797" s="421">
        <v>1177</v>
      </c>
      <c r="I1797" s="421">
        <v>931</v>
      </c>
      <c r="J1797" s="421">
        <v>788</v>
      </c>
      <c r="K1797" s="421">
        <v>1154</v>
      </c>
      <c r="L1797" s="421"/>
      <c r="M1797" s="421"/>
      <c r="N1797" s="421"/>
      <c r="O1797" s="421"/>
      <c r="P1797" s="422">
        <v>1355</v>
      </c>
      <c r="Q1797" s="422"/>
      <c r="R1797" s="422"/>
      <c r="S1797" s="422"/>
      <c r="T1797" s="422"/>
      <c r="U1797" s="322"/>
      <c r="V1797" s="322"/>
      <c r="W1797" s="322"/>
      <c r="X1797" s="322"/>
      <c r="Y1797" s="322"/>
      <c r="Z1797" s="322"/>
      <c r="AA1797" s="322"/>
      <c r="AB1797" s="322"/>
      <c r="AC1797" s="322"/>
      <c r="AD1797" s="322"/>
      <c r="AE1797" s="322"/>
      <c r="AF1797" s="322"/>
      <c r="AG1797" s="322"/>
      <c r="AH1797" s="322"/>
      <c r="AI1797" s="322"/>
      <c r="AJ1797" s="322"/>
      <c r="AK1797" s="322"/>
      <c r="AL1797" s="322"/>
      <c r="AM1797" s="322"/>
      <c r="AN1797" s="322"/>
      <c r="AO1797" s="322"/>
      <c r="AP1797" s="322"/>
      <c r="AQ1797" s="322"/>
      <c r="AR1797" s="322"/>
      <c r="AS1797" s="322"/>
      <c r="AT1797" s="322"/>
      <c r="AU1797" s="476"/>
      <c r="AV1797" s="477"/>
      <c r="AW1797" s="477"/>
      <c r="AX1797" s="477"/>
      <c r="AY1797" s="477"/>
      <c r="AZ1797" s="477"/>
      <c r="BA1797" s="477"/>
      <c r="BB1797" s="477"/>
      <c r="BC1797" s="477"/>
      <c r="BD1797" s="477"/>
      <c r="BE1797" s="477"/>
      <c r="BF1797" s="477"/>
      <c r="BG1797" s="477"/>
      <c r="BH1797" s="477"/>
      <c r="BI1797" s="477"/>
      <c r="BJ1797" s="477"/>
      <c r="BK1797" s="477"/>
      <c r="BL1797" s="477"/>
      <c r="BM1797" s="477"/>
      <c r="BN1797" s="477"/>
      <c r="BO1797" s="477"/>
      <c r="BP1797" s="477"/>
      <c r="BQ1797" s="477"/>
      <c r="BR1797" s="477"/>
      <c r="BS1797" s="477"/>
      <c r="BT1797" s="477"/>
      <c r="BU1797" s="477"/>
      <c r="BV1797" s="477"/>
      <c r="BW1797" s="477"/>
      <c r="BX1797" s="477"/>
      <c r="BY1797" s="477"/>
    </row>
    <row r="1798" spans="4:77">
      <c r="D1798" s="432" t="s">
        <v>114</v>
      </c>
      <c r="E1798" s="432"/>
      <c r="G1798" s="426" t="s">
        <v>0</v>
      </c>
      <c r="H1798" s="426" t="s">
        <v>0</v>
      </c>
      <c r="I1798" s="426" t="s">
        <v>0</v>
      </c>
      <c r="J1798" s="424" t="s">
        <v>0</v>
      </c>
      <c r="K1798" s="424" t="s">
        <v>0</v>
      </c>
      <c r="L1798" s="424"/>
      <c r="M1798" s="424"/>
      <c r="N1798" s="424"/>
      <c r="O1798" s="424"/>
      <c r="P1798" s="419" t="s">
        <v>0</v>
      </c>
      <c r="Q1798" s="419"/>
      <c r="R1798" s="419"/>
      <c r="S1798" s="419"/>
      <c r="T1798" s="419"/>
      <c r="U1798" s="322"/>
      <c r="V1798" s="322"/>
      <c r="W1798" s="322"/>
      <c r="X1798" s="322"/>
      <c r="Y1798" s="322"/>
      <c r="Z1798" s="322"/>
      <c r="AA1798" s="322"/>
      <c r="AB1798" s="322"/>
      <c r="AC1798" s="322"/>
      <c r="AD1798" s="322"/>
      <c r="AE1798" s="322"/>
      <c r="AF1798" s="322"/>
      <c r="AG1798" s="322"/>
      <c r="AH1798" s="322"/>
      <c r="AI1798" s="322"/>
      <c r="AJ1798" s="322"/>
      <c r="AK1798" s="322"/>
      <c r="AL1798" s="322"/>
      <c r="AM1798" s="322"/>
      <c r="AN1798" s="322"/>
      <c r="AO1798" s="322"/>
      <c r="AP1798" s="322"/>
      <c r="AQ1798" s="322"/>
      <c r="AR1798" s="322"/>
      <c r="AS1798" s="322"/>
      <c r="AT1798" s="322"/>
      <c r="AU1798" s="476"/>
      <c r="AV1798" s="477"/>
      <c r="AW1798" s="477"/>
      <c r="AX1798" s="477"/>
      <c r="AY1798" s="477"/>
      <c r="AZ1798" s="477"/>
      <c r="BA1798" s="477"/>
      <c r="BB1798" s="477"/>
      <c r="BC1798" s="477"/>
      <c r="BD1798" s="477"/>
      <c r="BE1798" s="477"/>
      <c r="BF1798" s="477"/>
      <c r="BG1798" s="477"/>
      <c r="BH1798" s="477"/>
      <c r="BI1798" s="477"/>
      <c r="BJ1798" s="477"/>
      <c r="BK1798" s="477"/>
      <c r="BL1798" s="477"/>
      <c r="BM1798" s="477"/>
      <c r="BN1798" s="477"/>
      <c r="BO1798" s="477"/>
      <c r="BP1798" s="477"/>
      <c r="BQ1798" s="477"/>
      <c r="BR1798" s="477"/>
      <c r="BS1798" s="477"/>
      <c r="BT1798" s="477"/>
      <c r="BU1798" s="477"/>
      <c r="BV1798" s="477"/>
      <c r="BW1798" s="477"/>
      <c r="BX1798" s="477"/>
      <c r="BY1798" s="477"/>
    </row>
    <row r="1799" spans="4:77">
      <c r="D1799" s="433" t="s">
        <v>115</v>
      </c>
      <c r="E1799" s="433"/>
      <c r="G1799" s="421">
        <v>112</v>
      </c>
      <c r="H1799" s="421">
        <v>142</v>
      </c>
      <c r="I1799" s="421">
        <v>205</v>
      </c>
      <c r="J1799" s="421">
        <v>241</v>
      </c>
      <c r="K1799" s="421">
        <v>209</v>
      </c>
      <c r="L1799" s="421"/>
      <c r="M1799" s="421"/>
      <c r="N1799" s="421"/>
      <c r="O1799" s="421"/>
      <c r="P1799" s="422">
        <v>91</v>
      </c>
      <c r="Q1799" s="422"/>
      <c r="R1799" s="422"/>
      <c r="S1799" s="422"/>
      <c r="T1799" s="422"/>
      <c r="U1799" s="322"/>
      <c r="V1799" s="322"/>
      <c r="W1799" s="322"/>
      <c r="X1799" s="322"/>
      <c r="Y1799" s="322"/>
      <c r="Z1799" s="322"/>
      <c r="AA1799" s="322"/>
      <c r="AB1799" s="322"/>
      <c r="AC1799" s="322"/>
      <c r="AD1799" s="322"/>
      <c r="AE1799" s="322"/>
      <c r="AF1799" s="322"/>
      <c r="AG1799" s="322"/>
      <c r="AH1799" s="322"/>
      <c r="AI1799" s="322"/>
      <c r="AJ1799" s="322"/>
      <c r="AK1799" s="322"/>
      <c r="AL1799" s="322"/>
      <c r="AM1799" s="322"/>
      <c r="AN1799" s="322"/>
      <c r="AO1799" s="322"/>
      <c r="AP1799" s="322"/>
      <c r="AQ1799" s="322"/>
      <c r="AR1799" s="322"/>
      <c r="AS1799" s="322"/>
      <c r="AT1799" s="322"/>
      <c r="AU1799" s="476"/>
      <c r="AV1799" s="477"/>
      <c r="AW1799" s="477"/>
      <c r="AX1799" s="477"/>
      <c r="AY1799" s="477"/>
      <c r="AZ1799" s="477"/>
      <c r="BA1799" s="477"/>
      <c r="BB1799" s="477"/>
      <c r="BC1799" s="477"/>
      <c r="BD1799" s="477"/>
      <c r="BE1799" s="477"/>
      <c r="BF1799" s="477"/>
      <c r="BG1799" s="477"/>
      <c r="BH1799" s="477"/>
      <c r="BI1799" s="477"/>
      <c r="BJ1799" s="477"/>
      <c r="BK1799" s="477"/>
      <c r="BL1799" s="477"/>
      <c r="BM1799" s="477"/>
      <c r="BN1799" s="477"/>
      <c r="BO1799" s="477"/>
      <c r="BP1799" s="477"/>
      <c r="BQ1799" s="477"/>
      <c r="BR1799" s="477"/>
      <c r="BS1799" s="477"/>
      <c r="BT1799" s="477"/>
      <c r="BU1799" s="477"/>
      <c r="BV1799" s="477"/>
      <c r="BW1799" s="477"/>
      <c r="BX1799" s="477"/>
      <c r="BY1799" s="477"/>
    </row>
    <row r="1800" spans="4:77" ht="16" thickBot="1">
      <c r="D1800" s="433" t="s">
        <v>116</v>
      </c>
      <c r="E1800" s="433"/>
      <c r="G1800" s="421">
        <v>418</v>
      </c>
      <c r="H1800" s="421">
        <v>638</v>
      </c>
      <c r="I1800" s="421">
        <v>600</v>
      </c>
      <c r="J1800" s="421">
        <v>749</v>
      </c>
      <c r="K1800" s="421">
        <v>971</v>
      </c>
      <c r="L1800" s="421"/>
      <c r="M1800" s="421"/>
      <c r="N1800" s="421"/>
      <c r="O1800" s="421"/>
      <c r="P1800" s="422">
        <v>990</v>
      </c>
      <c r="Q1800" s="422"/>
      <c r="R1800" s="422"/>
      <c r="S1800" s="422"/>
      <c r="T1800" s="422"/>
      <c r="U1800" s="322"/>
      <c r="V1800" s="322"/>
      <c r="W1800" s="322"/>
      <c r="X1800" s="322"/>
      <c r="Y1800" s="322"/>
      <c r="Z1800" s="322"/>
      <c r="AA1800" s="322"/>
      <c r="AB1800" s="322"/>
      <c r="AC1800" s="322"/>
      <c r="AD1800" s="322"/>
      <c r="AE1800" s="322"/>
      <c r="AF1800" s="322"/>
      <c r="AG1800" s="322"/>
      <c r="AH1800" s="322"/>
      <c r="AI1800" s="322"/>
      <c r="AJ1800" s="322"/>
      <c r="AK1800" s="322"/>
      <c r="AL1800" s="322"/>
      <c r="AM1800" s="322"/>
      <c r="AN1800" s="322"/>
      <c r="AO1800" s="322"/>
      <c r="AP1800" s="322"/>
      <c r="AQ1800" s="322"/>
      <c r="AR1800" s="322"/>
      <c r="AS1800" s="322"/>
      <c r="AT1800" s="322"/>
      <c r="AU1800" s="479"/>
      <c r="AV1800" s="480"/>
      <c r="AW1800" s="480"/>
      <c r="AX1800" s="480"/>
      <c r="AY1800" s="480"/>
      <c r="AZ1800" s="480"/>
      <c r="BA1800" s="480"/>
      <c r="BB1800" s="480"/>
      <c r="BC1800" s="480"/>
      <c r="BD1800" s="480"/>
      <c r="BE1800" s="480"/>
      <c r="BF1800" s="480"/>
      <c r="BG1800" s="480"/>
      <c r="BH1800" s="480"/>
      <c r="BI1800" s="480"/>
      <c r="BJ1800" s="480"/>
      <c r="BK1800" s="480"/>
      <c r="BL1800" s="480"/>
      <c r="BM1800" s="480"/>
      <c r="BN1800" s="480"/>
      <c r="BO1800" s="480"/>
      <c r="BP1800" s="480"/>
      <c r="BQ1800" s="480"/>
      <c r="BR1800" s="480"/>
      <c r="BS1800" s="480"/>
      <c r="BT1800" s="480"/>
      <c r="BU1800" s="480"/>
      <c r="BV1800" s="480"/>
      <c r="BW1800" s="480"/>
      <c r="BX1800" s="480"/>
      <c r="BY1800" s="480"/>
    </row>
    <row r="1801" spans="4:77">
      <c r="D1801" s="434" t="s">
        <v>127</v>
      </c>
      <c r="E1801" s="434"/>
      <c r="G1801" s="421" t="s">
        <v>0</v>
      </c>
      <c r="H1801" s="421">
        <v>0</v>
      </c>
      <c r="I1801" s="421">
        <v>-9</v>
      </c>
      <c r="J1801" s="421">
        <v>0</v>
      </c>
      <c r="K1801" s="421">
        <v>19</v>
      </c>
      <c r="L1801" s="421"/>
      <c r="M1801" s="421"/>
      <c r="N1801" s="421"/>
      <c r="O1801" s="421"/>
      <c r="P1801" s="422">
        <v>-5</v>
      </c>
      <c r="Q1801" s="422"/>
      <c r="R1801" s="422"/>
      <c r="S1801" s="422"/>
      <c r="T1801" s="422"/>
      <c r="U1801" s="322"/>
      <c r="V1801" s="322"/>
      <c r="W1801" s="322"/>
      <c r="X1801" s="322"/>
      <c r="Y1801" s="322"/>
      <c r="Z1801" s="322"/>
      <c r="AA1801" s="322"/>
      <c r="AB1801" s="322"/>
      <c r="AC1801" s="322"/>
      <c r="AD1801" s="322"/>
      <c r="AE1801" s="322"/>
      <c r="AF1801" s="322"/>
      <c r="AG1801" s="322"/>
      <c r="AH1801" s="322"/>
      <c r="AI1801" s="322"/>
      <c r="AJ1801" s="322"/>
      <c r="AK1801" s="322"/>
      <c r="AL1801" s="322"/>
      <c r="AM1801" s="322"/>
      <c r="AN1801" s="322"/>
      <c r="AO1801" s="322"/>
      <c r="AP1801" s="322"/>
      <c r="AQ1801" s="322"/>
      <c r="AR1801" s="322"/>
      <c r="AS1801" s="322"/>
      <c r="AT1801" s="322"/>
      <c r="AU1801" s="477"/>
      <c r="AV1801" s="477"/>
      <c r="AW1801" s="477"/>
      <c r="AX1801" s="477"/>
      <c r="AY1801" s="477"/>
      <c r="AZ1801" s="477"/>
      <c r="BA1801" s="477"/>
      <c r="BB1801" s="477"/>
      <c r="BC1801" s="477"/>
      <c r="BD1801" s="477"/>
      <c r="BE1801" s="477"/>
      <c r="BF1801" s="477"/>
      <c r="BG1801" s="477"/>
      <c r="BH1801" s="477"/>
      <c r="BI1801" s="477"/>
      <c r="BJ1801" s="477"/>
      <c r="BK1801" s="477"/>
      <c r="BL1801" s="477"/>
      <c r="BM1801" s="477"/>
      <c r="BN1801" s="477"/>
      <c r="BO1801" s="477"/>
      <c r="BP1801" s="477"/>
      <c r="BQ1801" s="477"/>
      <c r="BR1801" s="477"/>
      <c r="BS1801" s="477"/>
      <c r="BT1801" s="477"/>
      <c r="BU1801" s="477"/>
      <c r="BV1801" s="477"/>
      <c r="BW1801" s="477"/>
      <c r="BX1801" s="477"/>
      <c r="BY1801" s="477"/>
    </row>
    <row r="1802" spans="4:77">
      <c r="D1802" s="433" t="s">
        <v>112</v>
      </c>
      <c r="E1802" s="433"/>
      <c r="G1802" s="421">
        <v>4</v>
      </c>
      <c r="H1802" s="421">
        <v>-1</v>
      </c>
      <c r="I1802" s="421">
        <v>9</v>
      </c>
      <c r="J1802" s="421">
        <v>-6</v>
      </c>
      <c r="K1802" s="421">
        <v>-26</v>
      </c>
      <c r="L1802" s="421"/>
      <c r="M1802" s="421"/>
      <c r="N1802" s="421"/>
      <c r="O1802" s="421"/>
      <c r="P1802" s="422">
        <v>9</v>
      </c>
      <c r="Q1802" s="422"/>
      <c r="R1802" s="422"/>
      <c r="S1802" s="422"/>
      <c r="T1802" s="422"/>
      <c r="U1802" s="322"/>
      <c r="V1802" s="322"/>
      <c r="W1802" s="322"/>
      <c r="X1802" s="322"/>
      <c r="Y1802" s="322"/>
      <c r="Z1802" s="322"/>
      <c r="AA1802" s="322"/>
      <c r="AB1802" s="322"/>
      <c r="AC1802" s="322"/>
      <c r="AD1802" s="322"/>
      <c r="AE1802" s="322"/>
      <c r="AF1802" s="322"/>
      <c r="AG1802" s="322"/>
      <c r="AH1802" s="322"/>
      <c r="AI1802" s="322"/>
      <c r="AJ1802" s="322"/>
      <c r="AK1802" s="322"/>
      <c r="AL1802" s="322"/>
      <c r="AM1802" s="322"/>
      <c r="AN1802" s="322"/>
      <c r="AO1802" s="322"/>
      <c r="AP1802" s="322"/>
      <c r="AQ1802" s="322"/>
      <c r="AR1802" s="322"/>
      <c r="AS1802" s="322"/>
      <c r="AT1802" s="322"/>
      <c r="AU1802" s="477"/>
      <c r="AV1802" s="477"/>
      <c r="AW1802" s="477"/>
      <c r="AX1802" s="477"/>
      <c r="AY1802" s="477"/>
      <c r="AZ1802" s="477"/>
      <c r="BA1802" s="477"/>
      <c r="BB1802" s="477"/>
      <c r="BC1802" s="477"/>
      <c r="BD1802" s="477"/>
      <c r="BE1802" s="477"/>
      <c r="BF1802" s="477"/>
      <c r="BG1802" s="477"/>
      <c r="BH1802" s="477"/>
      <c r="BI1802" s="477"/>
      <c r="BJ1802" s="477"/>
      <c r="BK1802" s="477"/>
      <c r="BL1802" s="477"/>
      <c r="BM1802" s="477"/>
      <c r="BN1802" s="477"/>
      <c r="BO1802" s="477"/>
      <c r="BP1802" s="477"/>
      <c r="BQ1802" s="477"/>
      <c r="BR1802" s="477"/>
      <c r="BS1802" s="477"/>
      <c r="BT1802" s="477"/>
      <c r="BU1802" s="477"/>
      <c r="BV1802" s="477"/>
      <c r="BW1802" s="477"/>
      <c r="BX1802" s="477"/>
      <c r="BY1802" s="477"/>
    </row>
    <row r="1803" spans="4:77">
      <c r="D1803" s="433" t="s">
        <v>128</v>
      </c>
      <c r="E1803" s="433"/>
      <c r="G1803" s="421">
        <v>0</v>
      </c>
      <c r="H1803" s="421">
        <v>0</v>
      </c>
      <c r="I1803" s="421">
        <v>0</v>
      </c>
      <c r="J1803" s="421" t="s">
        <v>0</v>
      </c>
      <c r="K1803" s="421" t="s">
        <v>0</v>
      </c>
      <c r="L1803" s="421"/>
      <c r="M1803" s="421"/>
      <c r="N1803" s="421"/>
      <c r="O1803" s="421"/>
      <c r="P1803" s="422" t="s">
        <v>0</v>
      </c>
      <c r="Q1803" s="422"/>
      <c r="R1803" s="422"/>
      <c r="S1803" s="422"/>
      <c r="T1803" s="422"/>
      <c r="U1803" s="322"/>
      <c r="V1803" s="322"/>
      <c r="W1803" s="322"/>
      <c r="X1803" s="322"/>
      <c r="Y1803" s="322"/>
      <c r="Z1803" s="322"/>
      <c r="AA1803" s="322"/>
      <c r="AB1803" s="322"/>
      <c r="AC1803" s="322"/>
      <c r="AD1803" s="322"/>
      <c r="AE1803" s="322"/>
      <c r="AF1803" s="322"/>
      <c r="AG1803" s="322"/>
      <c r="AH1803" s="322"/>
      <c r="AI1803" s="322"/>
      <c r="AJ1803" s="322"/>
      <c r="AK1803" s="322"/>
      <c r="AL1803" s="322"/>
      <c r="AM1803" s="322"/>
      <c r="AN1803" s="322"/>
      <c r="AO1803" s="322"/>
      <c r="AP1803" s="322"/>
      <c r="AQ1803" s="322"/>
      <c r="AR1803" s="322"/>
      <c r="AS1803" s="322"/>
      <c r="AT1803" s="322"/>
      <c r="AU1803" s="477"/>
      <c r="AV1803" s="477"/>
      <c r="AW1803" s="477"/>
      <c r="AX1803" s="477"/>
      <c r="AY1803" s="477"/>
      <c r="AZ1803" s="477"/>
      <c r="BA1803" s="477"/>
      <c r="BB1803" s="477"/>
      <c r="BC1803" s="477"/>
      <c r="BD1803" s="477"/>
      <c r="BE1803" s="477"/>
      <c r="BF1803" s="477"/>
      <c r="BG1803" s="477"/>
      <c r="BH1803" s="477"/>
      <c r="BI1803" s="477"/>
      <c r="BJ1803" s="477"/>
      <c r="BK1803" s="477"/>
      <c r="BL1803" s="477"/>
      <c r="BM1803" s="477"/>
      <c r="BN1803" s="477"/>
      <c r="BO1803" s="477"/>
      <c r="BP1803" s="477"/>
      <c r="BQ1803" s="477"/>
      <c r="BR1803" s="477"/>
      <c r="BS1803" s="477"/>
      <c r="BT1803" s="477"/>
      <c r="BU1803" s="477"/>
      <c r="BV1803" s="477"/>
      <c r="BW1803" s="477"/>
      <c r="BX1803" s="477"/>
      <c r="BY1803" s="477"/>
    </row>
    <row r="1804" spans="4:77">
      <c r="D1804" s="433" t="s">
        <v>119</v>
      </c>
      <c r="E1804" s="433"/>
      <c r="G1804" s="421">
        <v>534</v>
      </c>
      <c r="H1804" s="421">
        <v>779</v>
      </c>
      <c r="I1804" s="421">
        <v>805</v>
      </c>
      <c r="J1804" s="421">
        <v>984</v>
      </c>
      <c r="K1804" s="421">
        <v>1173</v>
      </c>
      <c r="L1804" s="421"/>
      <c r="M1804" s="421"/>
      <c r="N1804" s="421"/>
      <c r="O1804" s="421"/>
      <c r="P1804" s="422">
        <v>1085</v>
      </c>
      <c r="Q1804" s="422"/>
      <c r="R1804" s="422"/>
      <c r="S1804" s="422"/>
      <c r="T1804" s="422"/>
      <c r="U1804" s="322"/>
      <c r="V1804" s="322"/>
      <c r="W1804" s="322"/>
      <c r="X1804" s="322"/>
      <c r="Y1804" s="322"/>
      <c r="Z1804" s="322"/>
      <c r="AA1804" s="322"/>
      <c r="AB1804" s="322"/>
      <c r="AC1804" s="322"/>
      <c r="AD1804" s="322"/>
      <c r="AE1804" s="322"/>
      <c r="AF1804" s="322"/>
      <c r="AG1804" s="322"/>
      <c r="AH1804" s="322"/>
      <c r="AI1804" s="322"/>
      <c r="AJ1804" s="322"/>
      <c r="AK1804" s="322"/>
      <c r="AL1804" s="322"/>
      <c r="AM1804" s="322"/>
      <c r="AN1804" s="322"/>
      <c r="AO1804" s="322"/>
      <c r="AP1804" s="322"/>
      <c r="AQ1804" s="322"/>
      <c r="AR1804" s="322"/>
      <c r="AS1804" s="322"/>
      <c r="AT1804" s="322"/>
      <c r="AU1804" s="477"/>
      <c r="AV1804" s="477"/>
      <c r="AW1804" s="477"/>
      <c r="AX1804" s="477"/>
      <c r="AY1804" s="477"/>
      <c r="AZ1804" s="477"/>
      <c r="BA1804" s="477"/>
      <c r="BB1804" s="477"/>
      <c r="BC1804" s="477"/>
      <c r="BD1804" s="477"/>
      <c r="BE1804" s="477"/>
      <c r="BF1804" s="477"/>
      <c r="BG1804" s="477"/>
      <c r="BH1804" s="477"/>
      <c r="BI1804" s="477"/>
      <c r="BJ1804" s="477"/>
      <c r="BK1804" s="477"/>
      <c r="BL1804" s="477"/>
      <c r="BM1804" s="477"/>
      <c r="BN1804" s="477"/>
      <c r="BO1804" s="477"/>
      <c r="BP1804" s="477"/>
      <c r="BQ1804" s="477"/>
      <c r="BR1804" s="477"/>
      <c r="BS1804" s="477"/>
      <c r="BT1804" s="477"/>
      <c r="BU1804" s="477"/>
      <c r="BV1804" s="477"/>
      <c r="BW1804" s="477"/>
      <c r="BX1804" s="477"/>
      <c r="BY1804" s="477"/>
    </row>
    <row r="1805" spans="4:77" ht="16" thickBot="1">
      <c r="D1805" s="425" t="s">
        <v>120</v>
      </c>
      <c r="E1805" s="425"/>
      <c r="G1805" s="421">
        <v>5</v>
      </c>
      <c r="H1805" s="421">
        <v>3</v>
      </c>
      <c r="I1805" s="421">
        <v>3</v>
      </c>
      <c r="J1805" s="421">
        <v>2</v>
      </c>
      <c r="K1805" s="421">
        <v>0</v>
      </c>
      <c r="L1805" s="421"/>
      <c r="M1805" s="421"/>
      <c r="N1805" s="421"/>
      <c r="O1805" s="421"/>
      <c r="P1805" s="422">
        <v>-106</v>
      </c>
      <c r="Q1805" s="422"/>
      <c r="R1805" s="422"/>
      <c r="S1805" s="422"/>
      <c r="T1805" s="422"/>
      <c r="U1805" s="322"/>
      <c r="V1805" s="322"/>
      <c r="W1805" s="322"/>
      <c r="X1805" s="322"/>
      <c r="Y1805" s="322"/>
      <c r="Z1805" s="322"/>
      <c r="AA1805" s="322"/>
      <c r="AB1805" s="322"/>
      <c r="AC1805" s="322"/>
      <c r="AD1805" s="322"/>
      <c r="AE1805" s="322"/>
      <c r="AF1805" s="322"/>
      <c r="AG1805" s="322"/>
      <c r="AH1805" s="322"/>
      <c r="AI1805" s="322"/>
      <c r="AJ1805" s="322"/>
      <c r="AK1805" s="322"/>
      <c r="AL1805" s="322"/>
      <c r="AM1805" s="322"/>
      <c r="AN1805" s="322"/>
      <c r="AO1805" s="322"/>
      <c r="AP1805" s="322"/>
      <c r="AQ1805" s="322"/>
      <c r="AR1805" s="322"/>
      <c r="AS1805" s="322"/>
      <c r="AT1805" s="322"/>
    </row>
    <row r="1806" spans="4:77">
      <c r="D1806" s="423" t="s">
        <v>129</v>
      </c>
      <c r="E1806" s="423"/>
      <c r="G1806" s="426">
        <v>3659</v>
      </c>
      <c r="H1806" s="426">
        <v>2879</v>
      </c>
      <c r="I1806" s="426">
        <v>2645</v>
      </c>
      <c r="J1806" s="426">
        <v>3781</v>
      </c>
      <c r="K1806" s="426">
        <v>6059</v>
      </c>
      <c r="L1806" s="426"/>
      <c r="M1806" s="426"/>
      <c r="N1806" s="426"/>
      <c r="O1806" s="426"/>
      <c r="P1806" s="427">
        <v>6104</v>
      </c>
      <c r="Q1806" s="427"/>
      <c r="R1806" s="427"/>
      <c r="S1806" s="427"/>
      <c r="T1806" s="427"/>
      <c r="U1806" s="322"/>
      <c r="V1806" s="322"/>
      <c r="W1806" s="322"/>
      <c r="X1806" s="322"/>
      <c r="Y1806" s="322"/>
      <c r="Z1806" s="322"/>
      <c r="AA1806" s="322"/>
      <c r="AB1806" s="322"/>
      <c r="AC1806" s="322"/>
      <c r="AD1806" s="322"/>
      <c r="AE1806" s="322"/>
      <c r="AF1806" s="322"/>
      <c r="AG1806" s="322"/>
      <c r="AH1806" s="322"/>
      <c r="AI1806" s="322"/>
      <c r="AJ1806" s="322"/>
      <c r="AK1806" s="322"/>
      <c r="AL1806" s="322"/>
      <c r="AM1806" s="322"/>
      <c r="AN1806" s="322"/>
      <c r="AO1806" s="322"/>
      <c r="AP1806" s="322"/>
      <c r="AQ1806" s="322"/>
      <c r="AR1806" s="322"/>
      <c r="AS1806" s="322"/>
      <c r="AT1806" s="322"/>
      <c r="AU1806" s="491" t="s">
        <v>543</v>
      </c>
      <c r="AV1806" s="474"/>
      <c r="AW1806" s="474"/>
      <c r="AX1806" s="474"/>
      <c r="AY1806" s="474"/>
      <c r="AZ1806" s="474"/>
      <c r="BA1806" s="474"/>
      <c r="BB1806" s="474"/>
      <c r="BC1806" s="474"/>
      <c r="BD1806" s="474"/>
      <c r="BE1806" s="474"/>
      <c r="BF1806" s="474"/>
      <c r="BG1806" s="474"/>
      <c r="BH1806" s="474"/>
      <c r="BI1806" s="474"/>
      <c r="BJ1806" s="474"/>
      <c r="BK1806" s="474"/>
      <c r="BL1806" s="474"/>
      <c r="BM1806" s="474"/>
      <c r="BN1806" s="474"/>
      <c r="BO1806" s="474"/>
      <c r="BP1806" s="474"/>
      <c r="BQ1806" s="474"/>
      <c r="BR1806" s="474"/>
      <c r="BS1806" s="474"/>
      <c r="BT1806" s="474"/>
      <c r="BU1806" s="474"/>
      <c r="BV1806" s="474"/>
      <c r="BW1806" s="474"/>
      <c r="BX1806" s="474"/>
      <c r="BY1806" s="474"/>
    </row>
    <row r="1807" spans="4:77">
      <c r="D1807" s="442" t="s">
        <v>122</v>
      </c>
      <c r="E1807" s="442"/>
      <c r="G1807" s="443" t="s">
        <v>0</v>
      </c>
      <c r="H1807" s="443" t="s">
        <v>0</v>
      </c>
      <c r="I1807" s="443" t="s">
        <v>0</v>
      </c>
      <c r="J1807" s="444" t="s">
        <v>0</v>
      </c>
      <c r="K1807" s="444" t="s">
        <v>0</v>
      </c>
      <c r="L1807" s="444"/>
      <c r="M1807" s="444"/>
      <c r="N1807" s="444"/>
      <c r="O1807" s="444"/>
      <c r="P1807" s="445" t="s">
        <v>0</v>
      </c>
      <c r="Q1807" s="445"/>
      <c r="R1807" s="445"/>
      <c r="S1807" s="445"/>
      <c r="T1807" s="445"/>
      <c r="U1807" s="322"/>
      <c r="V1807" s="322"/>
      <c r="W1807" s="322"/>
      <c r="X1807" s="322"/>
      <c r="Y1807" s="322"/>
      <c r="Z1807" s="322"/>
      <c r="AA1807" s="322"/>
      <c r="AB1807" s="322"/>
      <c r="AC1807" s="322"/>
      <c r="AD1807" s="322"/>
      <c r="AE1807" s="322"/>
      <c r="AF1807" s="322"/>
      <c r="AG1807" s="322"/>
      <c r="AH1807" s="322"/>
      <c r="AI1807" s="322"/>
      <c r="AJ1807" s="322"/>
      <c r="AK1807" s="322"/>
      <c r="AL1807" s="322"/>
      <c r="AM1807" s="322"/>
      <c r="AN1807" s="322"/>
      <c r="AO1807" s="322"/>
      <c r="AP1807" s="322"/>
      <c r="AQ1807" s="322"/>
      <c r="AR1807" s="322"/>
      <c r="AS1807" s="322"/>
      <c r="AT1807" s="322"/>
      <c r="AU1807" s="476"/>
      <c r="AV1807" s="477"/>
      <c r="AW1807" s="477"/>
      <c r="AX1807" s="477"/>
      <c r="AY1807" s="477"/>
      <c r="AZ1807" s="477"/>
      <c r="BA1807" s="477"/>
      <c r="BB1807" s="477"/>
      <c r="BC1807" s="477"/>
      <c r="BD1807" s="477"/>
      <c r="BE1807" s="477"/>
      <c r="BF1807" s="477"/>
      <c r="BG1807" s="477"/>
      <c r="BH1807" s="477"/>
      <c r="BI1807" s="477"/>
      <c r="BJ1807" s="477"/>
      <c r="BK1807" s="477"/>
      <c r="BL1807" s="477"/>
      <c r="BM1807" s="477"/>
      <c r="BN1807" s="477"/>
      <c r="BO1807" s="477"/>
      <c r="BP1807" s="477"/>
      <c r="BQ1807" s="477"/>
      <c r="BR1807" s="477"/>
      <c r="BS1807" s="477"/>
      <c r="BT1807" s="477"/>
      <c r="BU1807" s="477"/>
      <c r="BV1807" s="477"/>
      <c r="BW1807" s="477"/>
      <c r="BX1807" s="477"/>
      <c r="BY1807" s="477"/>
    </row>
    <row r="1808" spans="4:77">
      <c r="D1808" s="423" t="s">
        <v>130</v>
      </c>
      <c r="E1808" s="423"/>
      <c r="G1808" s="426" t="s">
        <v>0</v>
      </c>
      <c r="H1808" s="426" t="s">
        <v>0</v>
      </c>
      <c r="I1808" s="426" t="s">
        <v>0</v>
      </c>
      <c r="J1808" s="424" t="s">
        <v>0</v>
      </c>
      <c r="K1808" s="424" t="s">
        <v>0</v>
      </c>
      <c r="L1808" s="424"/>
      <c r="M1808" s="424"/>
      <c r="N1808" s="424"/>
      <c r="O1808" s="424"/>
      <c r="P1808" s="419" t="s">
        <v>0</v>
      </c>
      <c r="Q1808" s="419"/>
      <c r="R1808" s="419"/>
      <c r="S1808" s="419"/>
      <c r="T1808" s="419"/>
      <c r="U1808" s="322"/>
      <c r="V1808" s="322"/>
      <c r="W1808" s="322"/>
      <c r="X1808" s="322"/>
      <c r="Y1808" s="322"/>
      <c r="Z1808" s="322"/>
      <c r="AA1808" s="322"/>
      <c r="AB1808" s="322"/>
      <c r="AC1808" s="322"/>
      <c r="AD1808" s="322"/>
      <c r="AE1808" s="322"/>
      <c r="AF1808" s="322"/>
      <c r="AG1808" s="322"/>
      <c r="AH1808" s="322"/>
      <c r="AI1808" s="322"/>
      <c r="AJ1808" s="322"/>
      <c r="AK1808" s="322"/>
      <c r="AL1808" s="322"/>
      <c r="AM1808" s="322"/>
      <c r="AN1808" s="322"/>
      <c r="AO1808" s="322"/>
      <c r="AP1808" s="322"/>
      <c r="AQ1808" s="322"/>
      <c r="AR1808" s="322"/>
      <c r="AS1808" s="322"/>
      <c r="AT1808" s="322"/>
      <c r="AU1808" s="476"/>
      <c r="AV1808" s="477"/>
      <c r="AW1808" s="477"/>
      <c r="AX1808" s="477"/>
      <c r="AY1808" s="477"/>
      <c r="AZ1808" s="477"/>
      <c r="BA1808" s="477"/>
      <c r="BB1808" s="477"/>
      <c r="BC1808" s="477"/>
      <c r="BD1808" s="477"/>
      <c r="BE1808" s="477"/>
      <c r="BF1808" s="477"/>
      <c r="BG1808" s="477"/>
      <c r="BH1808" s="477"/>
      <c r="BI1808" s="477"/>
      <c r="BJ1808" s="477"/>
      <c r="BK1808" s="477"/>
      <c r="BL1808" s="477"/>
      <c r="BM1808" s="477"/>
      <c r="BN1808" s="477"/>
      <c r="BO1808" s="477"/>
      <c r="BP1808" s="477"/>
      <c r="BQ1808" s="477"/>
      <c r="BR1808" s="477"/>
      <c r="BS1808" s="477"/>
      <c r="BT1808" s="477"/>
      <c r="BU1808" s="477"/>
      <c r="BV1808" s="477"/>
      <c r="BW1808" s="477"/>
      <c r="BX1808" s="477"/>
      <c r="BY1808" s="477"/>
    </row>
    <row r="1809" spans="4:77">
      <c r="D1809" s="420" t="s">
        <v>131</v>
      </c>
      <c r="E1809" s="420"/>
      <c r="G1809" s="421">
        <v>3153</v>
      </c>
      <c r="H1809" s="421">
        <v>2348</v>
      </c>
      <c r="I1809" s="421">
        <v>-1633</v>
      </c>
      <c r="J1809" s="421">
        <v>3350</v>
      </c>
      <c r="K1809" s="421">
        <v>5589</v>
      </c>
      <c r="L1809" s="421"/>
      <c r="M1809" s="421"/>
      <c r="N1809" s="421"/>
      <c r="O1809" s="421"/>
      <c r="P1809" s="422">
        <v>6174</v>
      </c>
      <c r="Q1809" s="422"/>
      <c r="R1809" s="422"/>
      <c r="S1809" s="422"/>
      <c r="T1809" s="422"/>
      <c r="U1809" s="322"/>
      <c r="V1809" s="322"/>
      <c r="W1809" s="322"/>
      <c r="X1809" s="322"/>
      <c r="Y1809" s="322"/>
      <c r="Z1809" s="322"/>
      <c r="AA1809" s="322"/>
      <c r="AB1809" s="322"/>
      <c r="AC1809" s="322"/>
      <c r="AD1809" s="322"/>
      <c r="AE1809" s="322"/>
      <c r="AF1809" s="322"/>
      <c r="AG1809" s="322"/>
      <c r="AH1809" s="322"/>
      <c r="AI1809" s="322"/>
      <c r="AJ1809" s="322"/>
      <c r="AK1809" s="322"/>
      <c r="AL1809" s="322"/>
      <c r="AM1809" s="322"/>
      <c r="AN1809" s="322"/>
      <c r="AO1809" s="322"/>
      <c r="AP1809" s="322"/>
      <c r="AQ1809" s="322"/>
      <c r="AR1809" s="322"/>
      <c r="AS1809" s="322"/>
      <c r="AT1809" s="322"/>
      <c r="AU1809" s="476"/>
      <c r="AV1809" s="477"/>
      <c r="AW1809" s="477"/>
      <c r="AX1809" s="477"/>
      <c r="AY1809" s="477"/>
      <c r="AZ1809" s="477"/>
      <c r="BA1809" s="477"/>
      <c r="BB1809" s="477"/>
      <c r="BC1809" s="477"/>
      <c r="BD1809" s="477"/>
      <c r="BE1809" s="477"/>
      <c r="BF1809" s="477"/>
      <c r="BG1809" s="477"/>
      <c r="BH1809" s="477"/>
      <c r="BI1809" s="477"/>
      <c r="BJ1809" s="477"/>
      <c r="BK1809" s="477"/>
      <c r="BL1809" s="477"/>
      <c r="BM1809" s="477"/>
      <c r="BN1809" s="477"/>
      <c r="BO1809" s="477"/>
      <c r="BP1809" s="477"/>
      <c r="BQ1809" s="477"/>
      <c r="BR1809" s="477"/>
      <c r="BS1809" s="477"/>
      <c r="BT1809" s="477"/>
      <c r="BU1809" s="477"/>
      <c r="BV1809" s="477"/>
      <c r="BW1809" s="477"/>
      <c r="BX1809" s="477"/>
      <c r="BY1809" s="477"/>
    </row>
    <row r="1810" spans="4:77">
      <c r="D1810" s="442" t="s">
        <v>122</v>
      </c>
      <c r="E1810" s="442"/>
      <c r="G1810" s="443" t="s">
        <v>0</v>
      </c>
      <c r="H1810" s="443" t="s">
        <v>0</v>
      </c>
      <c r="I1810" s="443" t="s">
        <v>0</v>
      </c>
      <c r="J1810" s="444" t="s">
        <v>0</v>
      </c>
      <c r="K1810" s="444" t="s">
        <v>0</v>
      </c>
      <c r="L1810" s="444"/>
      <c r="M1810" s="444"/>
      <c r="N1810" s="444"/>
      <c r="O1810" s="444"/>
      <c r="P1810" s="445" t="s">
        <v>0</v>
      </c>
      <c r="Q1810" s="445"/>
      <c r="R1810" s="445"/>
      <c r="S1810" s="445"/>
      <c r="T1810" s="445"/>
      <c r="U1810" s="322"/>
      <c r="V1810" s="322"/>
      <c r="W1810" s="322"/>
      <c r="X1810" s="322"/>
      <c r="Y1810" s="322"/>
      <c r="Z1810" s="322"/>
      <c r="AA1810" s="322"/>
      <c r="AB1810" s="322"/>
      <c r="AC1810" s="322"/>
      <c r="AD1810" s="322"/>
      <c r="AE1810" s="322"/>
      <c r="AF1810" s="322"/>
      <c r="AG1810" s="322"/>
      <c r="AH1810" s="322"/>
      <c r="AI1810" s="322"/>
      <c r="AJ1810" s="322"/>
      <c r="AK1810" s="322"/>
      <c r="AL1810" s="322"/>
      <c r="AM1810" s="322"/>
      <c r="AN1810" s="322"/>
      <c r="AO1810" s="322"/>
      <c r="AP1810" s="322"/>
      <c r="AQ1810" s="322"/>
      <c r="AR1810" s="322"/>
      <c r="AS1810" s="322"/>
      <c r="AT1810" s="322"/>
      <c r="AU1810" s="476"/>
      <c r="AV1810" s="477"/>
      <c r="AW1810" s="477"/>
      <c r="AX1810" s="477"/>
      <c r="AY1810" s="477"/>
      <c r="AZ1810" s="477"/>
      <c r="BA1810" s="477"/>
      <c r="BB1810" s="477"/>
      <c r="BC1810" s="477"/>
      <c r="BD1810" s="477"/>
      <c r="BE1810" s="477"/>
      <c r="BF1810" s="477"/>
      <c r="BG1810" s="477"/>
      <c r="BH1810" s="477"/>
      <c r="BI1810" s="477"/>
      <c r="BJ1810" s="477"/>
      <c r="BK1810" s="477"/>
      <c r="BL1810" s="477"/>
      <c r="BM1810" s="477"/>
      <c r="BN1810" s="477"/>
      <c r="BO1810" s="477"/>
      <c r="BP1810" s="477"/>
      <c r="BQ1810" s="477"/>
      <c r="BR1810" s="477"/>
      <c r="BS1810" s="477"/>
      <c r="BT1810" s="477"/>
      <c r="BU1810" s="477"/>
      <c r="BV1810" s="477"/>
      <c r="BW1810" s="477"/>
      <c r="BX1810" s="477"/>
      <c r="BY1810" s="477"/>
    </row>
    <row r="1811" spans="4:77">
      <c r="D1811" s="423" t="s">
        <v>132</v>
      </c>
      <c r="E1811" s="423"/>
      <c r="G1811" s="426" t="s">
        <v>0</v>
      </c>
      <c r="H1811" s="426" t="s">
        <v>0</v>
      </c>
      <c r="I1811" s="426" t="s">
        <v>0</v>
      </c>
      <c r="J1811" s="424" t="s">
        <v>0</v>
      </c>
      <c r="K1811" s="424" t="s">
        <v>0</v>
      </c>
      <c r="L1811" s="424"/>
      <c r="M1811" s="424"/>
      <c r="N1811" s="424"/>
      <c r="O1811" s="424"/>
      <c r="P1811" s="419" t="s">
        <v>0</v>
      </c>
      <c r="Q1811" s="419"/>
      <c r="R1811" s="419"/>
      <c r="S1811" s="419"/>
      <c r="T1811" s="419"/>
      <c r="U1811" s="322"/>
      <c r="V1811" s="322"/>
      <c r="W1811" s="322"/>
      <c r="X1811" s="322"/>
      <c r="Y1811" s="322"/>
      <c r="Z1811" s="322"/>
      <c r="AA1811" s="322"/>
      <c r="AB1811" s="322"/>
      <c r="AC1811" s="322"/>
      <c r="AD1811" s="322"/>
      <c r="AE1811" s="322"/>
      <c r="AF1811" s="322"/>
      <c r="AG1811" s="322"/>
      <c r="AH1811" s="322"/>
      <c r="AI1811" s="322"/>
      <c r="AJ1811" s="322"/>
      <c r="AK1811" s="322"/>
      <c r="AL1811" s="322"/>
      <c r="AM1811" s="322"/>
      <c r="AN1811" s="322"/>
      <c r="AO1811" s="322"/>
      <c r="AP1811" s="322"/>
      <c r="AQ1811" s="322"/>
      <c r="AR1811" s="322"/>
      <c r="AS1811" s="322"/>
      <c r="AT1811" s="322"/>
      <c r="AU1811" s="476"/>
      <c r="AV1811" s="477"/>
      <c r="AW1811" s="477"/>
      <c r="AX1811" s="477"/>
      <c r="AY1811" s="477"/>
      <c r="AZ1811" s="477"/>
      <c r="BA1811" s="477"/>
      <c r="BB1811" s="477"/>
      <c r="BC1811" s="477"/>
      <c r="BD1811" s="477"/>
      <c r="BE1811" s="477"/>
      <c r="BF1811" s="477"/>
      <c r="BG1811" s="477"/>
      <c r="BH1811" s="477"/>
      <c r="BI1811" s="477"/>
      <c r="BJ1811" s="477"/>
      <c r="BK1811" s="477"/>
      <c r="BL1811" s="477"/>
      <c r="BM1811" s="477"/>
      <c r="BN1811" s="477"/>
      <c r="BO1811" s="477"/>
      <c r="BP1811" s="477"/>
      <c r="BQ1811" s="477"/>
      <c r="BR1811" s="477"/>
      <c r="BS1811" s="477"/>
      <c r="BT1811" s="477"/>
      <c r="BU1811" s="477"/>
      <c r="BV1811" s="477"/>
      <c r="BW1811" s="477"/>
      <c r="BX1811" s="477"/>
      <c r="BY1811" s="477"/>
    </row>
    <row r="1812" spans="4:77">
      <c r="D1812" s="420" t="s">
        <v>133</v>
      </c>
      <c r="E1812" s="420"/>
      <c r="G1812" s="421">
        <v>961</v>
      </c>
      <c r="H1812" s="421">
        <v>362</v>
      </c>
      <c r="I1812" s="421">
        <v>-2474</v>
      </c>
      <c r="J1812" s="421">
        <v>1040</v>
      </c>
      <c r="K1812" s="421">
        <v>2460</v>
      </c>
      <c r="L1812" s="421"/>
      <c r="M1812" s="421"/>
      <c r="N1812" s="421"/>
      <c r="O1812" s="421"/>
      <c r="P1812" s="422">
        <v>3107</v>
      </c>
      <c r="Q1812" s="422"/>
      <c r="R1812" s="422"/>
      <c r="S1812" s="422"/>
      <c r="T1812" s="422"/>
      <c r="U1812" s="322"/>
      <c r="V1812" s="322"/>
      <c r="W1812" s="322"/>
      <c r="X1812" s="322"/>
      <c r="Y1812" s="322"/>
      <c r="Z1812" s="322"/>
      <c r="AA1812" s="322"/>
      <c r="AB1812" s="322"/>
      <c r="AC1812" s="322"/>
      <c r="AD1812" s="322"/>
      <c r="AE1812" s="322"/>
      <c r="AF1812" s="322"/>
      <c r="AG1812" s="322"/>
      <c r="AH1812" s="322"/>
      <c r="AI1812" s="322"/>
      <c r="AJ1812" s="322"/>
      <c r="AK1812" s="322"/>
      <c r="AL1812" s="322"/>
      <c r="AM1812" s="322"/>
      <c r="AN1812" s="322"/>
      <c r="AO1812" s="322"/>
      <c r="AP1812" s="322"/>
      <c r="AQ1812" s="322"/>
      <c r="AR1812" s="322"/>
      <c r="AS1812" s="322"/>
      <c r="AT1812" s="322"/>
      <c r="AU1812" s="476"/>
      <c r="AV1812" s="477"/>
      <c r="AW1812" s="477"/>
      <c r="AX1812" s="477"/>
      <c r="AY1812" s="477"/>
      <c r="AZ1812" s="477"/>
      <c r="BA1812" s="477"/>
      <c r="BB1812" s="477"/>
      <c r="BC1812" s="477"/>
      <c r="BD1812" s="477"/>
      <c r="BE1812" s="477"/>
      <c r="BF1812" s="477"/>
      <c r="BG1812" s="477"/>
      <c r="BH1812" s="477"/>
      <c r="BI1812" s="477"/>
      <c r="BJ1812" s="477"/>
      <c r="BK1812" s="477"/>
      <c r="BL1812" s="477"/>
      <c r="BM1812" s="477"/>
      <c r="BN1812" s="477"/>
      <c r="BO1812" s="477"/>
      <c r="BP1812" s="477"/>
      <c r="BQ1812" s="477"/>
      <c r="BR1812" s="477"/>
      <c r="BS1812" s="477"/>
      <c r="BT1812" s="477"/>
      <c r="BU1812" s="477"/>
      <c r="BV1812" s="477"/>
      <c r="BW1812" s="477"/>
      <c r="BX1812" s="477"/>
      <c r="BY1812" s="477"/>
    </row>
    <row r="1813" spans="4:77">
      <c r="D1813" s="420" t="s">
        <v>134</v>
      </c>
      <c r="E1813" s="420"/>
      <c r="G1813" s="421">
        <v>1004</v>
      </c>
      <c r="H1813" s="421">
        <v>452</v>
      </c>
      <c r="I1813" s="421">
        <v>188</v>
      </c>
      <c r="J1813" s="421">
        <v>1103</v>
      </c>
      <c r="K1813" s="421">
        <v>2520</v>
      </c>
      <c r="L1813" s="421"/>
      <c r="M1813" s="421"/>
      <c r="N1813" s="421"/>
      <c r="O1813" s="421"/>
      <c r="P1813" s="422">
        <v>2372</v>
      </c>
      <c r="Q1813" s="422"/>
      <c r="R1813" s="422"/>
      <c r="S1813" s="422"/>
      <c r="T1813" s="422"/>
      <c r="U1813" s="322"/>
      <c r="V1813" s="322"/>
      <c r="W1813" s="322"/>
      <c r="X1813" s="322"/>
      <c r="Y1813" s="322"/>
      <c r="Z1813" s="322"/>
      <c r="AA1813" s="322"/>
      <c r="AB1813" s="322"/>
      <c r="AC1813" s="322"/>
      <c r="AD1813" s="322"/>
      <c r="AE1813" s="322"/>
      <c r="AF1813" s="322"/>
      <c r="AG1813" s="322"/>
      <c r="AH1813" s="322"/>
      <c r="AI1813" s="322"/>
      <c r="AJ1813" s="322"/>
      <c r="AK1813" s="322"/>
      <c r="AL1813" s="322"/>
      <c r="AM1813" s="322"/>
      <c r="AN1813" s="322"/>
      <c r="AO1813" s="322"/>
      <c r="AP1813" s="322"/>
      <c r="AQ1813" s="322"/>
      <c r="AR1813" s="322"/>
      <c r="AS1813" s="322"/>
      <c r="AT1813" s="322"/>
      <c r="AU1813" s="476"/>
      <c r="AV1813" s="477"/>
      <c r="AW1813" s="477"/>
      <c r="AX1813" s="477"/>
      <c r="AY1813" s="477"/>
      <c r="AZ1813" s="477"/>
      <c r="BA1813" s="477"/>
      <c r="BB1813" s="477"/>
      <c r="BC1813" s="477"/>
      <c r="BD1813" s="477"/>
      <c r="BE1813" s="477"/>
      <c r="BF1813" s="477"/>
      <c r="BG1813" s="477"/>
      <c r="BH1813" s="477"/>
      <c r="BI1813" s="477"/>
      <c r="BJ1813" s="477"/>
      <c r="BK1813" s="477"/>
      <c r="BL1813" s="477"/>
      <c r="BM1813" s="477"/>
      <c r="BN1813" s="477"/>
      <c r="BO1813" s="477"/>
      <c r="BP1813" s="477"/>
      <c r="BQ1813" s="477"/>
      <c r="BR1813" s="477"/>
      <c r="BS1813" s="477"/>
      <c r="BT1813" s="477"/>
      <c r="BU1813" s="477"/>
      <c r="BV1813" s="477"/>
      <c r="BW1813" s="477"/>
      <c r="BX1813" s="477"/>
      <c r="BY1813" s="477"/>
    </row>
    <row r="1814" spans="4:77">
      <c r="D1814" s="442" t="s">
        <v>122</v>
      </c>
      <c r="E1814" s="442"/>
      <c r="G1814" s="443" t="s">
        <v>0</v>
      </c>
      <c r="H1814" s="443" t="s">
        <v>0</v>
      </c>
      <c r="I1814" s="443" t="s">
        <v>0</v>
      </c>
      <c r="J1814" s="444" t="s">
        <v>0</v>
      </c>
      <c r="K1814" s="444" t="s">
        <v>0</v>
      </c>
      <c r="L1814" s="444"/>
      <c r="M1814" s="444"/>
      <c r="N1814" s="444"/>
      <c r="O1814" s="444"/>
      <c r="P1814" s="445" t="s">
        <v>0</v>
      </c>
      <c r="Q1814" s="445"/>
      <c r="R1814" s="445"/>
      <c r="S1814" s="445"/>
      <c r="T1814" s="445"/>
      <c r="U1814" s="322"/>
      <c r="V1814" s="322"/>
      <c r="W1814" s="322"/>
      <c r="X1814" s="322"/>
      <c r="Y1814" s="322"/>
      <c r="Z1814" s="322"/>
      <c r="AA1814" s="322"/>
      <c r="AB1814" s="322"/>
      <c r="AC1814" s="322"/>
      <c r="AD1814" s="322"/>
      <c r="AE1814" s="322"/>
      <c r="AF1814" s="322"/>
      <c r="AG1814" s="322"/>
      <c r="AH1814" s="322"/>
      <c r="AI1814" s="322"/>
      <c r="AJ1814" s="322"/>
      <c r="AK1814" s="322"/>
      <c r="AL1814" s="322"/>
      <c r="AM1814" s="322"/>
      <c r="AN1814" s="322"/>
      <c r="AO1814" s="322"/>
      <c r="AP1814" s="322"/>
      <c r="AQ1814" s="322"/>
      <c r="AR1814" s="322"/>
      <c r="AS1814" s="322"/>
      <c r="AT1814" s="322"/>
      <c r="AU1814" s="476"/>
      <c r="AV1814" s="477"/>
      <c r="AW1814" s="477"/>
      <c r="AX1814" s="477"/>
      <c r="AY1814" s="477"/>
      <c r="AZ1814" s="477"/>
      <c r="BA1814" s="477"/>
      <c r="BB1814" s="477"/>
      <c r="BC1814" s="477"/>
      <c r="BD1814" s="477"/>
      <c r="BE1814" s="477"/>
      <c r="BF1814" s="477"/>
      <c r="BG1814" s="477"/>
      <c r="BH1814" s="477"/>
      <c r="BI1814" s="477"/>
      <c r="BJ1814" s="477"/>
      <c r="BK1814" s="477"/>
      <c r="BL1814" s="477"/>
      <c r="BM1814" s="477"/>
      <c r="BN1814" s="477"/>
      <c r="BO1814" s="477"/>
      <c r="BP1814" s="477"/>
      <c r="BQ1814" s="477"/>
      <c r="BR1814" s="477"/>
      <c r="BS1814" s="477"/>
      <c r="BT1814" s="477"/>
      <c r="BU1814" s="477"/>
      <c r="BV1814" s="477"/>
      <c r="BW1814" s="477"/>
      <c r="BX1814" s="477"/>
      <c r="BY1814" s="477"/>
    </row>
    <row r="1815" spans="4:77">
      <c r="D1815" s="423" t="s">
        <v>135</v>
      </c>
      <c r="E1815" s="423"/>
      <c r="G1815" s="426" t="s">
        <v>0</v>
      </c>
      <c r="H1815" s="426" t="s">
        <v>0</v>
      </c>
      <c r="I1815" s="426" t="s">
        <v>0</v>
      </c>
      <c r="J1815" s="424" t="s">
        <v>0</v>
      </c>
      <c r="K1815" s="424" t="s">
        <v>0</v>
      </c>
      <c r="L1815" s="424"/>
      <c r="M1815" s="424"/>
      <c r="N1815" s="424"/>
      <c r="O1815" s="424"/>
      <c r="P1815" s="419" t="s">
        <v>0</v>
      </c>
      <c r="Q1815" s="419"/>
      <c r="R1815" s="419"/>
      <c r="S1815" s="419"/>
      <c r="T1815" s="419"/>
      <c r="U1815" s="322"/>
      <c r="V1815" s="322"/>
      <c r="W1815" s="322"/>
      <c r="X1815" s="322"/>
      <c r="Y1815" s="322"/>
      <c r="Z1815" s="322"/>
      <c r="AA1815" s="322"/>
      <c r="AB1815" s="322"/>
      <c r="AC1815" s="322"/>
      <c r="AD1815" s="322"/>
      <c r="AE1815" s="322"/>
      <c r="AF1815" s="322"/>
      <c r="AG1815" s="322"/>
      <c r="AH1815" s="322"/>
      <c r="AI1815" s="322"/>
      <c r="AJ1815" s="322"/>
      <c r="AK1815" s="322"/>
      <c r="AL1815" s="322"/>
      <c r="AM1815" s="322"/>
      <c r="AN1815" s="322"/>
      <c r="AO1815" s="322"/>
      <c r="AP1815" s="322"/>
      <c r="AQ1815" s="322"/>
      <c r="AR1815" s="322"/>
      <c r="AS1815" s="322"/>
      <c r="AT1815" s="322"/>
      <c r="AU1815" s="476"/>
      <c r="AV1815" s="477"/>
      <c r="AW1815" s="477"/>
      <c r="AX1815" s="477"/>
      <c r="AY1815" s="477"/>
      <c r="AZ1815" s="477"/>
      <c r="BA1815" s="477"/>
      <c r="BB1815" s="477"/>
      <c r="BC1815" s="477"/>
      <c r="BD1815" s="477"/>
      <c r="BE1815" s="477"/>
      <c r="BF1815" s="477"/>
      <c r="BG1815" s="477"/>
      <c r="BH1815" s="477"/>
      <c r="BI1815" s="477"/>
      <c r="BJ1815" s="477"/>
      <c r="BK1815" s="477"/>
      <c r="BL1815" s="477"/>
      <c r="BM1815" s="477"/>
      <c r="BN1815" s="477"/>
      <c r="BO1815" s="477"/>
      <c r="BP1815" s="477"/>
      <c r="BQ1815" s="477"/>
      <c r="BR1815" s="477"/>
      <c r="BS1815" s="477"/>
      <c r="BT1815" s="477"/>
      <c r="BU1815" s="477"/>
      <c r="BV1815" s="477"/>
      <c r="BW1815" s="477"/>
      <c r="BX1815" s="477"/>
      <c r="BY1815" s="477"/>
    </row>
    <row r="1816" spans="4:77" ht="16" thickBot="1">
      <c r="D1816" s="420" t="s">
        <v>136</v>
      </c>
      <c r="E1816" s="420"/>
      <c r="G1816" s="428">
        <v>1.66</v>
      </c>
      <c r="H1816" s="428">
        <v>0.63</v>
      </c>
      <c r="I1816" s="428">
        <v>-4.29</v>
      </c>
      <c r="J1816" s="428">
        <v>1.8</v>
      </c>
      <c r="K1816" s="428">
        <v>4.26</v>
      </c>
      <c r="L1816" s="428"/>
      <c r="M1816" s="428"/>
      <c r="N1816" s="428"/>
      <c r="O1816" s="428"/>
      <c r="P1816" s="429">
        <v>5.41</v>
      </c>
      <c r="Q1816" s="429"/>
      <c r="R1816" s="429"/>
      <c r="S1816" s="429"/>
      <c r="T1816" s="429"/>
      <c r="U1816" s="322"/>
      <c r="V1816" s="322"/>
      <c r="W1816" s="322"/>
      <c r="X1816" s="322"/>
      <c r="Y1816" s="322"/>
      <c r="Z1816" s="322"/>
      <c r="AA1816" s="322"/>
      <c r="AB1816" s="322"/>
      <c r="AC1816" s="322"/>
      <c r="AD1816" s="322"/>
      <c r="AE1816" s="322"/>
      <c r="AF1816" s="322"/>
      <c r="AG1816" s="322"/>
      <c r="AH1816" s="322"/>
      <c r="AI1816" s="322"/>
      <c r="AJ1816" s="322"/>
      <c r="AK1816" s="322"/>
      <c r="AL1816" s="322"/>
      <c r="AM1816" s="322"/>
      <c r="AN1816" s="322"/>
      <c r="AO1816" s="322"/>
      <c r="AP1816" s="322"/>
      <c r="AQ1816" s="322"/>
      <c r="AR1816" s="322"/>
      <c r="AS1816" s="322"/>
      <c r="AT1816" s="322"/>
      <c r="AU1816" s="476"/>
      <c r="AV1816" s="477"/>
      <c r="AW1816" s="477"/>
      <c r="AX1816" s="477"/>
      <c r="AY1816" s="477"/>
      <c r="AZ1816" s="477"/>
      <c r="BA1816" s="477"/>
      <c r="BB1816" s="477"/>
      <c r="BC1816" s="477"/>
      <c r="BD1816" s="477"/>
      <c r="BE1816" s="477"/>
      <c r="BF1816" s="477"/>
      <c r="BG1816" s="477"/>
      <c r="BH1816" s="477"/>
      <c r="BI1816" s="477"/>
      <c r="BJ1816" s="477"/>
      <c r="BK1816" s="477"/>
      <c r="BL1816" s="477"/>
      <c r="BM1816" s="477"/>
      <c r="BN1816" s="477"/>
      <c r="BO1816" s="477"/>
      <c r="BP1816" s="477"/>
      <c r="BQ1816" s="477"/>
      <c r="BR1816" s="477"/>
      <c r="BS1816" s="477"/>
      <c r="BT1816" s="477"/>
      <c r="BU1816" s="477"/>
      <c r="BV1816" s="477"/>
      <c r="BW1816" s="477"/>
      <c r="BX1816" s="477"/>
      <c r="BY1816" s="477"/>
    </row>
    <row r="1817" spans="4:77" ht="20">
      <c r="D1817" s="420" t="s">
        <v>137</v>
      </c>
      <c r="E1817" s="420"/>
      <c r="G1817" s="428">
        <v>1.74</v>
      </c>
      <c r="H1817" s="428">
        <v>0.78</v>
      </c>
      <c r="I1817" s="428">
        <v>0.33</v>
      </c>
      <c r="J1817" s="428">
        <v>1.91</v>
      </c>
      <c r="K1817" s="428">
        <v>4.3600000000000003</v>
      </c>
      <c r="L1817" s="428"/>
      <c r="M1817" s="428"/>
      <c r="N1817" s="428"/>
      <c r="O1817" s="428"/>
      <c r="P1817" s="429">
        <v>4.13</v>
      </c>
      <c r="Q1817" s="429"/>
      <c r="R1817" s="429"/>
      <c r="S1817" s="429"/>
      <c r="T1817" s="429"/>
      <c r="U1817" s="322"/>
      <c r="V1817" s="322"/>
      <c r="W1817" s="322"/>
      <c r="X1817" s="322"/>
      <c r="Y1817" s="322"/>
      <c r="Z1817" s="322"/>
      <c r="AA1817" s="322"/>
      <c r="AB1817" s="322"/>
      <c r="AC1817" s="322"/>
      <c r="AD1817" s="322"/>
      <c r="AE1817" s="322"/>
      <c r="AF1817" s="322"/>
      <c r="AG1817" s="322"/>
      <c r="AH1817" s="322"/>
      <c r="AI1817" s="322"/>
      <c r="AJ1817" s="322"/>
      <c r="AK1817" s="322"/>
      <c r="AL1817" s="322"/>
      <c r="AM1817" s="322"/>
      <c r="AN1817" s="322"/>
      <c r="AO1817" s="322"/>
      <c r="AP1817" s="322"/>
      <c r="AQ1817" s="322"/>
      <c r="AR1817" s="322"/>
      <c r="AS1817" s="322"/>
      <c r="AT1817" s="322"/>
      <c r="AU1817" s="476"/>
      <c r="AV1817" s="477"/>
      <c r="AW1817" s="477"/>
      <c r="AX1817" s="477"/>
      <c r="AY1817" s="477"/>
      <c r="AZ1817" s="477"/>
      <c r="BA1817" s="532"/>
      <c r="BB1817" s="1381" t="s">
        <v>955</v>
      </c>
      <c r="BC1817" s="1381"/>
      <c r="BD1817" s="1381"/>
      <c r="BE1817" s="1381"/>
      <c r="BF1817" s="1381"/>
      <c r="BG1817" s="531"/>
      <c r="BH1817" s="531"/>
      <c r="BI1817" s="477"/>
      <c r="BJ1817" s="477"/>
      <c r="BK1817" s="477"/>
      <c r="BL1817" s="477"/>
      <c r="BM1817" s="477"/>
      <c r="BN1817" s="477"/>
      <c r="BO1817" s="477"/>
      <c r="BP1817" s="477"/>
      <c r="BQ1817" s="477"/>
      <c r="BR1817" s="477"/>
      <c r="BS1817" s="477"/>
      <c r="BT1817" s="477"/>
      <c r="BU1817" s="477"/>
      <c r="BV1817" s="477"/>
      <c r="BW1817" s="477"/>
      <c r="BX1817" s="477"/>
      <c r="BY1817" s="477"/>
    </row>
    <row r="1818" spans="4:77" ht="20">
      <c r="P1818" s="322"/>
      <c r="Q1818" s="322"/>
      <c r="R1818" s="322"/>
      <c r="S1818" s="322"/>
      <c r="T1818" s="322"/>
      <c r="U1818" s="322"/>
      <c r="V1818" s="322"/>
      <c r="W1818" s="322"/>
      <c r="X1818" s="322"/>
      <c r="Y1818" s="322"/>
      <c r="Z1818" s="322"/>
      <c r="AA1818" s="322"/>
      <c r="AB1818" s="322"/>
      <c r="AC1818" s="322"/>
      <c r="AD1818" s="322"/>
      <c r="AE1818" s="322"/>
      <c r="AF1818" s="322"/>
      <c r="AG1818" s="322"/>
      <c r="AH1818" s="322"/>
      <c r="AI1818" s="322"/>
      <c r="AJ1818" s="322"/>
      <c r="AK1818" s="322"/>
      <c r="AL1818" s="322"/>
      <c r="AM1818" s="322"/>
      <c r="AN1818" s="322"/>
      <c r="AO1818" s="322"/>
      <c r="AP1818" s="322"/>
      <c r="AQ1818" s="322"/>
      <c r="AR1818" s="322"/>
      <c r="AS1818" s="322"/>
      <c r="AT1818" s="322"/>
      <c r="AU1818" s="476"/>
      <c r="AV1818" s="477"/>
      <c r="AW1818" s="477"/>
      <c r="AX1818" s="477"/>
      <c r="AY1818" s="477"/>
      <c r="AZ1818" s="477"/>
      <c r="BA1818" s="1149">
        <f>BA1819/$AV$1700</f>
        <v>127.90995139421847</v>
      </c>
      <c r="BB1818" s="1149">
        <f t="shared" ref="BB1818:BH1818" si="1298">BB1819/$AV$1700</f>
        <v>140.70094653364032</v>
      </c>
      <c r="BC1818" s="1149">
        <f t="shared" si="1298"/>
        <v>153.49194167306214</v>
      </c>
      <c r="BD1818" s="1149">
        <f t="shared" si="1298"/>
        <v>166.282936812484</v>
      </c>
      <c r="BE1818" s="1149">
        <f t="shared" si="1298"/>
        <v>179.07393195190585</v>
      </c>
      <c r="BF1818" s="1149">
        <f t="shared" si="1298"/>
        <v>191.8649270913277</v>
      </c>
      <c r="BG1818" s="1149">
        <f t="shared" si="1298"/>
        <v>204.65592223074955</v>
      </c>
      <c r="BH1818" s="1149">
        <f t="shared" si="1298"/>
        <v>217.44691737017138</v>
      </c>
      <c r="BI1818" s="477"/>
      <c r="BJ1818" s="477"/>
      <c r="BK1818" s="477"/>
      <c r="BL1818" s="477"/>
      <c r="BM1818" s="477"/>
      <c r="BN1818" s="477"/>
      <c r="BO1818" s="477"/>
      <c r="BP1818" s="477"/>
      <c r="BQ1818" s="477"/>
      <c r="BR1818" s="477"/>
      <c r="BS1818" s="477"/>
      <c r="BT1818" s="477"/>
      <c r="BU1818" s="477"/>
      <c r="BV1818" s="477"/>
      <c r="BW1818" s="477"/>
      <c r="BX1818" s="477"/>
      <c r="BY1818" s="477"/>
    </row>
    <row r="1819" spans="4:77" ht="20">
      <c r="P1819" s="322"/>
      <c r="Q1819" s="322"/>
      <c r="R1819" s="322"/>
      <c r="S1819" s="322"/>
      <c r="T1819" s="322"/>
      <c r="U1819" s="322"/>
      <c r="V1819" s="322"/>
      <c r="W1819" s="322"/>
      <c r="X1819" s="322"/>
      <c r="Y1819" s="322"/>
      <c r="Z1819" s="322"/>
      <c r="AA1819" s="322"/>
      <c r="AB1819" s="322"/>
      <c r="AC1819" s="322"/>
      <c r="AD1819" s="322"/>
      <c r="AE1819" s="322"/>
      <c r="AF1819" s="322"/>
      <c r="AG1819" s="322"/>
      <c r="AH1819" s="322"/>
      <c r="AI1819" s="322"/>
      <c r="AJ1819" s="322"/>
      <c r="AK1819" s="322"/>
      <c r="AL1819" s="322"/>
      <c r="AM1819" s="322"/>
      <c r="AN1819" s="322"/>
      <c r="AO1819" s="322"/>
      <c r="AP1819" s="322"/>
      <c r="AQ1819" s="322"/>
      <c r="AR1819" s="322"/>
      <c r="AS1819" s="322"/>
      <c r="AT1819" s="322"/>
      <c r="AU1819" s="476"/>
      <c r="AV1819" s="477"/>
      <c r="AW1819" s="477"/>
      <c r="AX1819" s="477"/>
      <c r="AY1819" s="477"/>
      <c r="AZ1819" s="493">
        <f ca="1">AE1527/AE1319</f>
        <v>0.47982289423511104</v>
      </c>
      <c r="BA1819" s="1148">
        <v>100</v>
      </c>
      <c r="BB1819" s="1148">
        <v>110</v>
      </c>
      <c r="BC1819" s="1148">
        <v>120</v>
      </c>
      <c r="BD1819" s="1148">
        <v>130</v>
      </c>
      <c r="BE1819" s="1148">
        <v>140</v>
      </c>
      <c r="BF1819" s="1148">
        <v>150</v>
      </c>
      <c r="BG1819" s="1148">
        <v>160</v>
      </c>
      <c r="BH1819" s="1148">
        <v>170</v>
      </c>
      <c r="BI1819" s="477"/>
      <c r="BJ1819" s="477"/>
      <c r="BK1819" s="492" t="e">
        <f ca="1">AZ1819*#REF!</f>
        <v>#REF!</v>
      </c>
      <c r="BL1819" s="490" t="e">
        <f>BA1819*#REF!</f>
        <v>#REF!</v>
      </c>
      <c r="BM1819" s="490" t="e">
        <f>BB1819*#REF!</f>
        <v>#REF!</v>
      </c>
      <c r="BN1819" s="490" t="e">
        <f>BC1819*#REF!</f>
        <v>#REF!</v>
      </c>
      <c r="BO1819" s="490" t="e">
        <f>BD1819*#REF!</f>
        <v>#REF!</v>
      </c>
      <c r="BP1819" s="490" t="e">
        <f>BE1819*#REF!</f>
        <v>#REF!</v>
      </c>
      <c r="BQ1819" s="490" t="e">
        <f>BF1819*#REF!</f>
        <v>#REF!</v>
      </c>
      <c r="BR1819" s="490" t="e">
        <f>BG1819*#REF!</f>
        <v>#REF!</v>
      </c>
      <c r="BS1819" s="490" t="e">
        <f>BH1819*#REF!</f>
        <v>#REF!</v>
      </c>
      <c r="BT1819" s="477"/>
      <c r="BU1819" s="477"/>
      <c r="BV1819" s="477"/>
      <c r="BW1819" s="477"/>
      <c r="BX1819" s="477"/>
      <c r="BY1819" s="477"/>
    </row>
    <row r="1820" spans="4:77" ht="20">
      <c r="U1820" s="322"/>
      <c r="V1820" s="322"/>
      <c r="W1820" s="322"/>
      <c r="X1820" s="322"/>
      <c r="Y1820" s="322"/>
      <c r="Z1820" s="322"/>
      <c r="AA1820" s="322"/>
      <c r="AB1820" s="322"/>
      <c r="AC1820" s="322"/>
      <c r="AD1820" s="322"/>
      <c r="AE1820" s="322"/>
      <c r="AF1820" s="322"/>
      <c r="AG1820" s="322"/>
      <c r="AH1820" s="322"/>
      <c r="AI1820" s="322"/>
      <c r="AJ1820" s="322"/>
      <c r="AK1820" s="322"/>
      <c r="AL1820" s="322"/>
      <c r="AM1820" s="322"/>
      <c r="AN1820" s="322"/>
      <c r="AO1820" s="322"/>
      <c r="AP1820" s="322"/>
      <c r="AQ1820" s="322"/>
      <c r="AR1820" s="322"/>
      <c r="AS1820" s="322"/>
      <c r="AT1820" s="322"/>
      <c r="AU1820" s="476"/>
      <c r="AV1820" s="477"/>
      <c r="AW1820" s="477"/>
      <c r="AX1820" s="487"/>
      <c r="AY1820" s="1151">
        <f>AZ1820/$AV$1700</f>
        <v>3.1337938091583526</v>
      </c>
      <c r="AZ1820" s="1147">
        <v>2.4500000000000002</v>
      </c>
      <c r="BA1820" s="494">
        <f t="dataTable" ref="BA1820:BH1832" dt2D="1" dtr="1" r1="AE15" r2="AE16" ca="1"/>
        <v>0.47982289423511104</v>
      </c>
      <c r="BB1820" s="494">
        <v>0.47982289423511104</v>
      </c>
      <c r="BC1820" s="494">
        <v>0.47982289423511104</v>
      </c>
      <c r="BD1820" s="494">
        <v>0.47982289423511104</v>
      </c>
      <c r="BE1820" s="494">
        <v>0.47982289423511104</v>
      </c>
      <c r="BF1820" s="494">
        <v>0.47982289423511104</v>
      </c>
      <c r="BG1820" s="494">
        <v>0.47982289423511104</v>
      </c>
      <c r="BH1820" s="494">
        <v>0.47982289423511104</v>
      </c>
      <c r="BI1820" s="477"/>
      <c r="BJ1820" s="477"/>
      <c r="BK1820" s="490" t="e">
        <f>AZ1820*#REF!</f>
        <v>#REF!</v>
      </c>
      <c r="BL1820" s="495" t="e">
        <f t="dataTable" ref="BL1820:BS1832" dt2D="1" dtr="1" del1="1" del2="1" r1="E11" r2="E13"/>
        <v>#REF!</v>
      </c>
      <c r="BM1820" s="495" t="e">
        <v>#REF!</v>
      </c>
      <c r="BN1820" s="495" t="e">
        <v>#REF!</v>
      </c>
      <c r="BO1820" s="495" t="e">
        <v>#REF!</v>
      </c>
      <c r="BP1820" s="495" t="e">
        <v>#REF!</v>
      </c>
      <c r="BQ1820" s="495" t="e">
        <v>#REF!</v>
      </c>
      <c r="BR1820" s="495" t="e">
        <v>#REF!</v>
      </c>
      <c r="BS1820" s="495" t="e">
        <v>#REF!</v>
      </c>
      <c r="BT1820" s="477"/>
      <c r="BU1820" s="477"/>
      <c r="BV1820" s="477"/>
      <c r="BW1820" s="477"/>
      <c r="BX1820" s="477"/>
      <c r="BY1820" s="477"/>
    </row>
    <row r="1821" spans="4:77" ht="20">
      <c r="U1821" s="322"/>
      <c r="V1821" s="322"/>
      <c r="W1821" s="322"/>
      <c r="X1821" s="322"/>
      <c r="Y1821" s="322"/>
      <c r="Z1821" s="322"/>
      <c r="AA1821" s="322"/>
      <c r="AB1821" s="322"/>
      <c r="AC1821" s="322"/>
      <c r="AD1821" s="322"/>
      <c r="AE1821" s="322"/>
      <c r="AF1821" s="322"/>
      <c r="AG1821" s="322"/>
      <c r="AH1821" s="322"/>
      <c r="AI1821" s="322"/>
      <c r="AJ1821" s="322"/>
      <c r="AK1821" s="322"/>
      <c r="AL1821" s="322"/>
      <c r="AM1821" s="322"/>
      <c r="AN1821" s="322"/>
      <c r="AO1821" s="322"/>
      <c r="AP1821" s="322"/>
      <c r="AQ1821" s="322"/>
      <c r="AR1821" s="322"/>
      <c r="AS1821" s="322"/>
      <c r="AT1821" s="322"/>
      <c r="AU1821" s="476"/>
      <c r="AV1821" s="477"/>
      <c r="AW1821" s="477"/>
      <c r="AX1821" s="487"/>
      <c r="AY1821" s="1151">
        <f t="shared" ref="AY1821:AY1832" si="1299">AZ1821/$AV$1700</f>
        <v>3.1977487848554618</v>
      </c>
      <c r="AZ1821" s="1147">
        <v>2.5</v>
      </c>
      <c r="BA1821" s="494">
        <v>0.47982289423511104</v>
      </c>
      <c r="BB1821" s="494">
        <v>0.47982289423511104</v>
      </c>
      <c r="BC1821" s="494">
        <v>0.47982289423511104</v>
      </c>
      <c r="BD1821" s="494">
        <v>0.47982289423511104</v>
      </c>
      <c r="BE1821" s="494">
        <v>0.47982289423511104</v>
      </c>
      <c r="BF1821" s="494">
        <v>0.47982289423511104</v>
      </c>
      <c r="BG1821" s="494">
        <v>0.47982289423511104</v>
      </c>
      <c r="BH1821" s="494">
        <v>0.47982289423511104</v>
      </c>
      <c r="BI1821" s="477"/>
      <c r="BJ1821" s="477"/>
      <c r="BK1821" s="490" t="e">
        <f>AZ1821*#REF!</f>
        <v>#REF!</v>
      </c>
      <c r="BL1821" s="495" t="e">
        <v>#REF!</v>
      </c>
      <c r="BM1821" s="495" t="e">
        <v>#REF!</v>
      </c>
      <c r="BN1821" s="495" t="e">
        <v>#REF!</v>
      </c>
      <c r="BO1821" s="495" t="e">
        <v>#REF!</v>
      </c>
      <c r="BP1821" s="495" t="e">
        <v>#REF!</v>
      </c>
      <c r="BQ1821" s="495" t="e">
        <v>#REF!</v>
      </c>
      <c r="BR1821" s="495" t="e">
        <v>#REF!</v>
      </c>
      <c r="BS1821" s="495" t="e">
        <v>#REF!</v>
      </c>
      <c r="BT1821" s="477"/>
      <c r="BU1821" s="477"/>
      <c r="BV1821" s="477"/>
      <c r="BW1821" s="477"/>
      <c r="BX1821" s="477"/>
      <c r="BY1821" s="477"/>
    </row>
    <row r="1822" spans="4:77" ht="20">
      <c r="U1822" s="322"/>
      <c r="V1822" s="322"/>
      <c r="W1822" s="322"/>
      <c r="X1822" s="322"/>
      <c r="Y1822" s="322"/>
      <c r="Z1822" s="322"/>
      <c r="AA1822" s="322"/>
      <c r="AB1822" s="322"/>
      <c r="AC1822" s="322"/>
      <c r="AD1822" s="322"/>
      <c r="AE1822" s="322"/>
      <c r="AF1822" s="322"/>
      <c r="AG1822" s="322"/>
      <c r="AH1822" s="322"/>
      <c r="AI1822" s="322"/>
      <c r="AJ1822" s="322"/>
      <c r="AK1822" s="322"/>
      <c r="AL1822" s="322"/>
      <c r="AM1822" s="322"/>
      <c r="AN1822" s="322"/>
      <c r="AO1822" s="322"/>
      <c r="AP1822" s="322"/>
      <c r="AQ1822" s="322"/>
      <c r="AR1822" s="322"/>
      <c r="AS1822" s="322"/>
      <c r="AT1822" s="322"/>
      <c r="AU1822" s="476"/>
      <c r="AV1822" s="477"/>
      <c r="AW1822" s="477"/>
      <c r="AX1822" s="1382" t="s">
        <v>954</v>
      </c>
      <c r="AY1822" s="1151">
        <f t="shared" si="1299"/>
        <v>3.2617037605525705</v>
      </c>
      <c r="AZ1822" s="1147">
        <v>2.5499999999999998</v>
      </c>
      <c r="BA1822" s="494">
        <v>0.47982289423511104</v>
      </c>
      <c r="BB1822" s="494">
        <v>0.47982289423511104</v>
      </c>
      <c r="BC1822" s="494">
        <v>0.47982289423511104</v>
      </c>
      <c r="BD1822" s="494">
        <v>0.47982289423511104</v>
      </c>
      <c r="BE1822" s="494">
        <v>0.47982289423511104</v>
      </c>
      <c r="BF1822" s="494">
        <v>0.47982289423511104</v>
      </c>
      <c r="BG1822" s="494">
        <v>0.47982289423511104</v>
      </c>
      <c r="BH1822" s="494">
        <v>0.47982289423511104</v>
      </c>
      <c r="BI1822" s="477"/>
      <c r="BJ1822" s="477"/>
      <c r="BK1822" s="490" t="e">
        <f>AZ1822*#REF!</f>
        <v>#REF!</v>
      </c>
      <c r="BL1822" s="495" t="e">
        <v>#REF!</v>
      </c>
      <c r="BM1822" s="495" t="e">
        <v>#REF!</v>
      </c>
      <c r="BN1822" s="495" t="e">
        <v>#REF!</v>
      </c>
      <c r="BO1822" s="495" t="e">
        <v>#REF!</v>
      </c>
      <c r="BP1822" s="495" t="e">
        <v>#REF!</v>
      </c>
      <c r="BQ1822" s="495" t="e">
        <v>#REF!</v>
      </c>
      <c r="BR1822" s="495" t="e">
        <v>#REF!</v>
      </c>
      <c r="BS1822" s="495" t="e">
        <v>#REF!</v>
      </c>
      <c r="BT1822" s="477"/>
      <c r="BU1822" s="477"/>
      <c r="BV1822" s="477"/>
      <c r="BW1822" s="477"/>
      <c r="BX1822" s="477"/>
      <c r="BY1822" s="477"/>
    </row>
    <row r="1823" spans="4:77" ht="20">
      <c r="U1823" s="322"/>
      <c r="V1823" s="322"/>
      <c r="W1823" s="322"/>
      <c r="X1823" s="322"/>
      <c r="Y1823" s="322"/>
      <c r="Z1823" s="322"/>
      <c r="AA1823" s="322"/>
      <c r="AB1823" s="322"/>
      <c r="AC1823" s="322"/>
      <c r="AD1823" s="322"/>
      <c r="AE1823" s="322"/>
      <c r="AF1823" s="322"/>
      <c r="AG1823" s="322"/>
      <c r="AH1823" s="322"/>
      <c r="AI1823" s="322"/>
      <c r="AJ1823" s="322"/>
      <c r="AK1823" s="322"/>
      <c r="AL1823" s="322"/>
      <c r="AM1823" s="322"/>
      <c r="AN1823" s="322"/>
      <c r="AO1823" s="322"/>
      <c r="AP1823" s="322"/>
      <c r="AQ1823" s="322"/>
      <c r="AR1823" s="322"/>
      <c r="AS1823" s="322"/>
      <c r="AT1823" s="322"/>
      <c r="AU1823" s="476"/>
      <c r="AV1823" s="477"/>
      <c r="AW1823" s="477"/>
      <c r="AX1823" s="1382"/>
      <c r="AY1823" s="1151">
        <f t="shared" si="1299"/>
        <v>3.3256587362496801</v>
      </c>
      <c r="AZ1823" s="1147">
        <v>2.6</v>
      </c>
      <c r="BA1823" s="494">
        <v>0.47982289423511104</v>
      </c>
      <c r="BB1823" s="494">
        <v>0.47982289423511104</v>
      </c>
      <c r="BC1823" s="494">
        <v>0.47982289423511104</v>
      </c>
      <c r="BD1823" s="494">
        <v>0.47982289423511104</v>
      </c>
      <c r="BE1823" s="494">
        <v>0.47982289423511104</v>
      </c>
      <c r="BF1823" s="494">
        <v>0.47982289423511104</v>
      </c>
      <c r="BG1823" s="494">
        <v>0.47982289423511104</v>
      </c>
      <c r="BH1823" s="494">
        <v>0.47982289423511104</v>
      </c>
      <c r="BI1823" s="477"/>
      <c r="BJ1823" s="477"/>
      <c r="BK1823" s="490" t="e">
        <f>AZ1823*#REF!</f>
        <v>#REF!</v>
      </c>
      <c r="BL1823" s="495" t="e">
        <v>#REF!</v>
      </c>
      <c r="BM1823" s="495" t="e">
        <v>#REF!</v>
      </c>
      <c r="BN1823" s="495" t="e">
        <v>#REF!</v>
      </c>
      <c r="BO1823" s="495" t="e">
        <v>#REF!</v>
      </c>
      <c r="BP1823" s="495" t="e">
        <v>#REF!</v>
      </c>
      <c r="BQ1823" s="495" t="e">
        <v>#REF!</v>
      </c>
      <c r="BR1823" s="495" t="e">
        <v>#REF!</v>
      </c>
      <c r="BS1823" s="495" t="e">
        <v>#REF!</v>
      </c>
      <c r="BT1823" s="477"/>
      <c r="BU1823" s="477"/>
      <c r="BV1823" s="477"/>
      <c r="BW1823" s="477"/>
      <c r="BX1823" s="477"/>
      <c r="BY1823" s="477"/>
    </row>
    <row r="1824" spans="4:77" ht="20">
      <c r="U1824" s="322"/>
      <c r="V1824" s="322"/>
      <c r="W1824" s="322"/>
      <c r="X1824" s="322"/>
      <c r="Y1824" s="322"/>
      <c r="Z1824" s="322"/>
      <c r="AA1824" s="322"/>
      <c r="AB1824" s="322"/>
      <c r="AC1824" s="322"/>
      <c r="AD1824" s="322"/>
      <c r="AE1824" s="322"/>
      <c r="AF1824" s="322"/>
      <c r="AG1824" s="322"/>
      <c r="AH1824" s="322"/>
      <c r="AI1824" s="322"/>
      <c r="AJ1824" s="322"/>
      <c r="AK1824" s="322"/>
      <c r="AL1824" s="322"/>
      <c r="AM1824" s="322"/>
      <c r="AN1824" s="322"/>
      <c r="AO1824" s="322"/>
      <c r="AP1824" s="322"/>
      <c r="AQ1824" s="322"/>
      <c r="AR1824" s="322"/>
      <c r="AS1824" s="322"/>
      <c r="AT1824" s="322"/>
      <c r="AU1824" s="476"/>
      <c r="AV1824" s="477"/>
      <c r="AW1824" s="477"/>
      <c r="AX1824" s="1382"/>
      <c r="AY1824" s="1151">
        <f t="shared" si="1299"/>
        <v>3.3896137119467893</v>
      </c>
      <c r="AZ1824" s="1147">
        <v>2.65</v>
      </c>
      <c r="BA1824" s="494">
        <v>0.47982289423511104</v>
      </c>
      <c r="BB1824" s="494">
        <v>0.47982289423511104</v>
      </c>
      <c r="BC1824" s="494">
        <v>0.47982289423511104</v>
      </c>
      <c r="BD1824" s="494">
        <v>0.47982289423511104</v>
      </c>
      <c r="BE1824" s="494">
        <v>0.47982289423511104</v>
      </c>
      <c r="BF1824" s="494">
        <v>0.47982289423511104</v>
      </c>
      <c r="BG1824" s="494">
        <v>0.47982289423511104</v>
      </c>
      <c r="BH1824" s="494">
        <v>0.47982289423511104</v>
      </c>
      <c r="BI1824" s="477"/>
      <c r="BJ1824" s="477"/>
      <c r="BK1824" s="490" t="e">
        <f>AZ1824*#REF!</f>
        <v>#REF!</v>
      </c>
      <c r="BL1824" s="495" t="e">
        <v>#REF!</v>
      </c>
      <c r="BM1824" s="495" t="e">
        <v>#REF!</v>
      </c>
      <c r="BN1824" s="495" t="e">
        <v>#REF!</v>
      </c>
      <c r="BO1824" s="495" t="e">
        <v>#REF!</v>
      </c>
      <c r="BP1824" s="495" t="e">
        <v>#REF!</v>
      </c>
      <c r="BQ1824" s="495" t="e">
        <v>#REF!</v>
      </c>
      <c r="BR1824" s="495" t="e">
        <v>#REF!</v>
      </c>
      <c r="BS1824" s="495" t="e">
        <v>#REF!</v>
      </c>
      <c r="BT1824" s="477"/>
      <c r="BU1824" s="477"/>
      <c r="BV1824" s="477"/>
      <c r="BW1824" s="477"/>
      <c r="BX1824" s="477"/>
      <c r="BY1824" s="477"/>
    </row>
    <row r="1825" spans="1:77" ht="20">
      <c r="D1825" s="442" t="s">
        <v>122</v>
      </c>
      <c r="E1825" s="442"/>
      <c r="G1825" s="443" t="s">
        <v>0</v>
      </c>
      <c r="H1825" s="443" t="s">
        <v>0</v>
      </c>
      <c r="I1825" s="443" t="s">
        <v>0</v>
      </c>
      <c r="J1825" s="444" t="s">
        <v>0</v>
      </c>
      <c r="K1825" s="444" t="s">
        <v>0</v>
      </c>
      <c r="L1825" s="444"/>
      <c r="M1825" s="444"/>
      <c r="N1825" s="444"/>
      <c r="O1825" s="444"/>
      <c r="P1825" s="445" t="s">
        <v>0</v>
      </c>
      <c r="Q1825" s="445"/>
      <c r="R1825" s="445"/>
      <c r="S1825" s="445"/>
      <c r="T1825" s="445"/>
      <c r="U1825" s="322"/>
      <c r="V1825" s="322"/>
      <c r="W1825" s="322"/>
      <c r="X1825" s="322"/>
      <c r="Y1825" s="322"/>
      <c r="Z1825" s="322"/>
      <c r="AA1825" s="322"/>
      <c r="AB1825" s="322"/>
      <c r="AC1825" s="322"/>
      <c r="AD1825" s="322"/>
      <c r="AE1825" s="322"/>
      <c r="AF1825" s="322"/>
      <c r="AG1825" s="322"/>
      <c r="AH1825" s="322"/>
      <c r="AI1825" s="322"/>
      <c r="AJ1825" s="322"/>
      <c r="AK1825" s="322"/>
      <c r="AL1825" s="322"/>
      <c r="AM1825" s="322"/>
      <c r="AN1825" s="322"/>
      <c r="AO1825" s="322"/>
      <c r="AP1825" s="322"/>
      <c r="AQ1825" s="322"/>
      <c r="AR1825" s="322"/>
      <c r="AS1825" s="322"/>
      <c r="AT1825" s="322"/>
      <c r="AU1825" s="476"/>
      <c r="AV1825" s="477"/>
      <c r="AW1825" s="477"/>
      <c r="AX1825" s="1382"/>
      <c r="AY1825" s="1151">
        <f t="shared" si="1299"/>
        <v>3.4535686876438989</v>
      </c>
      <c r="AZ1825" s="1147">
        <v>2.7</v>
      </c>
      <c r="BA1825" s="494">
        <v>0.47982289423511104</v>
      </c>
      <c r="BB1825" s="494">
        <v>0.47982289423511104</v>
      </c>
      <c r="BC1825" s="494">
        <v>0.47982289423511104</v>
      </c>
      <c r="BD1825" s="494">
        <v>0.47982289423511104</v>
      </c>
      <c r="BE1825" s="494">
        <v>0.47982289423511104</v>
      </c>
      <c r="BF1825" s="494">
        <v>0.47982289423511104</v>
      </c>
      <c r="BG1825" s="494">
        <v>0.47982289423511104</v>
      </c>
      <c r="BH1825" s="494">
        <v>0.47982289423511104</v>
      </c>
      <c r="BI1825" s="477"/>
      <c r="BJ1825" s="477"/>
      <c r="BK1825" s="490" t="e">
        <f>AZ1825*#REF!</f>
        <v>#REF!</v>
      </c>
      <c r="BL1825" s="495" t="e">
        <v>#REF!</v>
      </c>
      <c r="BM1825" s="495" t="e">
        <v>#REF!</v>
      </c>
      <c r="BN1825" s="495" t="e">
        <v>#REF!</v>
      </c>
      <c r="BO1825" s="495" t="e">
        <v>#REF!</v>
      </c>
      <c r="BP1825" s="495" t="e">
        <v>#REF!</v>
      </c>
      <c r="BQ1825" s="495" t="e">
        <v>#REF!</v>
      </c>
      <c r="BR1825" s="495" t="e">
        <v>#REF!</v>
      </c>
      <c r="BS1825" s="495" t="e">
        <v>#REF!</v>
      </c>
      <c r="BT1825" s="477"/>
      <c r="BU1825" s="477"/>
      <c r="BV1825" s="477"/>
      <c r="BW1825" s="477"/>
      <c r="BX1825" s="477"/>
      <c r="BY1825" s="477"/>
    </row>
    <row r="1826" spans="1:77" ht="20">
      <c r="D1826" s="81" t="s">
        <v>142</v>
      </c>
      <c r="E1826" s="81"/>
      <c r="G1826" s="82" t="s">
        <v>0</v>
      </c>
      <c r="H1826" s="82" t="s">
        <v>0</v>
      </c>
      <c r="I1826" s="82" t="s">
        <v>0</v>
      </c>
      <c r="J1826" s="211" t="s">
        <v>0</v>
      </c>
      <c r="K1826" s="211" t="s">
        <v>0</v>
      </c>
      <c r="L1826" s="211"/>
      <c r="M1826" s="211"/>
      <c r="N1826" s="211"/>
      <c r="O1826" s="211"/>
      <c r="P1826" s="435" t="s">
        <v>0</v>
      </c>
      <c r="Q1826" s="435"/>
      <c r="R1826" s="435"/>
      <c r="S1826" s="435"/>
      <c r="T1826" s="435"/>
      <c r="U1826" s="322"/>
      <c r="V1826" s="322"/>
      <c r="W1826" s="322"/>
      <c r="X1826" s="322"/>
      <c r="Y1826" s="322"/>
      <c r="Z1826" s="322"/>
      <c r="AA1826" s="322"/>
      <c r="AB1826" s="322"/>
      <c r="AC1826" s="322"/>
      <c r="AD1826" s="322"/>
      <c r="AE1826" s="322"/>
      <c r="AF1826" s="322"/>
      <c r="AG1826" s="322"/>
      <c r="AH1826" s="322"/>
      <c r="AI1826" s="322"/>
      <c r="AJ1826" s="322"/>
      <c r="AK1826" s="322"/>
      <c r="AL1826" s="322"/>
      <c r="AM1826" s="322"/>
      <c r="AN1826" s="322"/>
      <c r="AO1826" s="322"/>
      <c r="AP1826" s="322"/>
      <c r="AQ1826" s="322"/>
      <c r="AR1826" s="322"/>
      <c r="AS1826" s="322"/>
      <c r="AT1826" s="322"/>
      <c r="AU1826" s="476"/>
      <c r="AV1826" s="477"/>
      <c r="AW1826" s="477"/>
      <c r="AX1826" s="1382"/>
      <c r="AY1826" s="1151">
        <f t="shared" si="1299"/>
        <v>3.5175236633410076</v>
      </c>
      <c r="AZ1826" s="1147">
        <v>2.75</v>
      </c>
      <c r="BA1826" s="494">
        <v>0.47982289423511104</v>
      </c>
      <c r="BB1826" s="494">
        <v>0.47982289423511104</v>
      </c>
      <c r="BC1826" s="494">
        <v>0.47982289423511104</v>
      </c>
      <c r="BD1826" s="494">
        <v>0.47982289423511104</v>
      </c>
      <c r="BE1826" s="494">
        <v>0.47982289423511104</v>
      </c>
      <c r="BF1826" s="494">
        <v>0.47982289423511104</v>
      </c>
      <c r="BG1826" s="494">
        <v>0.47982289423511104</v>
      </c>
      <c r="BH1826" s="494">
        <v>0.47982289423511104</v>
      </c>
      <c r="BI1826" s="477"/>
      <c r="BJ1826" s="477"/>
      <c r="BK1826" s="490" t="e">
        <f>AZ1826*#REF!</f>
        <v>#REF!</v>
      </c>
      <c r="BL1826" s="495" t="e">
        <v>#REF!</v>
      </c>
      <c r="BM1826" s="495" t="e">
        <v>#REF!</v>
      </c>
      <c r="BN1826" s="495" t="e">
        <v>#REF!</v>
      </c>
      <c r="BO1826" s="495" t="e">
        <v>#REF!</v>
      </c>
      <c r="BP1826" s="495" t="e">
        <v>#REF!</v>
      </c>
      <c r="BQ1826" s="495" t="e">
        <v>#REF!</v>
      </c>
      <c r="BR1826" s="495" t="e">
        <v>#REF!</v>
      </c>
      <c r="BS1826" s="495" t="e">
        <v>#REF!</v>
      </c>
      <c r="BT1826" s="477"/>
      <c r="BU1826" s="477"/>
      <c r="BV1826" s="477"/>
      <c r="BW1826" s="477"/>
      <c r="BX1826" s="477"/>
      <c r="BY1826" s="477"/>
    </row>
    <row r="1827" spans="1:77" ht="20">
      <c r="D1827" s="420" t="s">
        <v>143</v>
      </c>
      <c r="E1827" s="420"/>
      <c r="G1827" s="421">
        <v>2772</v>
      </c>
      <c r="H1827" s="421">
        <v>2029</v>
      </c>
      <c r="I1827" s="421">
        <v>1887</v>
      </c>
      <c r="J1827" s="421">
        <v>1407</v>
      </c>
      <c r="K1827" s="421">
        <v>952</v>
      </c>
      <c r="L1827" s="421"/>
      <c r="M1827" s="421"/>
      <c r="N1827" s="421"/>
      <c r="O1827" s="421"/>
      <c r="P1827" s="422">
        <v>1734</v>
      </c>
      <c r="Q1827" s="422"/>
      <c r="R1827" s="422"/>
      <c r="S1827" s="422"/>
      <c r="T1827" s="422"/>
      <c r="U1827" s="322"/>
      <c r="V1827" s="322"/>
      <c r="W1827" s="322"/>
      <c r="X1827" s="322"/>
      <c r="Y1827" s="322"/>
      <c r="Z1827" s="322"/>
      <c r="AA1827" s="322"/>
      <c r="AB1827" s="322"/>
      <c r="AC1827" s="322"/>
      <c r="AD1827" s="322"/>
      <c r="AE1827" s="322"/>
      <c r="AF1827" s="322"/>
      <c r="AG1827" s="322"/>
      <c r="AH1827" s="322"/>
      <c r="AI1827" s="322"/>
      <c r="AJ1827" s="322"/>
      <c r="AK1827" s="322"/>
      <c r="AL1827" s="322"/>
      <c r="AM1827" s="322"/>
      <c r="AN1827" s="322"/>
      <c r="AO1827" s="322"/>
      <c r="AP1827" s="322"/>
      <c r="AQ1827" s="322"/>
      <c r="AR1827" s="322"/>
      <c r="AS1827" s="322"/>
      <c r="AT1827" s="322"/>
      <c r="AU1827" s="476"/>
      <c r="AV1827" s="477"/>
      <c r="AW1827" s="477"/>
      <c r="AX1827" s="1382"/>
      <c r="AY1827" s="1151">
        <f t="shared" si="1299"/>
        <v>3.5814786390381168</v>
      </c>
      <c r="AZ1827" s="1147">
        <v>2.8</v>
      </c>
      <c r="BA1827" s="494">
        <v>0.47982289423511104</v>
      </c>
      <c r="BB1827" s="494">
        <v>0.47982289423511104</v>
      </c>
      <c r="BC1827" s="494">
        <v>0.47982289423511104</v>
      </c>
      <c r="BD1827" s="494">
        <v>0.47982289423511104</v>
      </c>
      <c r="BE1827" s="494">
        <v>0.47982289423511104</v>
      </c>
      <c r="BF1827" s="494">
        <v>0.47982289423511104</v>
      </c>
      <c r="BG1827" s="494">
        <v>0.47982289423511104</v>
      </c>
      <c r="BH1827" s="494">
        <v>0.47982289423511104</v>
      </c>
      <c r="BI1827" s="477"/>
      <c r="BJ1827" s="477"/>
      <c r="BK1827" s="490" t="e">
        <f>AZ1827*#REF!</f>
        <v>#REF!</v>
      </c>
      <c r="BL1827" s="495" t="e">
        <v>#REF!</v>
      </c>
      <c r="BM1827" s="495" t="e">
        <v>#REF!</v>
      </c>
      <c r="BN1827" s="495" t="e">
        <v>#REF!</v>
      </c>
      <c r="BO1827" s="495" t="e">
        <v>#REF!</v>
      </c>
      <c r="BP1827" s="495" t="e">
        <v>#REF!</v>
      </c>
      <c r="BQ1827" s="495" t="e">
        <v>#REF!</v>
      </c>
      <c r="BR1827" s="495" t="e">
        <v>#REF!</v>
      </c>
      <c r="BS1827" s="495" t="e">
        <v>#REF!</v>
      </c>
      <c r="BT1827" s="477"/>
      <c r="BU1827" s="477"/>
      <c r="BV1827" s="477"/>
      <c r="BW1827" s="477"/>
      <c r="BX1827" s="477"/>
      <c r="BY1827" s="477"/>
    </row>
    <row r="1828" spans="1:77" ht="20">
      <c r="D1828" s="420" t="s">
        <v>144</v>
      </c>
      <c r="E1828" s="420"/>
      <c r="G1828" s="421">
        <v>36183</v>
      </c>
      <c r="H1828" s="421">
        <v>36839</v>
      </c>
      <c r="I1828" s="421">
        <v>34688</v>
      </c>
      <c r="J1828" s="421">
        <v>35629</v>
      </c>
      <c r="K1828" s="421">
        <v>37028</v>
      </c>
      <c r="L1828" s="421"/>
      <c r="M1828" s="421"/>
      <c r="N1828" s="421"/>
      <c r="O1828" s="421"/>
      <c r="P1828" s="422">
        <v>39626</v>
      </c>
      <c r="Q1828" s="422"/>
      <c r="R1828" s="422"/>
      <c r="S1828" s="422"/>
      <c r="T1828" s="422"/>
      <c r="U1828" s="322"/>
      <c r="V1828" s="322"/>
      <c r="W1828" s="322"/>
      <c r="X1828" s="322"/>
      <c r="Y1828" s="322"/>
      <c r="Z1828" s="322"/>
      <c r="AA1828" s="322"/>
      <c r="AB1828" s="322"/>
      <c r="AC1828" s="322"/>
      <c r="AD1828" s="322"/>
      <c r="AE1828" s="322"/>
      <c r="AF1828" s="322"/>
      <c r="AG1828" s="322"/>
      <c r="AH1828" s="322"/>
      <c r="AI1828" s="322"/>
      <c r="AJ1828" s="322"/>
      <c r="AK1828" s="322"/>
      <c r="AL1828" s="322"/>
      <c r="AM1828" s="322"/>
      <c r="AN1828" s="322"/>
      <c r="AO1828" s="322"/>
      <c r="AP1828" s="322"/>
      <c r="AQ1828" s="322"/>
      <c r="AR1828" s="322"/>
      <c r="AS1828" s="322"/>
      <c r="AT1828" s="322"/>
      <c r="AU1828" s="476"/>
      <c r="AV1828" s="477"/>
      <c r="AW1828" s="477"/>
      <c r="AX1828" s="1382"/>
      <c r="AY1828" s="1151">
        <f t="shared" si="1299"/>
        <v>3.6454336147352264</v>
      </c>
      <c r="AZ1828" s="1147">
        <v>2.85</v>
      </c>
      <c r="BA1828" s="494">
        <v>0.47982289423511104</v>
      </c>
      <c r="BB1828" s="494">
        <v>0.47982289423511104</v>
      </c>
      <c r="BC1828" s="494">
        <v>0.47982289423511104</v>
      </c>
      <c r="BD1828" s="494">
        <v>0.47982289423511104</v>
      </c>
      <c r="BE1828" s="494">
        <v>0.47982289423511104</v>
      </c>
      <c r="BF1828" s="494">
        <v>0.47982289423511104</v>
      </c>
      <c r="BG1828" s="494">
        <v>0.47982289423511104</v>
      </c>
      <c r="BH1828" s="494">
        <v>0.47982289423511104</v>
      </c>
      <c r="BI1828" s="477"/>
      <c r="BJ1828" s="477"/>
      <c r="BK1828" s="490" t="e">
        <f>AZ1828*#REF!</f>
        <v>#REF!</v>
      </c>
      <c r="BL1828" s="495" t="e">
        <v>#REF!</v>
      </c>
      <c r="BM1828" s="495" t="e">
        <v>#REF!</v>
      </c>
      <c r="BN1828" s="495" t="e">
        <v>#REF!</v>
      </c>
      <c r="BO1828" s="495" t="e">
        <v>#REF!</v>
      </c>
      <c r="BP1828" s="495" t="e">
        <v>#REF!</v>
      </c>
      <c r="BQ1828" s="495" t="e">
        <v>#REF!</v>
      </c>
      <c r="BR1828" s="495" t="e">
        <v>#REF!</v>
      </c>
      <c r="BS1828" s="495" t="e">
        <v>#REF!</v>
      </c>
      <c r="BT1828" s="477"/>
      <c r="BU1828" s="477"/>
      <c r="BV1828" s="477"/>
      <c r="BW1828" s="477"/>
      <c r="BX1828" s="477"/>
      <c r="BY1828" s="477"/>
    </row>
    <row r="1829" spans="1:77" ht="20">
      <c r="D1829" s="420" t="s">
        <v>145</v>
      </c>
      <c r="E1829" s="420"/>
      <c r="G1829" s="421">
        <v>7723</v>
      </c>
      <c r="H1829" s="421">
        <v>8441</v>
      </c>
      <c r="I1829" s="421">
        <v>9634</v>
      </c>
      <c r="J1829" s="421">
        <v>8343</v>
      </c>
      <c r="K1829" s="421">
        <v>6369</v>
      </c>
      <c r="L1829" s="421"/>
      <c r="M1829" s="421"/>
      <c r="N1829" s="421"/>
      <c r="O1829" s="421"/>
      <c r="P1829" s="422">
        <v>5519</v>
      </c>
      <c r="Q1829" s="422"/>
      <c r="R1829" s="422"/>
      <c r="S1829" s="422"/>
      <c r="T1829" s="422"/>
      <c r="U1829" s="322"/>
      <c r="V1829" s="322"/>
      <c r="W1829" s="322"/>
      <c r="X1829" s="322"/>
      <c r="Y1829" s="322"/>
      <c r="Z1829" s="322"/>
      <c r="AA1829" s="322"/>
      <c r="AB1829" s="322"/>
      <c r="AC1829" s="322"/>
      <c r="AD1829" s="322"/>
      <c r="AE1829" s="322"/>
      <c r="AF1829" s="322"/>
      <c r="AG1829" s="322"/>
      <c r="AH1829" s="322"/>
      <c r="AI1829" s="322"/>
      <c r="AJ1829" s="322"/>
      <c r="AK1829" s="322"/>
      <c r="AL1829" s="322"/>
      <c r="AM1829" s="322"/>
      <c r="AN1829" s="322"/>
      <c r="AO1829" s="322"/>
      <c r="AP1829" s="322"/>
      <c r="AQ1829" s="322"/>
      <c r="AR1829" s="322"/>
      <c r="AS1829" s="322"/>
      <c r="AT1829" s="322"/>
      <c r="AU1829" s="476"/>
      <c r="AV1829" s="477"/>
      <c r="AW1829" s="477"/>
      <c r="AX1829" s="1382"/>
      <c r="AY1829" s="1151">
        <f t="shared" si="1299"/>
        <v>3.7093885904323352</v>
      </c>
      <c r="AZ1829" s="1147">
        <v>2.9</v>
      </c>
      <c r="BA1829" s="494">
        <v>0.47982289423511104</v>
      </c>
      <c r="BB1829" s="494">
        <v>0.47982289423511104</v>
      </c>
      <c r="BC1829" s="494">
        <v>0.47982289423511104</v>
      </c>
      <c r="BD1829" s="494">
        <v>0.47982289423511104</v>
      </c>
      <c r="BE1829" s="494">
        <v>0.47982289423511104</v>
      </c>
      <c r="BF1829" s="494">
        <v>0.47982289423511104</v>
      </c>
      <c r="BG1829" s="494">
        <v>0.47982289423511104</v>
      </c>
      <c r="BH1829" s="494">
        <v>0.47982289423511104</v>
      </c>
      <c r="BI1829" s="477"/>
      <c r="BJ1829" s="477"/>
      <c r="BK1829" s="490" t="e">
        <f>AZ1829*#REF!</f>
        <v>#REF!</v>
      </c>
      <c r="BL1829" s="495" t="e">
        <v>#REF!</v>
      </c>
      <c r="BM1829" s="495" t="e">
        <v>#REF!</v>
      </c>
      <c r="BN1829" s="495" t="e">
        <v>#REF!</v>
      </c>
      <c r="BO1829" s="495" t="e">
        <v>#REF!</v>
      </c>
      <c r="BP1829" s="495" t="e">
        <v>#REF!</v>
      </c>
      <c r="BQ1829" s="495" t="e">
        <v>#REF!</v>
      </c>
      <c r="BR1829" s="495" t="e">
        <v>#REF!</v>
      </c>
      <c r="BS1829" s="495" t="e">
        <v>#REF!</v>
      </c>
      <c r="BT1829" s="477"/>
      <c r="BU1829" s="477"/>
      <c r="BV1829" s="477"/>
      <c r="BW1829" s="477"/>
      <c r="BX1829" s="477"/>
      <c r="BY1829" s="477"/>
    </row>
    <row r="1830" spans="1:77" ht="20">
      <c r="P1830" s="322"/>
      <c r="Q1830" s="322"/>
      <c r="R1830" s="322"/>
      <c r="S1830" s="322"/>
      <c r="T1830" s="322"/>
      <c r="U1830" s="322"/>
      <c r="V1830" s="322"/>
      <c r="W1830" s="322"/>
      <c r="X1830" s="322"/>
      <c r="Y1830" s="322"/>
      <c r="Z1830" s="322"/>
      <c r="AA1830" s="322"/>
      <c r="AB1830" s="322"/>
      <c r="AC1830" s="322"/>
      <c r="AD1830" s="322"/>
      <c r="AE1830" s="322"/>
      <c r="AF1830" s="322"/>
      <c r="AG1830" s="322"/>
      <c r="AH1830" s="322"/>
      <c r="AI1830" s="322"/>
      <c r="AJ1830" s="322"/>
      <c r="AK1830" s="322"/>
      <c r="AL1830" s="322"/>
      <c r="AM1830" s="322"/>
      <c r="AN1830" s="322"/>
      <c r="AO1830" s="322"/>
      <c r="AP1830" s="322"/>
      <c r="AQ1830" s="322"/>
      <c r="AR1830" s="322"/>
      <c r="AS1830" s="322"/>
      <c r="AT1830" s="322"/>
      <c r="AU1830" s="476"/>
      <c r="AV1830" s="477"/>
      <c r="AW1830" s="477"/>
      <c r="AX1830" s="535"/>
      <c r="AY1830" s="1151">
        <f t="shared" si="1299"/>
        <v>3.7733435661294448</v>
      </c>
      <c r="AZ1830" s="1147">
        <v>2.95</v>
      </c>
      <c r="BA1830" s="494">
        <v>0.47982289423511104</v>
      </c>
      <c r="BB1830" s="494">
        <v>0.47982289423511104</v>
      </c>
      <c r="BC1830" s="494">
        <v>0.47982289423511104</v>
      </c>
      <c r="BD1830" s="494">
        <v>0.47982289423511104</v>
      </c>
      <c r="BE1830" s="494">
        <v>0.47982289423511104</v>
      </c>
      <c r="BF1830" s="494">
        <v>0.47982289423511104</v>
      </c>
      <c r="BG1830" s="494">
        <v>0.47982289423511104</v>
      </c>
      <c r="BH1830" s="494">
        <v>0.47982289423511104</v>
      </c>
      <c r="BI1830" s="477"/>
      <c r="BJ1830" s="477"/>
      <c r="BK1830" s="490" t="e">
        <f>AZ1830*#REF!</f>
        <v>#REF!</v>
      </c>
      <c r="BL1830" s="495" t="e">
        <v>#REF!</v>
      </c>
      <c r="BM1830" s="495" t="e">
        <v>#REF!</v>
      </c>
      <c r="BN1830" s="495" t="e">
        <v>#REF!</v>
      </c>
      <c r="BO1830" s="495" t="e">
        <v>#REF!</v>
      </c>
      <c r="BP1830" s="495" t="e">
        <v>#REF!</v>
      </c>
      <c r="BQ1830" s="495" t="e">
        <v>#REF!</v>
      </c>
      <c r="BR1830" s="495" t="e">
        <v>#REF!</v>
      </c>
      <c r="BS1830" s="495" t="e">
        <v>#REF!</v>
      </c>
      <c r="BT1830" s="477"/>
      <c r="BU1830" s="477"/>
      <c r="BV1830" s="477"/>
      <c r="BW1830" s="477"/>
      <c r="BX1830" s="477"/>
      <c r="BY1830" s="477"/>
    </row>
    <row r="1831" spans="1:77" ht="20">
      <c r="P1831" s="322"/>
      <c r="Q1831" s="322"/>
      <c r="R1831" s="322"/>
      <c r="S1831" s="322"/>
      <c r="T1831" s="322"/>
      <c r="U1831" s="322"/>
      <c r="V1831" s="322"/>
      <c r="W1831" s="322"/>
      <c r="X1831" s="322"/>
      <c r="Y1831" s="322"/>
      <c r="Z1831" s="322"/>
      <c r="AA1831" s="322"/>
      <c r="AB1831" s="322"/>
      <c r="AC1831" s="322"/>
      <c r="AD1831" s="322"/>
      <c r="AE1831" s="322"/>
      <c r="AF1831" s="322"/>
      <c r="AG1831" s="322"/>
      <c r="AH1831" s="322"/>
      <c r="AI1831" s="322"/>
      <c r="AJ1831" s="322"/>
      <c r="AK1831" s="322"/>
      <c r="AL1831" s="322"/>
      <c r="AM1831" s="322"/>
      <c r="AN1831" s="322"/>
      <c r="AO1831" s="322"/>
      <c r="AP1831" s="322"/>
      <c r="AQ1831" s="322"/>
      <c r="AR1831" s="322"/>
      <c r="AS1831" s="322"/>
      <c r="AT1831" s="322"/>
      <c r="AU1831" s="476"/>
      <c r="AV1831" s="477"/>
      <c r="AW1831" s="477"/>
      <c r="AX1831" s="487"/>
      <c r="AY1831" s="1151">
        <f t="shared" si="1299"/>
        <v>3.8372985418265539</v>
      </c>
      <c r="AZ1831" s="1147">
        <v>3</v>
      </c>
      <c r="BA1831" s="494">
        <v>0.47982289423511104</v>
      </c>
      <c r="BB1831" s="494">
        <v>0.47982289423511104</v>
      </c>
      <c r="BC1831" s="494">
        <v>0.47982289423511104</v>
      </c>
      <c r="BD1831" s="494">
        <v>0.47982289423511104</v>
      </c>
      <c r="BE1831" s="494">
        <v>0.47982289423511104</v>
      </c>
      <c r="BF1831" s="494">
        <v>0.47982289423511104</v>
      </c>
      <c r="BG1831" s="494">
        <v>0.47982289423511104</v>
      </c>
      <c r="BH1831" s="494">
        <v>0.47982289423511104</v>
      </c>
      <c r="BI1831" s="477"/>
      <c r="BJ1831" s="477"/>
      <c r="BK1831" s="490" t="e">
        <f>AZ1831*#REF!</f>
        <v>#REF!</v>
      </c>
      <c r="BL1831" s="495" t="e">
        <v>#REF!</v>
      </c>
      <c r="BM1831" s="495" t="e">
        <v>#REF!</v>
      </c>
      <c r="BN1831" s="495" t="e">
        <v>#REF!</v>
      </c>
      <c r="BO1831" s="495" t="e">
        <v>#REF!</v>
      </c>
      <c r="BP1831" s="495" t="e">
        <v>#REF!</v>
      </c>
      <c r="BQ1831" s="495" t="e">
        <v>#REF!</v>
      </c>
      <c r="BR1831" s="495" t="e">
        <v>#REF!</v>
      </c>
      <c r="BS1831" s="495" t="e">
        <v>#REF!</v>
      </c>
      <c r="BT1831" s="477"/>
      <c r="BU1831" s="477"/>
      <c r="BV1831" s="477"/>
      <c r="BW1831" s="477"/>
      <c r="BX1831" s="477"/>
      <c r="BY1831" s="477"/>
    </row>
    <row r="1832" spans="1:77" ht="20">
      <c r="P1832" s="322"/>
      <c r="Q1832" s="322"/>
      <c r="R1832" s="322"/>
      <c r="S1832" s="322"/>
      <c r="T1832" s="322"/>
      <c r="U1832" s="322"/>
      <c r="V1832" s="322"/>
      <c r="W1832" s="322"/>
      <c r="X1832" s="322"/>
      <c r="Y1832" s="322"/>
      <c r="Z1832" s="322"/>
      <c r="AA1832" s="322"/>
      <c r="AB1832" s="322"/>
      <c r="AC1832" s="322"/>
      <c r="AD1832" s="322"/>
      <c r="AE1832" s="322"/>
      <c r="AF1832" s="322"/>
      <c r="AG1832" s="322"/>
      <c r="AH1832" s="322"/>
      <c r="AI1832" s="322"/>
      <c r="AJ1832" s="322"/>
      <c r="AK1832" s="322"/>
      <c r="AL1832" s="322"/>
      <c r="AM1832" s="322"/>
      <c r="AN1832" s="322"/>
      <c r="AO1832" s="322"/>
      <c r="AP1832" s="322"/>
      <c r="AQ1832" s="322"/>
      <c r="AR1832" s="322"/>
      <c r="AS1832" s="322"/>
      <c r="AT1832" s="322"/>
      <c r="AU1832" s="476"/>
      <c r="AV1832" s="477"/>
      <c r="AW1832" s="477"/>
      <c r="AX1832" s="487"/>
      <c r="AY1832" s="1151">
        <f t="shared" si="1299"/>
        <v>3.9012535175236627</v>
      </c>
      <c r="AZ1832" s="1147">
        <v>3.05</v>
      </c>
      <c r="BA1832" s="494">
        <v>0.47982289423511104</v>
      </c>
      <c r="BB1832" s="494">
        <v>0.47982289423511104</v>
      </c>
      <c r="BC1832" s="494">
        <v>0.47982289423511104</v>
      </c>
      <c r="BD1832" s="494">
        <v>0.47982289423511104</v>
      </c>
      <c r="BE1832" s="494">
        <v>0.47982289423511104</v>
      </c>
      <c r="BF1832" s="494">
        <v>0.47982289423511104</v>
      </c>
      <c r="BG1832" s="494">
        <v>0.47982289423511104</v>
      </c>
      <c r="BH1832" s="494">
        <v>0.47982289423511104</v>
      </c>
      <c r="BI1832" s="477"/>
      <c r="BJ1832" s="477"/>
      <c r="BK1832" s="490" t="e">
        <f>AZ1832*#REF!</f>
        <v>#REF!</v>
      </c>
      <c r="BL1832" s="495" t="e">
        <v>#REF!</v>
      </c>
      <c r="BM1832" s="495" t="e">
        <v>#REF!</v>
      </c>
      <c r="BN1832" s="495" t="e">
        <v>#REF!</v>
      </c>
      <c r="BO1832" s="495" t="e">
        <v>#REF!</v>
      </c>
      <c r="BP1832" s="495" t="e">
        <v>#REF!</v>
      </c>
      <c r="BQ1832" s="495" t="e">
        <v>#REF!</v>
      </c>
      <c r="BR1832" s="495" t="e">
        <v>#REF!</v>
      </c>
      <c r="BS1832" s="495" t="e">
        <v>#REF!</v>
      </c>
      <c r="BT1832" s="477"/>
      <c r="BU1832" s="477"/>
      <c r="BV1832" s="477"/>
      <c r="BW1832" s="477"/>
      <c r="BX1832" s="477"/>
      <c r="BY1832" s="477"/>
    </row>
    <row r="1833" spans="1:77">
      <c r="P1833" s="322"/>
      <c r="Q1833" s="322"/>
      <c r="R1833" s="322"/>
      <c r="S1833" s="322"/>
      <c r="T1833" s="322"/>
      <c r="U1833" s="322"/>
      <c r="V1833" s="322"/>
      <c r="W1833" s="322"/>
      <c r="X1833" s="322"/>
      <c r="Y1833" s="322"/>
      <c r="Z1833" s="322"/>
      <c r="AA1833" s="322"/>
      <c r="AB1833" s="322"/>
      <c r="AC1833" s="322"/>
      <c r="AD1833" s="322"/>
      <c r="AE1833" s="322"/>
      <c r="AF1833" s="322"/>
      <c r="AG1833" s="322"/>
      <c r="AH1833" s="322"/>
      <c r="AI1833" s="322"/>
      <c r="AJ1833" s="322"/>
      <c r="AK1833" s="322"/>
      <c r="AM1833" s="322"/>
      <c r="AN1833" s="322"/>
      <c r="AO1833" s="322"/>
      <c r="AP1833" s="322"/>
      <c r="AQ1833" s="322"/>
      <c r="AR1833" s="322"/>
      <c r="AS1833" s="322"/>
      <c r="AT1833" s="322"/>
      <c r="AU1833" s="476"/>
      <c r="AV1833" s="477"/>
      <c r="AW1833" s="477"/>
      <c r="AX1833" s="477"/>
      <c r="AY1833" s="477"/>
      <c r="AZ1833" s="477"/>
      <c r="BA1833" s="477"/>
      <c r="BB1833" s="477"/>
      <c r="BC1833" s="477"/>
      <c r="BD1833" s="477"/>
      <c r="BE1833" s="477"/>
      <c r="BF1833" s="477"/>
      <c r="BG1833" s="477"/>
      <c r="BH1833" s="477"/>
      <c r="BI1833" s="477"/>
      <c r="BJ1833" s="477"/>
      <c r="BK1833" s="477"/>
      <c r="BL1833" s="477"/>
      <c r="BM1833" s="477"/>
      <c r="BN1833" s="477"/>
      <c r="BO1833" s="477"/>
      <c r="BP1833" s="477"/>
      <c r="BQ1833" s="477"/>
      <c r="BR1833" s="477"/>
      <c r="BS1833" s="477"/>
      <c r="BT1833" s="477"/>
      <c r="BU1833" s="477"/>
      <c r="BV1833" s="477"/>
      <c r="BW1833" s="477"/>
      <c r="BX1833" s="477"/>
      <c r="BY1833" s="477"/>
    </row>
    <row r="1834" spans="1:77">
      <c r="A1834" s="76" t="s">
        <v>40</v>
      </c>
      <c r="P1834" s="322"/>
      <c r="Q1834" s="322"/>
      <c r="R1834" s="322"/>
      <c r="S1834" s="322"/>
      <c r="T1834" s="322"/>
      <c r="U1834" s="322"/>
      <c r="V1834" s="322"/>
      <c r="W1834" s="322"/>
      <c r="X1834" s="322"/>
      <c r="Y1834" s="322"/>
      <c r="Z1834" s="322"/>
      <c r="AA1834" s="322"/>
      <c r="AB1834" s="322"/>
      <c r="AC1834" s="322"/>
      <c r="AD1834" s="322"/>
      <c r="AE1834" s="322"/>
      <c r="AF1834" s="322"/>
      <c r="AG1834" s="322"/>
      <c r="AH1834" s="322"/>
      <c r="AI1834" s="322"/>
      <c r="AJ1834" s="322"/>
      <c r="AK1834" s="322"/>
      <c r="AM1834" s="322"/>
      <c r="AN1834" s="322"/>
      <c r="AO1834" s="322"/>
      <c r="AP1834" s="322"/>
      <c r="AQ1834" s="322"/>
      <c r="AR1834" s="322"/>
      <c r="AS1834" s="322"/>
      <c r="AT1834" s="322"/>
      <c r="AU1834" s="476"/>
      <c r="AV1834" s="477"/>
      <c r="AW1834" s="477"/>
      <c r="AX1834" s="477"/>
      <c r="AY1834" s="477"/>
      <c r="AZ1834" s="477"/>
      <c r="BA1834" s="477"/>
      <c r="BB1834" s="477"/>
      <c r="BC1834" s="477"/>
      <c r="BD1834" s="477"/>
      <c r="BE1834" s="477"/>
      <c r="BF1834" s="477"/>
      <c r="BG1834" s="477"/>
      <c r="BH1834" s="477"/>
      <c r="BI1834" s="477"/>
      <c r="BJ1834" s="477"/>
      <c r="BK1834" s="477"/>
      <c r="BL1834" s="477"/>
      <c r="BM1834" s="477"/>
      <c r="BN1834" s="477"/>
      <c r="BO1834" s="477"/>
      <c r="BP1834" s="477"/>
      <c r="BQ1834" s="477"/>
      <c r="BR1834" s="477"/>
      <c r="BS1834" s="477"/>
      <c r="BT1834" s="477"/>
      <c r="BU1834" s="477"/>
      <c r="BV1834" s="477"/>
      <c r="BW1834" s="477"/>
      <c r="BX1834" s="477"/>
      <c r="BY1834" s="477"/>
    </row>
    <row r="1835" spans="1:77">
      <c r="P1835" s="322"/>
      <c r="Q1835" s="322"/>
      <c r="R1835" s="322"/>
      <c r="S1835" s="322"/>
      <c r="T1835" s="322"/>
      <c r="U1835" s="322"/>
      <c r="V1835" s="322"/>
      <c r="W1835" s="322"/>
      <c r="X1835" s="322"/>
      <c r="Y1835" s="322"/>
      <c r="Z1835" s="322"/>
      <c r="AA1835" s="322"/>
      <c r="AB1835" s="322"/>
      <c r="AC1835" s="322"/>
      <c r="AD1835" s="322"/>
      <c r="AE1835" s="322"/>
      <c r="AF1835" s="322"/>
      <c r="AG1835" s="322"/>
      <c r="AH1835" s="322"/>
      <c r="AI1835" s="322"/>
      <c r="AJ1835" s="322"/>
      <c r="AK1835" s="322"/>
      <c r="AL1835" s="322"/>
      <c r="AM1835" s="322"/>
      <c r="AN1835" s="322"/>
      <c r="AO1835" s="322"/>
      <c r="AP1835" s="322"/>
      <c r="AQ1835" s="322"/>
      <c r="AR1835" s="322"/>
      <c r="AS1835" s="322"/>
      <c r="AT1835" s="322"/>
      <c r="AU1835" s="476"/>
      <c r="AV1835" s="477"/>
      <c r="AW1835" s="477"/>
      <c r="AX1835" s="477"/>
      <c r="AY1835" s="477"/>
      <c r="AZ1835" s="477"/>
      <c r="BA1835" s="477"/>
      <c r="BB1835" s="477"/>
      <c r="BC1835" s="477"/>
      <c r="BD1835" s="477"/>
      <c r="BE1835" s="477"/>
      <c r="BF1835" s="477"/>
      <c r="BG1835" s="477"/>
      <c r="BH1835" s="477"/>
      <c r="BI1835" s="477"/>
      <c r="BJ1835" s="477"/>
      <c r="BK1835" s="477"/>
      <c r="BL1835" s="477"/>
      <c r="BM1835" s="477"/>
      <c r="BN1835" s="477"/>
      <c r="BO1835" s="477"/>
      <c r="BP1835" s="477"/>
      <c r="BQ1835" s="477"/>
      <c r="BR1835" s="477"/>
      <c r="BS1835" s="477"/>
      <c r="BT1835" s="477"/>
      <c r="BU1835" s="477"/>
      <c r="BV1835" s="477"/>
      <c r="BW1835" s="477"/>
      <c r="BX1835" s="477"/>
      <c r="BY1835" s="477"/>
    </row>
    <row r="1836" spans="1:77" ht="16" thickBot="1">
      <c r="P1836" s="322"/>
      <c r="Q1836" s="322"/>
      <c r="R1836" s="322"/>
      <c r="S1836" s="322"/>
      <c r="T1836" s="322"/>
      <c r="U1836" s="322"/>
      <c r="V1836" s="322"/>
      <c r="W1836" s="322"/>
      <c r="X1836" s="322"/>
      <c r="Y1836" s="322"/>
      <c r="Z1836" s="322"/>
      <c r="AA1836" s="322"/>
      <c r="AB1836" s="322"/>
      <c r="AC1836" s="322"/>
      <c r="AD1836" s="322"/>
      <c r="AE1836" s="322"/>
      <c r="AF1836" s="322"/>
      <c r="AG1836" s="322"/>
      <c r="AH1836" s="322"/>
      <c r="AI1836" s="322"/>
      <c r="AJ1836" s="322"/>
      <c r="AK1836" s="322"/>
      <c r="AL1836" s="322"/>
      <c r="AM1836" s="322"/>
      <c r="AN1836" s="322"/>
      <c r="AO1836" s="322"/>
      <c r="AP1836" s="322"/>
      <c r="AQ1836" s="322"/>
      <c r="AR1836" s="322"/>
      <c r="AS1836" s="322"/>
      <c r="AT1836" s="322"/>
      <c r="AU1836" s="479"/>
      <c r="AV1836" s="480"/>
      <c r="AW1836" s="480"/>
      <c r="AX1836" s="480"/>
      <c r="AY1836" s="480"/>
      <c r="AZ1836" s="480"/>
      <c r="BA1836" s="480"/>
      <c r="BB1836" s="480"/>
      <c r="BC1836" s="480"/>
      <c r="BD1836" s="480"/>
      <c r="BE1836" s="480"/>
      <c r="BF1836" s="480"/>
      <c r="BG1836" s="480"/>
      <c r="BH1836" s="480"/>
      <c r="BI1836" s="480"/>
      <c r="BJ1836" s="480"/>
      <c r="BK1836" s="480"/>
      <c r="BL1836" s="480"/>
      <c r="BM1836" s="480"/>
      <c r="BN1836" s="480"/>
      <c r="BO1836" s="480"/>
      <c r="BP1836" s="480"/>
      <c r="BQ1836" s="480"/>
      <c r="BR1836" s="480"/>
      <c r="BS1836" s="480"/>
      <c r="BT1836" s="480"/>
      <c r="BU1836" s="480"/>
      <c r="BV1836" s="480"/>
      <c r="BW1836" s="480"/>
      <c r="BX1836" s="480"/>
      <c r="BY1836" s="480"/>
    </row>
    <row r="1837" spans="1:77">
      <c r="P1837" s="322"/>
      <c r="Q1837" s="322"/>
      <c r="R1837" s="322"/>
      <c r="S1837" s="322"/>
      <c r="T1837" s="322"/>
      <c r="U1837" s="322"/>
      <c r="V1837" s="322"/>
      <c r="W1837" s="322"/>
      <c r="X1837" s="322"/>
      <c r="Y1837" s="322"/>
      <c r="Z1837" s="322"/>
      <c r="AA1837" s="322"/>
      <c r="AB1837" s="322"/>
      <c r="AC1837" s="322"/>
      <c r="AD1837" s="322"/>
      <c r="AE1837" s="322"/>
      <c r="AF1837" s="322"/>
      <c r="AG1837" s="322"/>
      <c r="AH1837" s="322"/>
      <c r="AI1837" s="322"/>
      <c r="AJ1837" s="322"/>
      <c r="AK1837" s="322"/>
      <c r="AL1837" s="322"/>
      <c r="AM1837" s="322"/>
      <c r="AN1837" s="322"/>
      <c r="AO1837" s="322"/>
      <c r="AP1837" s="322"/>
      <c r="AQ1837" s="322"/>
      <c r="AR1837" s="322"/>
      <c r="AS1837" s="322"/>
      <c r="AT1837" s="322"/>
    </row>
    <row r="1838" spans="1:77" ht="16" thickBot="1">
      <c r="P1838" s="322"/>
      <c r="Q1838" s="322"/>
      <c r="R1838" s="322"/>
      <c r="S1838" s="322"/>
      <c r="T1838" s="322"/>
      <c r="U1838" s="322"/>
      <c r="V1838" s="322"/>
      <c r="W1838" s="322"/>
      <c r="X1838" s="322"/>
      <c r="Y1838" s="322"/>
      <c r="Z1838" s="322"/>
      <c r="AA1838" s="322"/>
      <c r="AB1838" s="322"/>
      <c r="AC1838" s="322"/>
      <c r="AD1838" s="322"/>
      <c r="AE1838" s="322"/>
      <c r="AF1838" s="322"/>
      <c r="AG1838" s="322"/>
      <c r="AH1838" s="322"/>
      <c r="AI1838" s="322"/>
      <c r="AJ1838" s="322"/>
      <c r="AK1838" s="322"/>
      <c r="AL1838" s="322"/>
      <c r="AM1838" s="322"/>
      <c r="AN1838" s="322"/>
      <c r="AO1838" s="322"/>
      <c r="AP1838" s="322"/>
      <c r="AQ1838" s="322"/>
      <c r="AR1838" s="322"/>
      <c r="AS1838" s="322"/>
      <c r="AT1838" s="322"/>
    </row>
    <row r="1839" spans="1:77">
      <c r="P1839" s="322"/>
      <c r="Q1839" s="322"/>
      <c r="R1839" s="322"/>
      <c r="S1839" s="322"/>
      <c r="T1839" s="322"/>
      <c r="U1839" s="322"/>
      <c r="V1839" s="322"/>
      <c r="W1839" s="322"/>
      <c r="X1839" s="322"/>
      <c r="Y1839" s="322"/>
      <c r="Z1839" s="322"/>
      <c r="AA1839" s="322"/>
      <c r="AB1839" s="322"/>
      <c r="AC1839" s="322"/>
      <c r="AD1839" s="322"/>
      <c r="AE1839" s="322"/>
      <c r="AF1839" s="322"/>
      <c r="AG1839" s="322"/>
      <c r="AH1839" s="322"/>
      <c r="AI1839" s="322"/>
      <c r="AJ1839" s="322"/>
      <c r="AK1839" s="322"/>
      <c r="AL1839" s="322"/>
      <c r="AM1839" s="322"/>
      <c r="AN1839" s="322"/>
      <c r="AO1839" s="322"/>
      <c r="AP1839" s="322"/>
      <c r="AQ1839" s="322"/>
      <c r="AR1839" s="322"/>
      <c r="AS1839" s="322"/>
      <c r="AT1839" s="322"/>
      <c r="AU1839" s="491" t="s">
        <v>544</v>
      </c>
      <c r="AV1839" s="474"/>
      <c r="AW1839" s="474"/>
      <c r="AX1839" s="474"/>
      <c r="AY1839" s="474"/>
      <c r="AZ1839" s="474"/>
      <c r="BA1839" s="474"/>
      <c r="BB1839" s="474"/>
      <c r="BC1839" s="474"/>
      <c r="BD1839" s="474"/>
      <c r="BE1839" s="474"/>
      <c r="BF1839" s="474"/>
      <c r="BG1839" s="474"/>
      <c r="BH1839" s="474"/>
      <c r="BI1839" s="474"/>
      <c r="BJ1839" s="474"/>
      <c r="BK1839" s="474"/>
      <c r="BL1839" s="474"/>
      <c r="BM1839" s="474"/>
      <c r="BN1839" s="474"/>
      <c r="BO1839" s="474"/>
      <c r="BP1839" s="474"/>
      <c r="BQ1839" s="474"/>
      <c r="BR1839" s="474"/>
      <c r="BS1839" s="474"/>
      <c r="BT1839" s="474"/>
      <c r="BU1839" s="474"/>
      <c r="BV1839" s="474"/>
      <c r="BW1839" s="474"/>
      <c r="BX1839" s="474"/>
      <c r="BY1839" s="474"/>
    </row>
    <row r="1840" spans="1:77">
      <c r="P1840" s="322"/>
      <c r="Q1840" s="322"/>
      <c r="R1840" s="322"/>
      <c r="S1840" s="322"/>
      <c r="T1840" s="322"/>
      <c r="U1840" s="322"/>
      <c r="V1840" s="322"/>
      <c r="W1840" s="322"/>
      <c r="X1840" s="322"/>
      <c r="Y1840" s="322"/>
      <c r="Z1840" s="322"/>
      <c r="AA1840" s="322"/>
      <c r="AB1840" s="322"/>
      <c r="AC1840" s="322"/>
      <c r="AD1840" s="322"/>
      <c r="AE1840" s="322"/>
      <c r="AF1840" s="322"/>
      <c r="AG1840" s="322"/>
      <c r="AH1840" s="322"/>
      <c r="AI1840" s="322"/>
      <c r="AJ1840" s="322"/>
      <c r="AK1840" s="322"/>
      <c r="AL1840" s="322"/>
      <c r="AM1840" s="322"/>
      <c r="AN1840" s="322"/>
      <c r="AO1840" s="322"/>
      <c r="AP1840" s="322"/>
      <c r="AQ1840" s="322"/>
      <c r="AR1840" s="322"/>
      <c r="AS1840" s="322"/>
      <c r="AT1840" s="322"/>
      <c r="AU1840" s="476"/>
      <c r="AV1840" s="477"/>
      <c r="AW1840" s="477"/>
      <c r="AX1840" s="477" t="s">
        <v>959</v>
      </c>
      <c r="AY1840" s="477"/>
      <c r="AZ1840" s="477"/>
      <c r="BA1840" s="477"/>
      <c r="BB1840" s="477"/>
      <c r="BC1840" s="477"/>
      <c r="BD1840" s="477"/>
      <c r="BE1840" s="477"/>
      <c r="BF1840" s="477"/>
      <c r="BG1840" s="477"/>
      <c r="BH1840" s="477"/>
      <c r="BI1840" s="477"/>
      <c r="BJ1840" s="477"/>
      <c r="BK1840" s="477"/>
      <c r="BL1840" s="477"/>
      <c r="BM1840" s="477"/>
      <c r="BN1840" s="477"/>
      <c r="BO1840" s="477"/>
      <c r="BP1840" s="477"/>
      <c r="BQ1840" s="477"/>
      <c r="BR1840" s="477"/>
      <c r="BS1840" s="477"/>
      <c r="BT1840" s="477"/>
      <c r="BU1840" s="477"/>
      <c r="BV1840" s="477"/>
      <c r="BW1840" s="477"/>
      <c r="BX1840" s="477"/>
      <c r="BY1840" s="477"/>
    </row>
    <row r="1841" spans="3:77">
      <c r="P1841" s="322"/>
      <c r="Q1841" s="322"/>
      <c r="R1841" s="322"/>
      <c r="S1841" s="322"/>
      <c r="T1841" s="322"/>
      <c r="U1841" s="322"/>
      <c r="V1841" s="322"/>
      <c r="W1841" s="322"/>
      <c r="X1841" s="322"/>
      <c r="Y1841" s="322"/>
      <c r="Z1841" s="322"/>
      <c r="AA1841" s="322"/>
      <c r="AB1841" s="322"/>
      <c r="AC1841" s="322"/>
      <c r="AD1841" s="322"/>
      <c r="AE1841" s="322"/>
      <c r="AF1841" s="322"/>
      <c r="AG1841" s="322"/>
      <c r="AH1841" s="322"/>
      <c r="AI1841" s="322"/>
      <c r="AJ1841" s="322"/>
      <c r="AK1841" s="322"/>
      <c r="AL1841" s="322"/>
      <c r="AM1841" s="322"/>
      <c r="AN1841" s="322"/>
      <c r="AO1841" s="322"/>
      <c r="AP1841" s="322"/>
      <c r="AQ1841" s="322"/>
      <c r="AR1841" s="322"/>
      <c r="AS1841" s="322"/>
      <c r="AT1841" s="322"/>
      <c r="AU1841" s="501" t="s">
        <v>552</v>
      </c>
      <c r="AV1841" s="477" t="s">
        <v>551</v>
      </c>
      <c r="AW1841" s="498" t="s">
        <v>549</v>
      </c>
      <c r="AX1841" s="498" t="s">
        <v>550</v>
      </c>
      <c r="AY1841" s="477"/>
      <c r="AZ1841" s="477"/>
      <c r="BA1841" s="1157">
        <v>133.49352556401016</v>
      </c>
      <c r="BB1841" s="1157">
        <v>146.84287812041117</v>
      </c>
      <c r="BC1841" s="1157">
        <v>160.19223067681219</v>
      </c>
      <c r="BD1841" s="1157">
        <v>173.5415832332132</v>
      </c>
      <c r="BE1841" s="1157">
        <v>186.89093578961422</v>
      </c>
      <c r="BF1841" s="1157">
        <v>200.24028834601523</v>
      </c>
      <c r="BG1841" s="1157">
        <v>213.58964090241625</v>
      </c>
      <c r="BH1841" s="1157">
        <v>226.93899345881727</v>
      </c>
      <c r="BI1841" s="477"/>
      <c r="BJ1841" s="477"/>
      <c r="BK1841" s="477"/>
      <c r="BL1841" s="490" t="e">
        <f>BA1841*#REF!</f>
        <v>#REF!</v>
      </c>
      <c r="BM1841" s="490" t="e">
        <f>BB1841*#REF!</f>
        <v>#REF!</v>
      </c>
      <c r="BN1841" s="490" t="e">
        <f>BC1841*#REF!</f>
        <v>#REF!</v>
      </c>
      <c r="BO1841" s="490" t="e">
        <f>BD1841*#REF!</f>
        <v>#REF!</v>
      </c>
      <c r="BP1841" s="490" t="e">
        <f>BE1841*#REF!</f>
        <v>#REF!</v>
      </c>
      <c r="BQ1841" s="490" t="e">
        <f>BF1841*#REF!</f>
        <v>#REF!</v>
      </c>
      <c r="BR1841" s="490" t="e">
        <f>BG1841*#REF!</f>
        <v>#REF!</v>
      </c>
      <c r="BS1841" s="490" t="e">
        <f>BH1841*#REF!</f>
        <v>#REF!</v>
      </c>
      <c r="BT1841" s="477"/>
      <c r="BU1841" s="477"/>
      <c r="BV1841" s="477"/>
      <c r="BW1841" s="477"/>
      <c r="BX1841" s="477"/>
      <c r="BY1841" s="477"/>
    </row>
    <row r="1842" spans="3:77">
      <c r="P1842" s="322"/>
      <c r="Q1842" s="322"/>
      <c r="R1842" s="322"/>
      <c r="S1842" s="322"/>
      <c r="T1842" s="322"/>
      <c r="U1842" s="322"/>
      <c r="V1842" s="322"/>
      <c r="W1842" s="322"/>
      <c r="X1842" s="322"/>
      <c r="Y1842" s="322"/>
      <c r="Z1842" s="322"/>
      <c r="AA1842" s="322"/>
      <c r="AB1842" s="322"/>
      <c r="AC1842" s="322"/>
      <c r="AD1842" s="322"/>
      <c r="AE1842" s="322"/>
      <c r="AF1842" s="322"/>
      <c r="AG1842" s="322"/>
      <c r="AH1842" s="322"/>
      <c r="AI1842" s="322"/>
      <c r="AJ1842" s="322"/>
      <c r="AK1842" s="322"/>
      <c r="AL1842" s="322"/>
      <c r="AM1842" s="322"/>
      <c r="AN1842" s="322"/>
      <c r="AO1842" s="322"/>
      <c r="AP1842" s="322"/>
      <c r="AQ1842" s="322"/>
      <c r="AR1842" s="322"/>
      <c r="AS1842" s="322"/>
      <c r="AT1842" s="322"/>
      <c r="AU1842" s="500">
        <v>2.8</v>
      </c>
      <c r="AV1842" s="499">
        <v>4.7</v>
      </c>
      <c r="AW1842" s="499">
        <v>4.4000000000000004</v>
      </c>
      <c r="AX1842" s="499">
        <v>4</v>
      </c>
      <c r="AY1842" s="499">
        <v>4</v>
      </c>
      <c r="AZ1842" s="1158">
        <v>3.270591376318249</v>
      </c>
      <c r="BA1842" s="485">
        <f>BA1708*$AY$1842</f>
        <v>19139.357788906927</v>
      </c>
      <c r="BB1842" s="485">
        <f t="shared" ref="BB1842:BH1842" si="1300">BB1708*$AY$1842</f>
        <v>19139.357788906927</v>
      </c>
      <c r="BC1842" s="485">
        <f t="shared" si="1300"/>
        <v>19139.357788906927</v>
      </c>
      <c r="BD1842" s="485">
        <f t="shared" si="1300"/>
        <v>19139.357788906927</v>
      </c>
      <c r="BE1842" s="485">
        <f t="shared" si="1300"/>
        <v>19139.357788906927</v>
      </c>
      <c r="BF1842" s="485">
        <f t="shared" si="1300"/>
        <v>19139.357788906927</v>
      </c>
      <c r="BG1842" s="485">
        <f t="shared" si="1300"/>
        <v>19139.357788906927</v>
      </c>
      <c r="BH1842" s="485">
        <f t="shared" si="1300"/>
        <v>19139.357788906927</v>
      </c>
      <c r="BI1842" s="477"/>
      <c r="BJ1842" s="496">
        <v>3.8</v>
      </c>
      <c r="BK1842" s="490" t="e">
        <f>AZ1842*#REF!</f>
        <v>#REF!</v>
      </c>
      <c r="BL1842" s="485" t="e">
        <f t="shared" ref="BL1842:BS1842" si="1301">BL1708*$AY$1842</f>
        <v>#REF!</v>
      </c>
      <c r="BM1842" s="485" t="e">
        <f t="shared" si="1301"/>
        <v>#REF!</v>
      </c>
      <c r="BN1842" s="485" t="e">
        <f t="shared" si="1301"/>
        <v>#REF!</v>
      </c>
      <c r="BO1842" s="485" t="e">
        <f t="shared" si="1301"/>
        <v>#REF!</v>
      </c>
      <c r="BP1842" s="485" t="e">
        <f t="shared" si="1301"/>
        <v>#REF!</v>
      </c>
      <c r="BQ1842" s="485" t="e">
        <f t="shared" si="1301"/>
        <v>#REF!</v>
      </c>
      <c r="BR1842" s="485" t="e">
        <f t="shared" si="1301"/>
        <v>#REF!</v>
      </c>
      <c r="BS1842" s="485" t="e">
        <f t="shared" si="1301"/>
        <v>#REF!</v>
      </c>
      <c r="BT1842" s="477"/>
      <c r="BU1842" s="477"/>
      <c r="BV1842" s="477"/>
      <c r="BW1842" s="477"/>
      <c r="BX1842" s="477"/>
      <c r="BY1842" s="477"/>
    </row>
    <row r="1843" spans="3:77">
      <c r="P1843" s="322"/>
      <c r="Q1843" s="322"/>
      <c r="R1843" s="322"/>
      <c r="S1843" s="322"/>
      <c r="T1843" s="322"/>
      <c r="U1843" s="322"/>
      <c r="V1843" s="322"/>
      <c r="W1843" s="322"/>
      <c r="X1843" s="322"/>
      <c r="Y1843" s="322"/>
      <c r="Z1843" s="322"/>
      <c r="AA1843" s="322"/>
      <c r="AB1843" s="322"/>
      <c r="AC1843" s="322"/>
      <c r="AD1843" s="322"/>
      <c r="AE1843" s="322"/>
      <c r="AF1843" s="322"/>
      <c r="AG1843" s="322"/>
      <c r="AH1843" s="322"/>
      <c r="AI1843" s="322"/>
      <c r="AJ1843" s="322"/>
      <c r="AK1843" s="322"/>
      <c r="AL1843" s="322"/>
      <c r="AM1843" s="322"/>
      <c r="AN1843" s="322"/>
      <c r="AO1843" s="322"/>
      <c r="AP1843" s="322"/>
      <c r="AQ1843" s="322"/>
      <c r="AR1843" s="322"/>
      <c r="AS1843" s="322"/>
      <c r="AT1843" s="322"/>
      <c r="AU1843" s="500">
        <v>2.8</v>
      </c>
      <c r="AV1843" s="499">
        <v>4.7</v>
      </c>
      <c r="AW1843" s="499">
        <v>4.4000000000000004</v>
      </c>
      <c r="AX1843" s="499">
        <v>4</v>
      </c>
      <c r="AY1843" s="499">
        <v>4</v>
      </c>
      <c r="AZ1843" s="1158">
        <v>3.3373381391002539</v>
      </c>
      <c r="BA1843" s="485">
        <f t="shared" ref="BA1843:BH1843" si="1302">BA1709*$AY$1843</f>
        <v>19139.357788906927</v>
      </c>
      <c r="BB1843" s="485">
        <f t="shared" si="1302"/>
        <v>19139.357788906927</v>
      </c>
      <c r="BC1843" s="485">
        <f t="shared" si="1302"/>
        <v>19139.357788906927</v>
      </c>
      <c r="BD1843" s="485">
        <f t="shared" si="1302"/>
        <v>19139.357788906927</v>
      </c>
      <c r="BE1843" s="485">
        <f t="shared" si="1302"/>
        <v>19139.357788906927</v>
      </c>
      <c r="BF1843" s="485">
        <f t="shared" si="1302"/>
        <v>19139.357788906927</v>
      </c>
      <c r="BG1843" s="485">
        <f t="shared" si="1302"/>
        <v>19139.357788906927</v>
      </c>
      <c r="BH1843" s="485">
        <f t="shared" si="1302"/>
        <v>19139.357788906927</v>
      </c>
      <c r="BI1843" s="477"/>
      <c r="BJ1843" s="496">
        <v>3.8</v>
      </c>
      <c r="BK1843" s="490" t="e">
        <f>AZ1843*#REF!</f>
        <v>#REF!</v>
      </c>
      <c r="BL1843" s="485" t="e">
        <f t="shared" ref="BL1843:BS1843" si="1303">BL1709*$AY$1843</f>
        <v>#REF!</v>
      </c>
      <c r="BM1843" s="485" t="e">
        <f t="shared" si="1303"/>
        <v>#REF!</v>
      </c>
      <c r="BN1843" s="485" t="e">
        <f t="shared" si="1303"/>
        <v>#REF!</v>
      </c>
      <c r="BO1843" s="485" t="e">
        <f t="shared" si="1303"/>
        <v>#REF!</v>
      </c>
      <c r="BP1843" s="485" t="e">
        <f t="shared" si="1303"/>
        <v>#REF!</v>
      </c>
      <c r="BQ1843" s="485" t="e">
        <f t="shared" si="1303"/>
        <v>#REF!</v>
      </c>
      <c r="BR1843" s="485" t="e">
        <f t="shared" si="1303"/>
        <v>#REF!</v>
      </c>
      <c r="BS1843" s="485" t="e">
        <f t="shared" si="1303"/>
        <v>#REF!</v>
      </c>
      <c r="BT1843" s="477"/>
      <c r="BU1843" s="477"/>
      <c r="BV1843" s="477"/>
      <c r="BW1843" s="477"/>
      <c r="BX1843" s="477"/>
      <c r="BY1843" s="477"/>
    </row>
    <row r="1844" spans="3:77">
      <c r="P1844" s="322"/>
      <c r="Q1844" s="322"/>
      <c r="R1844" s="322"/>
      <c r="S1844" s="322"/>
      <c r="T1844" s="322"/>
      <c r="U1844" s="322"/>
      <c r="V1844" s="322"/>
      <c r="W1844" s="322"/>
      <c r="X1844" s="322"/>
      <c r="Y1844" s="322"/>
      <c r="Z1844" s="322"/>
      <c r="AA1844" s="322"/>
      <c r="AB1844" s="322"/>
      <c r="AC1844" s="322"/>
      <c r="AD1844" s="322"/>
      <c r="AE1844" s="322"/>
      <c r="AF1844" s="322"/>
      <c r="AG1844" s="322"/>
      <c r="AH1844" s="322"/>
      <c r="AI1844" s="322"/>
      <c r="AJ1844" s="322"/>
      <c r="AK1844" s="322"/>
      <c r="AL1844" s="322"/>
      <c r="AM1844" s="322"/>
      <c r="AN1844" s="322"/>
      <c r="AO1844" s="322"/>
      <c r="AP1844" s="322"/>
      <c r="AQ1844" s="322"/>
      <c r="AR1844" s="322"/>
      <c r="AS1844" s="322"/>
      <c r="AT1844" s="322"/>
      <c r="AU1844" s="500">
        <v>2.8</v>
      </c>
      <c r="AV1844" s="499">
        <v>4.7</v>
      </c>
      <c r="AW1844" s="499">
        <v>4.4000000000000004</v>
      </c>
      <c r="AX1844" s="499">
        <v>4</v>
      </c>
      <c r="AY1844" s="499">
        <v>4</v>
      </c>
      <c r="AZ1844" s="1158">
        <v>3.4040849018822583</v>
      </c>
      <c r="BA1844" s="485">
        <f t="shared" ref="BA1844:BH1844" si="1304">BA1710*$AY$1844</f>
        <v>19139.357788906927</v>
      </c>
      <c r="BB1844" s="485">
        <f t="shared" si="1304"/>
        <v>19139.357788906927</v>
      </c>
      <c r="BC1844" s="485">
        <f t="shared" si="1304"/>
        <v>19139.357788906927</v>
      </c>
      <c r="BD1844" s="485">
        <f t="shared" si="1304"/>
        <v>19139.357788906927</v>
      </c>
      <c r="BE1844" s="485">
        <f t="shared" si="1304"/>
        <v>19139.357788906927</v>
      </c>
      <c r="BF1844" s="485">
        <f t="shared" si="1304"/>
        <v>19139.357788906927</v>
      </c>
      <c r="BG1844" s="485">
        <f t="shared" si="1304"/>
        <v>19139.357788906927</v>
      </c>
      <c r="BH1844" s="485">
        <f t="shared" si="1304"/>
        <v>19139.357788906927</v>
      </c>
      <c r="BI1844" s="477"/>
      <c r="BJ1844" s="496">
        <v>3.8</v>
      </c>
      <c r="BK1844" s="490" t="e">
        <f>AZ1844*#REF!</f>
        <v>#REF!</v>
      </c>
      <c r="BL1844" s="485" t="e">
        <f t="shared" ref="BL1844:BS1844" si="1305">BL1710*$AY$1844</f>
        <v>#REF!</v>
      </c>
      <c r="BM1844" s="485" t="e">
        <f t="shared" si="1305"/>
        <v>#REF!</v>
      </c>
      <c r="BN1844" s="485" t="e">
        <f t="shared" si="1305"/>
        <v>#REF!</v>
      </c>
      <c r="BO1844" s="485" t="e">
        <f t="shared" si="1305"/>
        <v>#REF!</v>
      </c>
      <c r="BP1844" s="485" t="e">
        <f t="shared" si="1305"/>
        <v>#REF!</v>
      </c>
      <c r="BQ1844" s="485" t="e">
        <f t="shared" si="1305"/>
        <v>#REF!</v>
      </c>
      <c r="BR1844" s="485" t="e">
        <f t="shared" si="1305"/>
        <v>#REF!</v>
      </c>
      <c r="BS1844" s="485" t="e">
        <f t="shared" si="1305"/>
        <v>#REF!</v>
      </c>
      <c r="BT1844" s="477"/>
      <c r="BU1844" s="477"/>
      <c r="BV1844" s="477"/>
      <c r="BW1844" s="477"/>
      <c r="BX1844" s="477"/>
      <c r="BY1844" s="477"/>
    </row>
    <row r="1845" spans="3:77">
      <c r="P1845" s="322"/>
      <c r="Q1845" s="322"/>
      <c r="R1845" s="322"/>
      <c r="S1845" s="322"/>
      <c r="T1845" s="322"/>
      <c r="U1845" s="322"/>
      <c r="V1845" s="322"/>
      <c r="W1845" s="322"/>
      <c r="X1845" s="322"/>
      <c r="Y1845" s="322"/>
      <c r="Z1845" s="322"/>
      <c r="AA1845" s="322"/>
      <c r="AB1845" s="322"/>
      <c r="AC1845" s="322"/>
      <c r="AD1845" s="322"/>
      <c r="AE1845" s="322"/>
      <c r="AF1845" s="322"/>
      <c r="AG1845" s="322"/>
      <c r="AH1845" s="322"/>
      <c r="AI1845" s="322"/>
      <c r="AJ1845" s="322"/>
      <c r="AK1845" s="322"/>
      <c r="AL1845" s="322"/>
      <c r="AM1845" s="322"/>
      <c r="AN1845" s="322"/>
      <c r="AO1845" s="322"/>
      <c r="AP1845" s="322"/>
      <c r="AQ1845" s="322"/>
      <c r="AR1845" s="322"/>
      <c r="AS1845" s="322"/>
      <c r="AT1845" s="322"/>
      <c r="AU1845" s="500">
        <v>2.8</v>
      </c>
      <c r="AV1845" s="499">
        <v>4.7</v>
      </c>
      <c r="AW1845" s="499">
        <v>4.4000000000000004</v>
      </c>
      <c r="AX1845" s="499">
        <v>4</v>
      </c>
      <c r="AY1845" s="499">
        <v>4</v>
      </c>
      <c r="AZ1845" s="1158">
        <v>3.4708316646642641</v>
      </c>
      <c r="BA1845" s="485">
        <f t="shared" ref="BA1845:BH1845" si="1306">BA1711*$AY$1845</f>
        <v>19139.357788906927</v>
      </c>
      <c r="BB1845" s="485">
        <f t="shared" si="1306"/>
        <v>19139.357788906927</v>
      </c>
      <c r="BC1845" s="485">
        <f t="shared" si="1306"/>
        <v>19139.357788906927</v>
      </c>
      <c r="BD1845" s="485">
        <f t="shared" si="1306"/>
        <v>19139.357788906927</v>
      </c>
      <c r="BE1845" s="485">
        <f t="shared" si="1306"/>
        <v>19139.357788906927</v>
      </c>
      <c r="BF1845" s="485">
        <f t="shared" si="1306"/>
        <v>19139.357788906927</v>
      </c>
      <c r="BG1845" s="485">
        <f t="shared" si="1306"/>
        <v>19139.357788906927</v>
      </c>
      <c r="BH1845" s="485">
        <f t="shared" si="1306"/>
        <v>19139.357788906927</v>
      </c>
      <c r="BI1845" s="477"/>
      <c r="BJ1845" s="496">
        <v>3.8</v>
      </c>
      <c r="BK1845" s="490" t="e">
        <f>AZ1845*#REF!</f>
        <v>#REF!</v>
      </c>
      <c r="BL1845" s="485" t="e">
        <f t="shared" ref="BL1845:BS1845" si="1307">BL1711*$AY$1845</f>
        <v>#REF!</v>
      </c>
      <c r="BM1845" s="485" t="e">
        <f t="shared" si="1307"/>
        <v>#REF!</v>
      </c>
      <c r="BN1845" s="485" t="e">
        <f t="shared" si="1307"/>
        <v>#REF!</v>
      </c>
      <c r="BO1845" s="485" t="e">
        <f t="shared" si="1307"/>
        <v>#REF!</v>
      </c>
      <c r="BP1845" s="485" t="e">
        <f t="shared" si="1307"/>
        <v>#REF!</v>
      </c>
      <c r="BQ1845" s="485" t="e">
        <f t="shared" si="1307"/>
        <v>#REF!</v>
      </c>
      <c r="BR1845" s="485" t="e">
        <f t="shared" si="1307"/>
        <v>#REF!</v>
      </c>
      <c r="BS1845" s="485" t="e">
        <f t="shared" si="1307"/>
        <v>#REF!</v>
      </c>
      <c r="BT1845" s="477"/>
      <c r="BU1845" s="477"/>
      <c r="BV1845" s="477"/>
      <c r="BW1845" s="477"/>
      <c r="BX1845" s="477"/>
      <c r="BY1845" s="477"/>
    </row>
    <row r="1846" spans="3:77">
      <c r="P1846" s="322"/>
      <c r="Q1846" s="322"/>
      <c r="R1846" s="322"/>
      <c r="S1846" s="322"/>
      <c r="T1846" s="322"/>
      <c r="U1846" s="322"/>
      <c r="V1846" s="322"/>
      <c r="W1846" s="322"/>
      <c r="X1846" s="322"/>
      <c r="Y1846" s="322"/>
      <c r="Z1846" s="322"/>
      <c r="AA1846" s="322"/>
      <c r="AB1846" s="322"/>
      <c r="AC1846" s="322"/>
      <c r="AD1846" s="322"/>
      <c r="AE1846" s="322"/>
      <c r="AF1846" s="322"/>
      <c r="AG1846" s="322"/>
      <c r="AH1846" s="322"/>
      <c r="AI1846" s="322"/>
      <c r="AJ1846" s="322"/>
      <c r="AK1846" s="322"/>
      <c r="AL1846" s="322"/>
      <c r="AM1846" s="322"/>
      <c r="AN1846" s="322"/>
      <c r="AO1846" s="322"/>
      <c r="AP1846" s="322"/>
      <c r="AQ1846" s="322"/>
      <c r="AR1846" s="322"/>
      <c r="AS1846" s="322"/>
      <c r="AT1846" s="322"/>
      <c r="AU1846" s="500">
        <v>2.8</v>
      </c>
      <c r="AV1846" s="499">
        <v>4.7</v>
      </c>
      <c r="AW1846" s="499">
        <v>4.4000000000000004</v>
      </c>
      <c r="AX1846" s="499">
        <v>4</v>
      </c>
      <c r="AY1846" s="499">
        <v>4</v>
      </c>
      <c r="AZ1846" s="1158">
        <v>3.5375784274462689</v>
      </c>
      <c r="BA1846" s="485">
        <f t="shared" ref="BA1846:BH1846" si="1308">BA1712*$AY$1846</f>
        <v>19139.357788906927</v>
      </c>
      <c r="BB1846" s="485">
        <f t="shared" si="1308"/>
        <v>19139.357788906927</v>
      </c>
      <c r="BC1846" s="485">
        <f t="shared" si="1308"/>
        <v>19139.357788906927</v>
      </c>
      <c r="BD1846" s="485">
        <f t="shared" si="1308"/>
        <v>19139.357788906927</v>
      </c>
      <c r="BE1846" s="485">
        <f t="shared" si="1308"/>
        <v>19139.357788906927</v>
      </c>
      <c r="BF1846" s="485">
        <f t="shared" si="1308"/>
        <v>19139.357788906927</v>
      </c>
      <c r="BG1846" s="485">
        <f t="shared" si="1308"/>
        <v>19139.357788906927</v>
      </c>
      <c r="BH1846" s="485">
        <f t="shared" si="1308"/>
        <v>19139.357788906927</v>
      </c>
      <c r="BI1846" s="477"/>
      <c r="BJ1846" s="496">
        <v>3.8</v>
      </c>
      <c r="BK1846" s="490" t="e">
        <f>AZ1846*#REF!</f>
        <v>#REF!</v>
      </c>
      <c r="BL1846" s="485" t="e">
        <f t="shared" ref="BL1846:BS1846" si="1309">BL1712*$AY$1846</f>
        <v>#REF!</v>
      </c>
      <c r="BM1846" s="485" t="e">
        <f t="shared" si="1309"/>
        <v>#REF!</v>
      </c>
      <c r="BN1846" s="485" t="e">
        <f t="shared" si="1309"/>
        <v>#REF!</v>
      </c>
      <c r="BO1846" s="485" t="e">
        <f t="shared" si="1309"/>
        <v>#REF!</v>
      </c>
      <c r="BP1846" s="485" t="e">
        <f t="shared" si="1309"/>
        <v>#REF!</v>
      </c>
      <c r="BQ1846" s="485" t="e">
        <f t="shared" si="1309"/>
        <v>#REF!</v>
      </c>
      <c r="BR1846" s="485" t="e">
        <f t="shared" si="1309"/>
        <v>#REF!</v>
      </c>
      <c r="BS1846" s="485" t="e">
        <f t="shared" si="1309"/>
        <v>#REF!</v>
      </c>
      <c r="BT1846" s="477"/>
      <c r="BU1846" s="477"/>
      <c r="BV1846" s="477"/>
      <c r="BW1846" s="477"/>
      <c r="BX1846" s="477"/>
      <c r="BY1846" s="477"/>
    </row>
    <row r="1847" spans="3:77">
      <c r="P1847" s="322"/>
      <c r="Q1847" s="322"/>
      <c r="R1847" s="322"/>
      <c r="S1847" s="322"/>
      <c r="T1847" s="322"/>
      <c r="U1847" s="322"/>
      <c r="V1847" s="322"/>
      <c r="W1847" s="322"/>
      <c r="X1847" s="322"/>
      <c r="Y1847" s="322"/>
      <c r="Z1847" s="322"/>
      <c r="AA1847" s="322"/>
      <c r="AB1847" s="322"/>
      <c r="AC1847" s="322"/>
      <c r="AD1847" s="322"/>
      <c r="AE1847" s="322"/>
      <c r="AF1847" s="322"/>
      <c r="AG1847" s="322"/>
      <c r="AH1847" s="322"/>
      <c r="AI1847" s="322"/>
      <c r="AJ1847" s="322"/>
      <c r="AK1847" s="322"/>
      <c r="AL1847" s="322"/>
      <c r="AM1847" s="322"/>
      <c r="AN1847" s="322"/>
      <c r="AO1847" s="322"/>
      <c r="AP1847" s="322"/>
      <c r="AQ1847" s="322"/>
      <c r="AR1847" s="322"/>
      <c r="AS1847" s="322"/>
      <c r="AT1847" s="322"/>
      <c r="AU1847" s="500">
        <v>2.8</v>
      </c>
      <c r="AV1847" s="499">
        <v>4.7</v>
      </c>
      <c r="AW1847" s="499">
        <v>4.4000000000000004</v>
      </c>
      <c r="AX1847" s="499">
        <v>4</v>
      </c>
      <c r="AY1847" s="499">
        <v>4</v>
      </c>
      <c r="AZ1847" s="1158">
        <v>3.6043251902282742</v>
      </c>
      <c r="BA1847" s="485">
        <f t="shared" ref="BA1847:BH1847" si="1310">BA1713*$AY$1847</f>
        <v>19139.357788906927</v>
      </c>
      <c r="BB1847" s="485">
        <f t="shared" si="1310"/>
        <v>19139.357788906927</v>
      </c>
      <c r="BC1847" s="485">
        <f t="shared" si="1310"/>
        <v>19139.357788906927</v>
      </c>
      <c r="BD1847" s="485">
        <f t="shared" si="1310"/>
        <v>19139.357788906927</v>
      </c>
      <c r="BE1847" s="485">
        <f t="shared" si="1310"/>
        <v>19139.357788906927</v>
      </c>
      <c r="BF1847" s="485">
        <f t="shared" si="1310"/>
        <v>19139.357788906927</v>
      </c>
      <c r="BG1847" s="485">
        <f t="shared" si="1310"/>
        <v>19139.357788906927</v>
      </c>
      <c r="BH1847" s="485">
        <f t="shared" si="1310"/>
        <v>19139.357788906927</v>
      </c>
      <c r="BI1847" s="477"/>
      <c r="BJ1847" s="496">
        <v>3.8</v>
      </c>
      <c r="BK1847" s="490" t="e">
        <f>AZ1847*#REF!</f>
        <v>#REF!</v>
      </c>
      <c r="BL1847" s="485" t="e">
        <f t="shared" ref="BL1847:BS1847" si="1311">BL1713*$AY$1847</f>
        <v>#REF!</v>
      </c>
      <c r="BM1847" s="485" t="e">
        <f t="shared" si="1311"/>
        <v>#REF!</v>
      </c>
      <c r="BN1847" s="485" t="e">
        <f t="shared" si="1311"/>
        <v>#REF!</v>
      </c>
      <c r="BO1847" s="485" t="e">
        <f t="shared" si="1311"/>
        <v>#REF!</v>
      </c>
      <c r="BP1847" s="485" t="e">
        <f t="shared" si="1311"/>
        <v>#REF!</v>
      </c>
      <c r="BQ1847" s="485" t="e">
        <f t="shared" si="1311"/>
        <v>#REF!</v>
      </c>
      <c r="BR1847" s="485" t="e">
        <f t="shared" si="1311"/>
        <v>#REF!</v>
      </c>
      <c r="BS1847" s="485" t="e">
        <f t="shared" si="1311"/>
        <v>#REF!</v>
      </c>
      <c r="BT1847" s="477"/>
      <c r="BU1847" s="477"/>
      <c r="BV1847" s="477"/>
      <c r="BW1847" s="477"/>
      <c r="BX1847" s="477"/>
      <c r="BY1847" s="477"/>
    </row>
    <row r="1848" spans="3:77">
      <c r="P1848" s="322"/>
      <c r="Q1848" s="322"/>
      <c r="R1848" s="322"/>
      <c r="S1848" s="322"/>
      <c r="T1848" s="322"/>
      <c r="U1848" s="322"/>
      <c r="V1848" s="322"/>
      <c r="W1848" s="322"/>
      <c r="X1848" s="322"/>
      <c r="Y1848" s="322"/>
      <c r="Z1848" s="322"/>
      <c r="AA1848" s="322"/>
      <c r="AB1848" s="322"/>
      <c r="AC1848" s="322"/>
      <c r="AD1848" s="322"/>
      <c r="AE1848" s="322"/>
      <c r="AF1848" s="322"/>
      <c r="AG1848" s="322"/>
      <c r="AH1848" s="322"/>
      <c r="AI1848" s="322"/>
      <c r="AJ1848" s="322"/>
      <c r="AK1848" s="322"/>
      <c r="AL1848" s="322"/>
      <c r="AM1848" s="322"/>
      <c r="AN1848" s="322"/>
      <c r="AO1848" s="322"/>
      <c r="AP1848" s="322"/>
      <c r="AQ1848" s="322"/>
      <c r="AR1848" s="322"/>
      <c r="AS1848" s="322"/>
      <c r="AT1848" s="322"/>
      <c r="AU1848" s="500">
        <v>2.8</v>
      </c>
      <c r="AV1848" s="499">
        <v>4.7</v>
      </c>
      <c r="AW1848" s="499">
        <v>4.4000000000000004</v>
      </c>
      <c r="AX1848" s="499">
        <v>4</v>
      </c>
      <c r="AY1848" s="499">
        <v>4</v>
      </c>
      <c r="AZ1848" s="1158">
        <v>3.6710719530102791</v>
      </c>
      <c r="BA1848" s="485">
        <f t="shared" ref="BA1848:BH1848" si="1312">BA1714*$AY$1848</f>
        <v>19139.357788906927</v>
      </c>
      <c r="BB1848" s="485">
        <f t="shared" si="1312"/>
        <v>19139.357788906927</v>
      </c>
      <c r="BC1848" s="485">
        <f t="shared" si="1312"/>
        <v>19139.357788906927</v>
      </c>
      <c r="BD1848" s="485">
        <f t="shared" si="1312"/>
        <v>19139.357788906927</v>
      </c>
      <c r="BE1848" s="485">
        <f t="shared" si="1312"/>
        <v>19139.357788906927</v>
      </c>
      <c r="BF1848" s="485">
        <f t="shared" si="1312"/>
        <v>19139.357788906927</v>
      </c>
      <c r="BG1848" s="485">
        <f t="shared" si="1312"/>
        <v>19139.357788906927</v>
      </c>
      <c r="BH1848" s="485">
        <f t="shared" si="1312"/>
        <v>19139.357788906927</v>
      </c>
      <c r="BI1848" s="477"/>
      <c r="BJ1848" s="496">
        <v>3.8</v>
      </c>
      <c r="BK1848" s="490" t="e">
        <f>AZ1848*#REF!</f>
        <v>#REF!</v>
      </c>
      <c r="BL1848" s="485" t="e">
        <f t="shared" ref="BL1848:BS1848" si="1313">BL1714*$AY$1848</f>
        <v>#REF!</v>
      </c>
      <c r="BM1848" s="485" t="e">
        <f t="shared" si="1313"/>
        <v>#REF!</v>
      </c>
      <c r="BN1848" s="485" t="e">
        <f t="shared" si="1313"/>
        <v>#REF!</v>
      </c>
      <c r="BO1848" s="485" t="e">
        <f t="shared" si="1313"/>
        <v>#REF!</v>
      </c>
      <c r="BP1848" s="485" t="e">
        <f t="shared" si="1313"/>
        <v>#REF!</v>
      </c>
      <c r="BQ1848" s="485" t="e">
        <f t="shared" si="1313"/>
        <v>#REF!</v>
      </c>
      <c r="BR1848" s="485" t="e">
        <f t="shared" si="1313"/>
        <v>#REF!</v>
      </c>
      <c r="BS1848" s="485" t="e">
        <f t="shared" si="1313"/>
        <v>#REF!</v>
      </c>
      <c r="BT1848" s="477"/>
      <c r="BU1848" s="477"/>
      <c r="BV1848" s="477"/>
      <c r="BW1848" s="477"/>
      <c r="BX1848" s="477"/>
      <c r="BY1848" s="477"/>
    </row>
    <row r="1849" spans="3:77">
      <c r="P1849" s="322"/>
      <c r="Q1849" s="322"/>
      <c r="R1849" s="322"/>
      <c r="S1849" s="322"/>
      <c r="T1849" s="322"/>
      <c r="U1849" s="322"/>
      <c r="V1849" s="322"/>
      <c r="W1849" s="322"/>
      <c r="X1849" s="322"/>
      <c r="Y1849" s="322"/>
      <c r="Z1849" s="322"/>
      <c r="AA1849" s="322"/>
      <c r="AB1849" s="322"/>
      <c r="AC1849" s="322"/>
      <c r="AD1849" s="322"/>
      <c r="AE1849" s="322"/>
      <c r="AF1849" s="322"/>
      <c r="AG1849" s="322"/>
      <c r="AH1849" s="322"/>
      <c r="AI1849" s="322"/>
      <c r="AJ1849" s="322"/>
      <c r="AK1849" s="322"/>
      <c r="AL1849" s="322"/>
      <c r="AM1849" s="322"/>
      <c r="AN1849" s="322"/>
      <c r="AO1849" s="322"/>
      <c r="AP1849" s="322"/>
      <c r="AQ1849" s="322"/>
      <c r="AR1849" s="322"/>
      <c r="AS1849" s="322"/>
      <c r="AT1849" s="322"/>
      <c r="AU1849" s="500">
        <v>2.8</v>
      </c>
      <c r="AV1849" s="499">
        <v>4.7</v>
      </c>
      <c r="AW1849" s="499">
        <v>4.4000000000000004</v>
      </c>
      <c r="AX1849" s="499">
        <v>4</v>
      </c>
      <c r="AY1849" s="499">
        <v>4</v>
      </c>
      <c r="AZ1849" s="1158">
        <v>3.737818715792284</v>
      </c>
      <c r="BA1849" s="485">
        <f t="shared" ref="BA1849:BH1849" si="1314">BA1715*$AY$1849</f>
        <v>19139.357788906927</v>
      </c>
      <c r="BB1849" s="485">
        <f t="shared" si="1314"/>
        <v>19139.357788906927</v>
      </c>
      <c r="BC1849" s="485">
        <f t="shared" si="1314"/>
        <v>19139.357788906927</v>
      </c>
      <c r="BD1849" s="485">
        <f t="shared" si="1314"/>
        <v>19139.357788906927</v>
      </c>
      <c r="BE1849" s="485">
        <f t="shared" si="1314"/>
        <v>19139.357788906927</v>
      </c>
      <c r="BF1849" s="485">
        <f t="shared" si="1314"/>
        <v>19139.357788906927</v>
      </c>
      <c r="BG1849" s="485">
        <f t="shared" si="1314"/>
        <v>19139.357788906927</v>
      </c>
      <c r="BH1849" s="485">
        <f t="shared" si="1314"/>
        <v>19139.357788906927</v>
      </c>
      <c r="BI1849" s="477"/>
      <c r="BJ1849" s="496">
        <v>3.8</v>
      </c>
      <c r="BK1849" s="490" t="e">
        <f>AZ1849*#REF!</f>
        <v>#REF!</v>
      </c>
      <c r="BL1849" s="485" t="e">
        <f t="shared" ref="BL1849:BS1849" si="1315">BL1715*$AY$1849</f>
        <v>#REF!</v>
      </c>
      <c r="BM1849" s="485" t="e">
        <f t="shared" si="1315"/>
        <v>#REF!</v>
      </c>
      <c r="BN1849" s="485" t="e">
        <f t="shared" si="1315"/>
        <v>#REF!</v>
      </c>
      <c r="BO1849" s="485" t="e">
        <f t="shared" si="1315"/>
        <v>#REF!</v>
      </c>
      <c r="BP1849" s="485" t="e">
        <f t="shared" si="1315"/>
        <v>#REF!</v>
      </c>
      <c r="BQ1849" s="485" t="e">
        <f t="shared" si="1315"/>
        <v>#REF!</v>
      </c>
      <c r="BR1849" s="485" t="e">
        <f t="shared" si="1315"/>
        <v>#REF!</v>
      </c>
      <c r="BS1849" s="485" t="e">
        <f t="shared" si="1315"/>
        <v>#REF!</v>
      </c>
      <c r="BT1849" s="477"/>
      <c r="BU1849" s="477"/>
      <c r="BV1849" s="477"/>
      <c r="BW1849" s="477"/>
      <c r="BX1849" s="477"/>
      <c r="BY1849" s="477"/>
    </row>
    <row r="1850" spans="3:77">
      <c r="P1850" s="322"/>
      <c r="Q1850" s="322"/>
      <c r="R1850" s="322"/>
      <c r="S1850" s="322"/>
      <c r="T1850" s="322"/>
      <c r="U1850" s="322"/>
      <c r="V1850" s="322"/>
      <c r="W1850" s="322"/>
      <c r="X1850" s="322"/>
      <c r="Y1850" s="322"/>
      <c r="Z1850" s="322"/>
      <c r="AA1850" s="322"/>
      <c r="AB1850" s="322"/>
      <c r="AC1850" s="322"/>
      <c r="AD1850" s="322"/>
      <c r="AE1850" s="322"/>
      <c r="AF1850" s="322"/>
      <c r="AG1850" s="322"/>
      <c r="AH1850" s="322"/>
      <c r="AI1850" s="322"/>
      <c r="AJ1850" s="322"/>
      <c r="AK1850" s="322"/>
      <c r="AL1850" s="322"/>
      <c r="AM1850" s="322"/>
      <c r="AN1850" s="322"/>
      <c r="AO1850" s="322"/>
      <c r="AP1850" s="322"/>
      <c r="AQ1850" s="322"/>
      <c r="AR1850" s="322"/>
      <c r="AS1850" s="322"/>
      <c r="AT1850" s="322"/>
      <c r="AU1850" s="500">
        <v>2.8</v>
      </c>
      <c r="AV1850" s="499">
        <v>4.7</v>
      </c>
      <c r="AW1850" s="499">
        <v>4.4000000000000004</v>
      </c>
      <c r="AX1850" s="499">
        <v>4</v>
      </c>
      <c r="AY1850" s="499">
        <v>4</v>
      </c>
      <c r="AZ1850" s="1158">
        <v>3.8045654785742893</v>
      </c>
      <c r="BA1850" s="485">
        <f t="shared" ref="BA1850:BH1850" si="1316">BA1716*$AY$1850</f>
        <v>19139.357788906927</v>
      </c>
      <c r="BB1850" s="485">
        <f t="shared" si="1316"/>
        <v>19139.357788906927</v>
      </c>
      <c r="BC1850" s="485">
        <f t="shared" si="1316"/>
        <v>19139.357788906927</v>
      </c>
      <c r="BD1850" s="485">
        <f t="shared" si="1316"/>
        <v>19139.357788906927</v>
      </c>
      <c r="BE1850" s="485">
        <f t="shared" si="1316"/>
        <v>19139.357788906927</v>
      </c>
      <c r="BF1850" s="485">
        <f t="shared" si="1316"/>
        <v>19139.357788906927</v>
      </c>
      <c r="BG1850" s="485">
        <f t="shared" si="1316"/>
        <v>19139.357788906927</v>
      </c>
      <c r="BH1850" s="485">
        <f t="shared" si="1316"/>
        <v>19139.357788906927</v>
      </c>
      <c r="BI1850" s="477"/>
      <c r="BJ1850" s="496">
        <v>3.8</v>
      </c>
      <c r="BK1850" s="490" t="e">
        <f>AZ1850*#REF!</f>
        <v>#REF!</v>
      </c>
      <c r="BL1850" s="485" t="e">
        <f t="shared" ref="BL1850:BS1850" si="1317">BL1716*$AY$1850</f>
        <v>#REF!</v>
      </c>
      <c r="BM1850" s="485" t="e">
        <f t="shared" si="1317"/>
        <v>#REF!</v>
      </c>
      <c r="BN1850" s="485" t="e">
        <f t="shared" si="1317"/>
        <v>#REF!</v>
      </c>
      <c r="BO1850" s="485" t="e">
        <f t="shared" si="1317"/>
        <v>#REF!</v>
      </c>
      <c r="BP1850" s="485" t="e">
        <f t="shared" si="1317"/>
        <v>#REF!</v>
      </c>
      <c r="BQ1850" s="485" t="e">
        <f t="shared" si="1317"/>
        <v>#REF!</v>
      </c>
      <c r="BR1850" s="485" t="e">
        <f t="shared" si="1317"/>
        <v>#REF!</v>
      </c>
      <c r="BS1850" s="485" t="e">
        <f t="shared" si="1317"/>
        <v>#REF!</v>
      </c>
      <c r="BT1850" s="477"/>
      <c r="BU1850" s="477"/>
      <c r="BV1850" s="477"/>
      <c r="BW1850" s="477"/>
      <c r="BX1850" s="477"/>
      <c r="BY1850" s="477"/>
    </row>
    <row r="1851" spans="3:77">
      <c r="P1851" s="322"/>
      <c r="Q1851" s="322"/>
      <c r="R1851" s="322"/>
      <c r="S1851" s="322"/>
      <c r="T1851" s="322"/>
      <c r="U1851" s="322"/>
      <c r="V1851" s="322"/>
      <c r="W1851" s="322"/>
      <c r="X1851" s="322"/>
      <c r="Y1851" s="322"/>
      <c r="Z1851" s="322"/>
      <c r="AA1851" s="322"/>
      <c r="AB1851" s="322"/>
      <c r="AC1851" s="322"/>
      <c r="AD1851" s="322"/>
      <c r="AE1851" s="322"/>
      <c r="AF1851" s="322"/>
      <c r="AG1851" s="322"/>
      <c r="AH1851" s="322"/>
      <c r="AI1851" s="322"/>
      <c r="AJ1851" s="322"/>
      <c r="AK1851" s="322"/>
      <c r="AL1851" s="322"/>
      <c r="AM1851" s="322"/>
      <c r="AN1851" s="322"/>
      <c r="AO1851" s="322"/>
      <c r="AP1851" s="322"/>
      <c r="AQ1851" s="322"/>
      <c r="AR1851" s="322"/>
      <c r="AS1851" s="322"/>
      <c r="AT1851" s="322"/>
      <c r="AU1851" s="500">
        <v>2.8</v>
      </c>
      <c r="AV1851" s="499">
        <v>4.7</v>
      </c>
      <c r="AW1851" s="499">
        <v>4.4000000000000004</v>
      </c>
      <c r="AX1851" s="499">
        <v>4</v>
      </c>
      <c r="AY1851" s="499">
        <v>4</v>
      </c>
      <c r="AZ1851" s="1158">
        <v>3.8713122413562941</v>
      </c>
      <c r="BA1851" s="485">
        <f t="shared" ref="BA1851:BH1851" si="1318">BA1717*$AY$1851</f>
        <v>19139.357788906927</v>
      </c>
      <c r="BB1851" s="485">
        <f t="shared" si="1318"/>
        <v>19139.357788906927</v>
      </c>
      <c r="BC1851" s="485">
        <f t="shared" si="1318"/>
        <v>19139.357788906927</v>
      </c>
      <c r="BD1851" s="485">
        <f t="shared" si="1318"/>
        <v>19139.357788906927</v>
      </c>
      <c r="BE1851" s="485">
        <f t="shared" si="1318"/>
        <v>19139.357788906927</v>
      </c>
      <c r="BF1851" s="485">
        <f t="shared" si="1318"/>
        <v>19139.357788906927</v>
      </c>
      <c r="BG1851" s="485">
        <f t="shared" si="1318"/>
        <v>19139.357788906927</v>
      </c>
      <c r="BH1851" s="485">
        <f t="shared" si="1318"/>
        <v>19139.357788906927</v>
      </c>
      <c r="BI1851" s="477"/>
      <c r="BJ1851" s="496">
        <v>3.8</v>
      </c>
      <c r="BK1851" s="490" t="e">
        <f>AZ1851*#REF!</f>
        <v>#REF!</v>
      </c>
      <c r="BL1851" s="485" t="e">
        <f t="shared" ref="BL1851:BS1851" si="1319">BL1717*$AY$1851</f>
        <v>#REF!</v>
      </c>
      <c r="BM1851" s="485" t="e">
        <f t="shared" si="1319"/>
        <v>#REF!</v>
      </c>
      <c r="BN1851" s="485" t="e">
        <f t="shared" si="1319"/>
        <v>#REF!</v>
      </c>
      <c r="BO1851" s="485" t="e">
        <f t="shared" si="1319"/>
        <v>#REF!</v>
      </c>
      <c r="BP1851" s="485" t="e">
        <f t="shared" si="1319"/>
        <v>#REF!</v>
      </c>
      <c r="BQ1851" s="485" t="e">
        <f t="shared" si="1319"/>
        <v>#REF!</v>
      </c>
      <c r="BR1851" s="485" t="e">
        <f t="shared" si="1319"/>
        <v>#REF!</v>
      </c>
      <c r="BS1851" s="485" t="e">
        <f t="shared" si="1319"/>
        <v>#REF!</v>
      </c>
      <c r="BT1851" s="477"/>
      <c r="BU1851" s="477"/>
      <c r="BV1851" s="477"/>
      <c r="BW1851" s="477"/>
      <c r="BX1851" s="477"/>
      <c r="BY1851" s="477"/>
    </row>
    <row r="1852" spans="3:77">
      <c r="P1852" s="322"/>
      <c r="Q1852" s="322"/>
      <c r="R1852" s="322"/>
      <c r="S1852" s="322"/>
      <c r="T1852" s="322"/>
      <c r="U1852" s="322"/>
      <c r="V1852" s="322"/>
      <c r="W1852" s="322"/>
      <c r="X1852" s="322"/>
      <c r="Y1852" s="322"/>
      <c r="Z1852" s="322"/>
      <c r="AA1852" s="322"/>
      <c r="AB1852" s="322"/>
      <c r="AC1852" s="322"/>
      <c r="AD1852" s="322"/>
      <c r="AE1852" s="322"/>
      <c r="AF1852" s="322"/>
      <c r="AG1852" s="322"/>
      <c r="AH1852" s="322"/>
      <c r="AI1852" s="322"/>
      <c r="AJ1852" s="322"/>
      <c r="AK1852" s="322"/>
      <c r="AL1852" s="322"/>
      <c r="AM1852" s="322"/>
      <c r="AN1852" s="322"/>
      <c r="AO1852" s="322"/>
      <c r="AP1852" s="322"/>
      <c r="AQ1852" s="322"/>
      <c r="AR1852" s="322"/>
      <c r="AS1852" s="322"/>
      <c r="AT1852" s="322"/>
      <c r="AU1852" s="500">
        <v>2.8</v>
      </c>
      <c r="AV1852" s="499">
        <v>4.7</v>
      </c>
      <c r="AW1852" s="499">
        <v>4.4000000000000004</v>
      </c>
      <c r="AX1852" s="499">
        <v>4</v>
      </c>
      <c r="AY1852" s="499">
        <v>4</v>
      </c>
      <c r="AZ1852" s="1158">
        <v>3.9380590041382995</v>
      </c>
      <c r="BA1852" s="485">
        <f t="shared" ref="BA1852:BH1852" si="1320">BA1718*$AY$1852</f>
        <v>19139.357788906927</v>
      </c>
      <c r="BB1852" s="485">
        <f t="shared" si="1320"/>
        <v>19139.357788906927</v>
      </c>
      <c r="BC1852" s="485">
        <f t="shared" si="1320"/>
        <v>19139.357788906927</v>
      </c>
      <c r="BD1852" s="485">
        <f t="shared" si="1320"/>
        <v>19139.357788906927</v>
      </c>
      <c r="BE1852" s="485">
        <f t="shared" si="1320"/>
        <v>19139.357788906927</v>
      </c>
      <c r="BF1852" s="485">
        <f t="shared" si="1320"/>
        <v>19139.357788906927</v>
      </c>
      <c r="BG1852" s="485">
        <f t="shared" si="1320"/>
        <v>19139.357788906927</v>
      </c>
      <c r="BH1852" s="485">
        <f t="shared" si="1320"/>
        <v>19139.357788906927</v>
      </c>
      <c r="BI1852" s="477"/>
      <c r="BJ1852" s="496">
        <v>3.8</v>
      </c>
      <c r="BK1852" s="490" t="e">
        <f>AZ1852*#REF!</f>
        <v>#REF!</v>
      </c>
      <c r="BL1852" s="485" t="e">
        <f t="shared" ref="BL1852:BS1852" si="1321">BL1718*$AY$1852</f>
        <v>#REF!</v>
      </c>
      <c r="BM1852" s="485" t="e">
        <f t="shared" si="1321"/>
        <v>#REF!</v>
      </c>
      <c r="BN1852" s="485" t="e">
        <f t="shared" si="1321"/>
        <v>#REF!</v>
      </c>
      <c r="BO1852" s="485" t="e">
        <f t="shared" si="1321"/>
        <v>#REF!</v>
      </c>
      <c r="BP1852" s="485" t="e">
        <f t="shared" si="1321"/>
        <v>#REF!</v>
      </c>
      <c r="BQ1852" s="485" t="e">
        <f t="shared" si="1321"/>
        <v>#REF!</v>
      </c>
      <c r="BR1852" s="485" t="e">
        <f t="shared" si="1321"/>
        <v>#REF!</v>
      </c>
      <c r="BS1852" s="485" t="e">
        <f t="shared" si="1321"/>
        <v>#REF!</v>
      </c>
      <c r="BT1852" s="477"/>
      <c r="BU1852" s="477"/>
      <c r="BV1852" s="477"/>
      <c r="BW1852" s="477"/>
      <c r="BX1852" s="477"/>
      <c r="BY1852" s="477"/>
    </row>
    <row r="1853" spans="3:77">
      <c r="C1853" s="95"/>
      <c r="D1853" s="96"/>
      <c r="E1853" s="134"/>
      <c r="P1853" s="322"/>
      <c r="Q1853" s="322"/>
      <c r="R1853" s="322"/>
      <c r="S1853" s="322"/>
      <c r="T1853" s="322"/>
      <c r="U1853" s="322"/>
      <c r="V1853" s="322"/>
      <c r="W1853" s="322"/>
      <c r="X1853" s="322"/>
      <c r="Y1853" s="322"/>
      <c r="Z1853" s="322"/>
      <c r="AA1853" s="322"/>
      <c r="AB1853" s="322"/>
      <c r="AC1853" s="322"/>
      <c r="AD1853" s="322"/>
      <c r="AE1853" s="322"/>
      <c r="AF1853" s="322"/>
      <c r="AG1853" s="322"/>
      <c r="AH1853" s="322"/>
      <c r="AI1853" s="322"/>
      <c r="AJ1853" s="322"/>
      <c r="AK1853" s="322"/>
      <c r="AL1853" s="322"/>
      <c r="AM1853" s="322"/>
      <c r="AN1853" s="322"/>
      <c r="AO1853" s="322"/>
      <c r="AP1853" s="322"/>
      <c r="AQ1853" s="322"/>
      <c r="AR1853" s="322"/>
      <c r="AS1853" s="322"/>
      <c r="AT1853" s="322"/>
      <c r="AU1853" s="500">
        <v>2.8</v>
      </c>
      <c r="AV1853" s="499">
        <v>4.7</v>
      </c>
      <c r="AW1853" s="499">
        <v>4.4000000000000004</v>
      </c>
      <c r="AX1853" s="499">
        <v>4</v>
      </c>
      <c r="AY1853" s="499">
        <v>4</v>
      </c>
      <c r="AZ1853" s="1158">
        <v>4.0048057669203043</v>
      </c>
      <c r="BA1853" s="485">
        <f t="shared" ref="BA1853:BH1853" si="1322">BA1719*$AY$1853</f>
        <v>19139.357788906927</v>
      </c>
      <c r="BB1853" s="485">
        <f t="shared" si="1322"/>
        <v>19139.357788906927</v>
      </c>
      <c r="BC1853" s="485">
        <f t="shared" si="1322"/>
        <v>19139.357788906927</v>
      </c>
      <c r="BD1853" s="485">
        <f t="shared" si="1322"/>
        <v>19139.357788906927</v>
      </c>
      <c r="BE1853" s="485">
        <f t="shared" si="1322"/>
        <v>19139.357788906927</v>
      </c>
      <c r="BF1853" s="485">
        <f t="shared" si="1322"/>
        <v>19139.357788906927</v>
      </c>
      <c r="BG1853" s="485">
        <f t="shared" si="1322"/>
        <v>19139.357788906927</v>
      </c>
      <c r="BH1853" s="485">
        <f t="shared" si="1322"/>
        <v>19139.357788906927</v>
      </c>
      <c r="BI1853" s="477"/>
      <c r="BJ1853" s="496">
        <v>3.8</v>
      </c>
      <c r="BK1853" s="490" t="e">
        <f>AZ1853*#REF!</f>
        <v>#REF!</v>
      </c>
      <c r="BL1853" s="485" t="e">
        <f t="shared" ref="BL1853:BS1853" si="1323">BL1719*$AY$1853</f>
        <v>#REF!</v>
      </c>
      <c r="BM1853" s="485" t="e">
        <f t="shared" si="1323"/>
        <v>#REF!</v>
      </c>
      <c r="BN1853" s="485" t="e">
        <f t="shared" si="1323"/>
        <v>#REF!</v>
      </c>
      <c r="BO1853" s="485" t="e">
        <f t="shared" si="1323"/>
        <v>#REF!</v>
      </c>
      <c r="BP1853" s="485" t="e">
        <f t="shared" si="1323"/>
        <v>#REF!</v>
      </c>
      <c r="BQ1853" s="485" t="e">
        <f t="shared" si="1323"/>
        <v>#REF!</v>
      </c>
      <c r="BR1853" s="485" t="e">
        <f t="shared" si="1323"/>
        <v>#REF!</v>
      </c>
      <c r="BS1853" s="485" t="e">
        <f t="shared" si="1323"/>
        <v>#REF!</v>
      </c>
      <c r="BT1853" s="477"/>
      <c r="BU1853" s="477"/>
      <c r="BV1853" s="477"/>
      <c r="BW1853" s="477"/>
      <c r="BX1853" s="477"/>
      <c r="BY1853" s="477"/>
    </row>
    <row r="1854" spans="3:77">
      <c r="C1854" s="95"/>
      <c r="D1854" s="96"/>
      <c r="E1854" s="203"/>
      <c r="P1854" s="322"/>
      <c r="Q1854" s="322"/>
      <c r="R1854" s="322"/>
      <c r="S1854" s="322"/>
      <c r="T1854" s="322"/>
      <c r="U1854" s="322"/>
      <c r="V1854" s="322"/>
      <c r="W1854" s="322"/>
      <c r="X1854" s="322"/>
      <c r="Y1854" s="322"/>
      <c r="Z1854" s="322"/>
      <c r="AA1854" s="322"/>
      <c r="AB1854" s="322"/>
      <c r="AC1854" s="322"/>
      <c r="AD1854" s="322"/>
      <c r="AE1854" s="322"/>
      <c r="AF1854" s="322"/>
      <c r="AG1854" s="322"/>
      <c r="AH1854" s="322"/>
      <c r="AI1854" s="322"/>
      <c r="AJ1854" s="322"/>
      <c r="AK1854" s="322"/>
      <c r="AL1854" s="322"/>
      <c r="AM1854" s="322"/>
      <c r="AN1854" s="322"/>
      <c r="AO1854" s="322"/>
      <c r="AP1854" s="322"/>
      <c r="AQ1854" s="322"/>
      <c r="AR1854" s="322"/>
      <c r="AS1854" s="322"/>
      <c r="AT1854" s="322"/>
      <c r="AU1854" s="500">
        <v>2.8</v>
      </c>
      <c r="AV1854" s="499">
        <v>4.7</v>
      </c>
      <c r="AW1854" s="499">
        <v>4.4000000000000004</v>
      </c>
      <c r="AX1854" s="499">
        <v>4</v>
      </c>
      <c r="AY1854" s="499">
        <v>4</v>
      </c>
      <c r="AZ1854" s="1158">
        <v>4.0715525297023092</v>
      </c>
      <c r="BA1854" s="485">
        <f t="shared" ref="BA1854:BH1854" si="1324">BA1720*$AY$1854</f>
        <v>19139.357788906927</v>
      </c>
      <c r="BB1854" s="485">
        <f t="shared" si="1324"/>
        <v>19139.357788906927</v>
      </c>
      <c r="BC1854" s="485">
        <f t="shared" si="1324"/>
        <v>19139.357788906927</v>
      </c>
      <c r="BD1854" s="485">
        <f t="shared" si="1324"/>
        <v>19139.357788906927</v>
      </c>
      <c r="BE1854" s="485">
        <f t="shared" si="1324"/>
        <v>19139.357788906927</v>
      </c>
      <c r="BF1854" s="485">
        <f t="shared" si="1324"/>
        <v>19139.357788906927</v>
      </c>
      <c r="BG1854" s="485">
        <f t="shared" si="1324"/>
        <v>19139.357788906927</v>
      </c>
      <c r="BH1854" s="485">
        <f t="shared" si="1324"/>
        <v>19139.357788906927</v>
      </c>
      <c r="BI1854" s="477"/>
      <c r="BJ1854" s="496">
        <v>3.8</v>
      </c>
      <c r="BK1854" s="490" t="e">
        <f>AZ1854*#REF!</f>
        <v>#REF!</v>
      </c>
      <c r="BL1854" s="485" t="e">
        <f t="shared" ref="BL1854:BS1854" si="1325">BL1720*$AY$1854</f>
        <v>#REF!</v>
      </c>
      <c r="BM1854" s="485" t="e">
        <f t="shared" si="1325"/>
        <v>#REF!</v>
      </c>
      <c r="BN1854" s="485" t="e">
        <f t="shared" si="1325"/>
        <v>#REF!</v>
      </c>
      <c r="BO1854" s="485" t="e">
        <f t="shared" si="1325"/>
        <v>#REF!</v>
      </c>
      <c r="BP1854" s="485" t="e">
        <f t="shared" si="1325"/>
        <v>#REF!</v>
      </c>
      <c r="BQ1854" s="485" t="e">
        <f t="shared" si="1325"/>
        <v>#REF!</v>
      </c>
      <c r="BR1854" s="485" t="e">
        <f t="shared" si="1325"/>
        <v>#REF!</v>
      </c>
      <c r="BS1854" s="485" t="e">
        <f t="shared" si="1325"/>
        <v>#REF!</v>
      </c>
      <c r="BT1854" s="477"/>
      <c r="BU1854" s="477"/>
      <c r="BV1854" s="477"/>
      <c r="BW1854" s="477"/>
      <c r="BX1854" s="477"/>
      <c r="BY1854" s="477"/>
    </row>
    <row r="1855" spans="3:77">
      <c r="C1855" s="95"/>
      <c r="D1855" s="96"/>
      <c r="E1855" s="183"/>
      <c r="P1855" s="322"/>
      <c r="Q1855" s="322"/>
      <c r="R1855" s="322"/>
      <c r="S1855" s="322"/>
      <c r="T1855" s="322"/>
      <c r="U1855" s="322"/>
      <c r="V1855" s="322"/>
      <c r="W1855" s="322"/>
      <c r="X1855" s="322"/>
      <c r="Y1855" s="322"/>
      <c r="Z1855" s="322"/>
      <c r="AA1855" s="322"/>
      <c r="AB1855" s="322"/>
      <c r="AC1855" s="322"/>
      <c r="AD1855" s="322"/>
      <c r="AE1855" s="322"/>
      <c r="AF1855" s="322"/>
      <c r="AG1855" s="322"/>
      <c r="AH1855" s="322"/>
      <c r="AI1855" s="322"/>
      <c r="AJ1855" s="322"/>
      <c r="AK1855" s="322"/>
      <c r="AL1855" s="322"/>
      <c r="AM1855" s="322"/>
      <c r="AN1855" s="322"/>
      <c r="AO1855" s="322"/>
      <c r="AP1855" s="322"/>
      <c r="AQ1855" s="322"/>
      <c r="AR1855" s="322"/>
      <c r="AS1855" s="322"/>
      <c r="AT1855" s="322"/>
      <c r="AU1855" s="476"/>
      <c r="AV1855" s="477"/>
      <c r="AW1855" s="477"/>
      <c r="AX1855" s="477"/>
      <c r="AY1855" s="477"/>
      <c r="AZ1855" s="477"/>
      <c r="BA1855" s="477"/>
      <c r="BB1855" s="477"/>
      <c r="BC1855" s="477"/>
      <c r="BD1855" s="477"/>
      <c r="BE1855" s="477"/>
      <c r="BF1855" s="477"/>
      <c r="BG1855" s="477"/>
      <c r="BH1855" s="477"/>
      <c r="BI1855" s="477"/>
      <c r="BJ1855" s="477"/>
      <c r="BK1855" s="477"/>
      <c r="BL1855" s="477"/>
      <c r="BM1855" s="477"/>
      <c r="BN1855" s="477"/>
      <c r="BO1855" s="477"/>
      <c r="BP1855" s="477"/>
      <c r="BQ1855" s="477"/>
      <c r="BR1855" s="477"/>
      <c r="BS1855" s="477"/>
      <c r="BT1855" s="477"/>
      <c r="BU1855" s="477"/>
      <c r="BV1855" s="477"/>
      <c r="BW1855" s="477"/>
      <c r="BX1855" s="477"/>
      <c r="BY1855" s="477"/>
    </row>
    <row r="1856" spans="3:77">
      <c r="C1856" s="95"/>
      <c r="D1856" s="96"/>
      <c r="E1856" s="84"/>
      <c r="P1856" s="322"/>
      <c r="Q1856" s="322"/>
      <c r="R1856" s="322"/>
      <c r="S1856" s="322"/>
      <c r="T1856" s="322"/>
      <c r="U1856" s="322"/>
      <c r="V1856" s="322"/>
      <c r="W1856" s="322"/>
      <c r="X1856" s="322"/>
      <c r="Y1856" s="322"/>
      <c r="Z1856" s="322"/>
      <c r="AA1856" s="322"/>
      <c r="AB1856" s="322"/>
      <c r="AC1856" s="322"/>
      <c r="AD1856" s="322"/>
      <c r="AE1856" s="322"/>
      <c r="AF1856" s="322"/>
      <c r="AG1856" s="322"/>
      <c r="AH1856" s="322"/>
      <c r="AI1856" s="322"/>
      <c r="AJ1856" s="322"/>
      <c r="AK1856" s="322"/>
      <c r="AL1856" s="322"/>
      <c r="AM1856" s="322"/>
      <c r="AN1856" s="322"/>
      <c r="AO1856" s="322"/>
      <c r="AP1856" s="322"/>
      <c r="AQ1856" s="322"/>
      <c r="AR1856" s="322"/>
      <c r="AS1856" s="322"/>
      <c r="AT1856" s="322"/>
      <c r="AU1856" s="476"/>
      <c r="AV1856" s="477"/>
      <c r="AW1856" s="477"/>
      <c r="AX1856" s="477"/>
      <c r="AY1856" s="477"/>
      <c r="AZ1856" s="477"/>
      <c r="BA1856" s="477"/>
      <c r="BB1856" s="477"/>
      <c r="BC1856" s="477"/>
      <c r="BD1856" s="477"/>
      <c r="BE1856" s="477"/>
      <c r="BF1856" s="477"/>
      <c r="BG1856" s="477"/>
      <c r="BH1856" s="477"/>
      <c r="BI1856" s="477"/>
      <c r="BJ1856" s="477"/>
      <c r="BK1856" s="477"/>
      <c r="BL1856" s="477"/>
      <c r="BM1856" s="477"/>
      <c r="BN1856" s="477"/>
      <c r="BO1856" s="477"/>
      <c r="BP1856" s="477"/>
      <c r="BQ1856" s="477"/>
      <c r="BR1856" s="477"/>
      <c r="BS1856" s="477"/>
      <c r="BT1856" s="477"/>
      <c r="BU1856" s="477"/>
      <c r="BV1856" s="477"/>
      <c r="BW1856" s="477"/>
      <c r="BX1856" s="477"/>
      <c r="BY1856" s="477"/>
    </row>
    <row r="1857" spans="3:77">
      <c r="C1857" s="95"/>
      <c r="D1857" s="96"/>
      <c r="E1857" s="108"/>
      <c r="P1857" s="322"/>
      <c r="Q1857" s="322"/>
      <c r="R1857" s="322"/>
      <c r="S1857" s="322"/>
      <c r="T1857" s="322"/>
      <c r="U1857" s="322"/>
      <c r="V1857" s="322"/>
      <c r="W1857" s="322"/>
      <c r="X1857" s="322"/>
      <c r="Y1857" s="322"/>
      <c r="Z1857" s="322"/>
      <c r="AA1857" s="322"/>
      <c r="AB1857" s="322"/>
      <c r="AC1857" s="322"/>
      <c r="AD1857" s="322"/>
      <c r="AE1857" s="322"/>
      <c r="AF1857" s="322"/>
      <c r="AG1857" s="322"/>
      <c r="AH1857" s="322"/>
      <c r="AI1857" s="322"/>
      <c r="AJ1857" s="322"/>
      <c r="AK1857" s="322"/>
      <c r="AL1857" s="322"/>
      <c r="AM1857" s="322"/>
      <c r="AN1857" s="322"/>
      <c r="AO1857" s="322"/>
      <c r="AP1857" s="322"/>
      <c r="AQ1857" s="322"/>
      <c r="AR1857" s="322"/>
      <c r="AS1857" s="322"/>
      <c r="AT1857" s="322"/>
      <c r="AU1857" s="476"/>
      <c r="AV1857" s="477"/>
      <c r="AW1857" s="477"/>
      <c r="AX1857" s="477"/>
      <c r="AY1857" s="477"/>
      <c r="AZ1857" s="477"/>
      <c r="BA1857" s="477"/>
      <c r="BB1857" s="477"/>
      <c r="BC1857" s="477"/>
      <c r="BD1857" s="477"/>
      <c r="BE1857" s="477"/>
      <c r="BF1857" s="477"/>
      <c r="BG1857" s="477"/>
      <c r="BH1857" s="477"/>
      <c r="BI1857" s="477"/>
      <c r="BJ1857" s="477"/>
      <c r="BK1857" s="477"/>
      <c r="BL1857" s="477"/>
      <c r="BM1857" s="477"/>
      <c r="BN1857" s="477"/>
      <c r="BO1857" s="477"/>
      <c r="BP1857" s="477"/>
      <c r="BQ1857" s="477"/>
      <c r="BR1857" s="477"/>
      <c r="BS1857" s="477"/>
      <c r="BT1857" s="477"/>
      <c r="BU1857" s="477"/>
      <c r="BV1857" s="477"/>
      <c r="BW1857" s="477"/>
      <c r="BX1857" s="477"/>
      <c r="BY1857" s="477"/>
    </row>
    <row r="1858" spans="3:77" ht="16" thickBot="1">
      <c r="P1858" s="322"/>
      <c r="Q1858" s="322"/>
      <c r="R1858" s="322"/>
      <c r="S1858" s="322"/>
      <c r="T1858" s="322"/>
      <c r="U1858" s="322"/>
      <c r="V1858" s="322"/>
      <c r="W1858" s="322"/>
      <c r="X1858" s="322"/>
      <c r="Y1858" s="322"/>
      <c r="Z1858" s="322"/>
      <c r="AA1858" s="322"/>
      <c r="AB1858" s="322"/>
      <c r="AC1858" s="322"/>
      <c r="AD1858" s="322"/>
      <c r="AE1858" s="322"/>
      <c r="AF1858" s="322"/>
      <c r="AG1858" s="322"/>
      <c r="AH1858" s="322"/>
      <c r="AI1858" s="322"/>
      <c r="AJ1858" s="322"/>
      <c r="AK1858" s="322"/>
      <c r="AL1858" s="322"/>
      <c r="AM1858" s="322"/>
      <c r="AN1858" s="322"/>
      <c r="AO1858" s="322"/>
      <c r="AP1858" s="322"/>
      <c r="AQ1858" s="322"/>
      <c r="AR1858" s="322"/>
      <c r="AS1858" s="322"/>
      <c r="AT1858" s="322"/>
      <c r="AU1858" s="479"/>
      <c r="AV1858" s="480"/>
      <c r="AW1858" s="480"/>
      <c r="AX1858" s="480"/>
      <c r="AY1858" s="480"/>
      <c r="AZ1858" s="480"/>
      <c r="BA1858" s="480"/>
      <c r="BB1858" s="480"/>
      <c r="BC1858" s="480"/>
      <c r="BD1858" s="480"/>
      <c r="BE1858" s="480"/>
      <c r="BF1858" s="480"/>
      <c r="BG1858" s="480"/>
      <c r="BH1858" s="480"/>
      <c r="BI1858" s="480"/>
      <c r="BJ1858" s="480"/>
      <c r="BK1858" s="480"/>
      <c r="BL1858" s="480"/>
      <c r="BM1858" s="480"/>
      <c r="BN1858" s="480"/>
      <c r="BO1858" s="480"/>
      <c r="BP1858" s="480"/>
      <c r="BQ1858" s="480"/>
      <c r="BR1858" s="480"/>
      <c r="BS1858" s="480"/>
      <c r="BT1858" s="480"/>
      <c r="BU1858" s="480"/>
      <c r="BV1858" s="480"/>
      <c r="BW1858" s="480"/>
      <c r="BX1858" s="480"/>
      <c r="BY1858" s="480"/>
    </row>
    <row r="1859" spans="3:77">
      <c r="P1859" s="322"/>
      <c r="Q1859" s="322"/>
      <c r="R1859" s="322"/>
      <c r="S1859" s="322"/>
      <c r="T1859" s="322"/>
      <c r="U1859" s="322"/>
      <c r="V1859" s="322"/>
      <c r="W1859" s="322"/>
      <c r="X1859" s="322"/>
      <c r="Y1859" s="322"/>
      <c r="Z1859" s="322"/>
      <c r="AA1859" s="322"/>
      <c r="AB1859" s="322"/>
      <c r="AC1859" s="322"/>
      <c r="AD1859" s="322"/>
      <c r="AE1859" s="322"/>
      <c r="AF1859" s="322"/>
      <c r="AG1859" s="322"/>
      <c r="AH1859" s="322"/>
      <c r="AI1859" s="322"/>
      <c r="AJ1859" s="322"/>
      <c r="AK1859" s="322"/>
      <c r="AL1859" s="322"/>
      <c r="AM1859" s="322"/>
      <c r="AN1859" s="322"/>
      <c r="AO1859" s="322"/>
      <c r="AP1859" s="322"/>
      <c r="AQ1859" s="322"/>
      <c r="AR1859" s="322"/>
      <c r="AS1859" s="322"/>
      <c r="AT1859" s="322"/>
    </row>
    <row r="1860" spans="3:77" ht="16" thickBot="1">
      <c r="P1860" s="322"/>
      <c r="Q1860" s="322"/>
      <c r="R1860" s="322"/>
      <c r="S1860" s="322"/>
      <c r="T1860" s="322"/>
      <c r="U1860" s="322"/>
      <c r="V1860" s="322"/>
      <c r="W1860" s="322"/>
      <c r="X1860" s="322"/>
      <c r="Y1860" s="322"/>
      <c r="Z1860" s="322"/>
      <c r="AA1860" s="322"/>
      <c r="AB1860" s="322"/>
      <c r="AC1860" s="322"/>
      <c r="AD1860" s="322"/>
      <c r="AE1860" s="322"/>
      <c r="AF1860" s="322"/>
      <c r="AG1860" s="322"/>
      <c r="AH1860" s="322"/>
      <c r="AI1860" s="322"/>
      <c r="AJ1860" s="322"/>
      <c r="AK1860" s="322"/>
      <c r="AL1860" s="322"/>
      <c r="AM1860" s="322"/>
      <c r="AN1860" s="322"/>
      <c r="AO1860" s="322"/>
      <c r="AP1860" s="322"/>
      <c r="AQ1860" s="322"/>
      <c r="AR1860" s="322"/>
      <c r="AS1860" s="322"/>
      <c r="AT1860" s="322"/>
    </row>
    <row r="1861" spans="3:77">
      <c r="P1861" s="322"/>
      <c r="Q1861" s="322"/>
      <c r="R1861" s="322"/>
      <c r="S1861" s="322"/>
      <c r="T1861" s="322"/>
      <c r="U1861" s="322"/>
      <c r="V1861" s="322"/>
      <c r="W1861" s="322"/>
      <c r="X1861" s="322"/>
      <c r="Y1861" s="322"/>
      <c r="Z1861" s="322"/>
      <c r="AA1861" s="322"/>
      <c r="AB1861" s="322"/>
      <c r="AC1861" s="322"/>
      <c r="AD1861" s="322"/>
      <c r="AE1861" s="322"/>
      <c r="AF1861" s="322"/>
      <c r="AG1861" s="322"/>
      <c r="AH1861" s="322"/>
      <c r="AI1861" s="322"/>
      <c r="AJ1861" s="322"/>
      <c r="AK1861" s="322"/>
      <c r="AL1861" s="322"/>
      <c r="AM1861" s="322"/>
      <c r="AN1861" s="322"/>
      <c r="AO1861" s="322"/>
      <c r="AP1861" s="322"/>
      <c r="AQ1861" s="322"/>
      <c r="AR1861" s="322"/>
      <c r="AS1861" s="322"/>
      <c r="AT1861" s="322"/>
      <c r="AU1861" s="491" t="s">
        <v>545</v>
      </c>
      <c r="AV1861" s="474"/>
      <c r="AW1861" s="474"/>
      <c r="AX1861" s="474"/>
      <c r="AY1861" s="474"/>
      <c r="AZ1861" s="474"/>
      <c r="BA1861" s="474"/>
      <c r="BB1861" s="474"/>
      <c r="BC1861" s="474"/>
      <c r="BD1861" s="474"/>
      <c r="BE1861" s="474"/>
      <c r="BF1861" s="474"/>
      <c r="BG1861" s="474"/>
      <c r="BH1861" s="474"/>
      <c r="BI1861" s="474"/>
      <c r="BJ1861" s="474"/>
      <c r="BK1861" s="474"/>
      <c r="BL1861" s="474"/>
      <c r="BM1861" s="474"/>
      <c r="BN1861" s="474"/>
      <c r="BO1861" s="474"/>
      <c r="BP1861" s="474"/>
      <c r="BQ1861" s="474"/>
      <c r="BR1861" s="474"/>
      <c r="BS1861" s="474"/>
      <c r="BT1861" s="474"/>
      <c r="BU1861" s="474"/>
      <c r="BV1861" s="474"/>
      <c r="BW1861" s="474"/>
      <c r="BX1861" s="474"/>
      <c r="BY1861" s="474"/>
    </row>
    <row r="1862" spans="3:77">
      <c r="P1862" s="322"/>
      <c r="Q1862" s="322"/>
      <c r="R1862" s="322"/>
      <c r="S1862" s="322"/>
      <c r="T1862" s="322"/>
      <c r="U1862" s="322"/>
      <c r="V1862" s="322"/>
      <c r="W1862" s="322"/>
      <c r="X1862" s="322"/>
      <c r="Y1862" s="322"/>
      <c r="Z1862" s="322"/>
      <c r="AA1862" s="322"/>
      <c r="AB1862" s="322"/>
      <c r="AC1862" s="322"/>
      <c r="AD1862" s="322"/>
      <c r="AE1862" s="322"/>
      <c r="AF1862" s="322"/>
      <c r="AG1862" s="322"/>
      <c r="AH1862" s="322"/>
      <c r="AI1862" s="322"/>
      <c r="AJ1862" s="322"/>
      <c r="AK1862" s="322"/>
      <c r="AL1862" s="322"/>
      <c r="AM1862" s="322"/>
      <c r="AN1862" s="322"/>
      <c r="AO1862" s="322"/>
      <c r="AP1862" s="322"/>
      <c r="AQ1862" s="322"/>
      <c r="AR1862" s="322"/>
      <c r="AS1862" s="322"/>
      <c r="AT1862" s="322"/>
      <c r="AU1862" s="476"/>
      <c r="AV1862" s="477"/>
      <c r="AW1862" s="477"/>
      <c r="AX1862" s="477"/>
      <c r="AY1862" s="477"/>
      <c r="AZ1862" s="477"/>
      <c r="BA1862" s="477"/>
      <c r="BB1862" s="477"/>
      <c r="BC1862" s="477"/>
      <c r="BD1862" s="477"/>
      <c r="BE1862" s="477"/>
      <c r="BF1862" s="477"/>
      <c r="BG1862" s="477"/>
      <c r="BH1862" s="477"/>
      <c r="BI1862" s="477"/>
      <c r="BJ1862" s="477"/>
      <c r="BK1862" s="477"/>
      <c r="BL1862" s="477"/>
      <c r="BM1862" s="477"/>
      <c r="BN1862" s="477"/>
      <c r="BO1862" s="477"/>
      <c r="BP1862" s="477"/>
      <c r="BQ1862" s="477"/>
      <c r="BR1862" s="477"/>
      <c r="BS1862" s="477"/>
      <c r="BT1862" s="477"/>
      <c r="BU1862" s="477"/>
      <c r="BV1862" s="477"/>
      <c r="BW1862" s="477"/>
      <c r="BX1862" s="477"/>
      <c r="BY1862" s="477"/>
    </row>
    <row r="1863" spans="3:77">
      <c r="D1863" s="425"/>
      <c r="E1863" s="425"/>
      <c r="G1863" s="428"/>
      <c r="H1863" s="428"/>
      <c r="I1863" s="428"/>
      <c r="J1863" s="428"/>
      <c r="K1863" s="428"/>
      <c r="L1863" s="428"/>
      <c r="M1863" s="428"/>
      <c r="N1863" s="428"/>
      <c r="O1863" s="428"/>
      <c r="P1863" s="429"/>
      <c r="Q1863" s="429"/>
      <c r="R1863" s="429"/>
      <c r="S1863" s="429"/>
      <c r="T1863" s="429"/>
      <c r="U1863" s="322"/>
      <c r="V1863" s="322"/>
      <c r="W1863" s="322"/>
      <c r="X1863" s="322"/>
      <c r="Y1863" s="322"/>
      <c r="Z1863" s="322"/>
      <c r="AA1863" s="322"/>
      <c r="AB1863" s="322"/>
      <c r="AC1863" s="322"/>
      <c r="AD1863" s="322"/>
      <c r="AE1863" s="322"/>
      <c r="AF1863" s="322"/>
      <c r="AG1863" s="322"/>
      <c r="AH1863" s="322"/>
      <c r="AI1863" s="322"/>
      <c r="AJ1863" s="322"/>
      <c r="AK1863" s="322"/>
      <c r="AL1863" s="322"/>
      <c r="AM1863" s="322"/>
      <c r="AN1863" s="322"/>
      <c r="AO1863" s="322"/>
      <c r="AP1863" s="322"/>
      <c r="AQ1863" s="322"/>
      <c r="AR1863" s="322"/>
      <c r="AS1863" s="322"/>
      <c r="AT1863" s="322"/>
      <c r="AU1863" s="476"/>
      <c r="AV1863" s="477"/>
      <c r="AW1863" s="477"/>
      <c r="AX1863" s="477"/>
      <c r="AY1863" s="477"/>
      <c r="AZ1863" s="477"/>
      <c r="BA1863" s="477"/>
      <c r="BB1863" s="477"/>
      <c r="BC1863" s="477"/>
      <c r="BD1863" s="477"/>
      <c r="BE1863" s="477"/>
      <c r="BF1863" s="477"/>
      <c r="BG1863" s="477"/>
      <c r="BH1863" s="477"/>
      <c r="BI1863" s="477"/>
      <c r="BJ1863" s="477"/>
      <c r="BK1863" s="477"/>
      <c r="BL1863" s="477"/>
      <c r="BM1863" s="477"/>
      <c r="BN1863" s="477"/>
      <c r="BO1863" s="477"/>
      <c r="BP1863" s="477"/>
      <c r="BQ1863" s="477"/>
      <c r="BR1863" s="477"/>
      <c r="BS1863" s="477"/>
      <c r="BT1863" s="477"/>
      <c r="BU1863" s="477"/>
      <c r="BV1863" s="477"/>
      <c r="BW1863" s="477"/>
      <c r="BX1863" s="477"/>
      <c r="BY1863" s="477"/>
    </row>
    <row r="1864" spans="3:77">
      <c r="D1864" s="425"/>
      <c r="E1864" s="425"/>
      <c r="G1864" s="428"/>
      <c r="H1864" s="428"/>
      <c r="I1864" s="428"/>
      <c r="J1864" s="428"/>
      <c r="K1864" s="428"/>
      <c r="L1864" s="428"/>
      <c r="M1864" s="428"/>
      <c r="N1864" s="428"/>
      <c r="O1864" s="428"/>
      <c r="P1864" s="429"/>
      <c r="Q1864" s="429"/>
      <c r="R1864" s="429"/>
      <c r="S1864" s="429"/>
      <c r="T1864" s="429"/>
      <c r="U1864" s="322"/>
      <c r="V1864" s="322"/>
      <c r="W1864" s="322"/>
      <c r="X1864" s="322"/>
      <c r="Y1864" s="322"/>
      <c r="Z1864" s="322"/>
      <c r="AA1864" s="322"/>
      <c r="AB1864" s="322"/>
      <c r="AC1864" s="322"/>
      <c r="AD1864" s="322"/>
      <c r="AE1864" s="322"/>
      <c r="AF1864" s="322"/>
      <c r="AG1864" s="322"/>
      <c r="AH1864" s="322"/>
      <c r="AI1864" s="322"/>
      <c r="AJ1864" s="322"/>
      <c r="AK1864" s="322"/>
      <c r="AL1864" s="322"/>
      <c r="AM1864" s="322"/>
      <c r="AN1864" s="322"/>
      <c r="AO1864" s="322"/>
      <c r="AP1864" s="322"/>
      <c r="AQ1864" s="322"/>
      <c r="AR1864" s="322"/>
      <c r="AS1864" s="322"/>
      <c r="AT1864" s="322"/>
      <c r="AU1864" s="476"/>
      <c r="AV1864" s="477"/>
      <c r="AW1864" s="477"/>
      <c r="AX1864" s="477"/>
      <c r="AY1864" s="477"/>
      <c r="AZ1864" s="477"/>
      <c r="BA1864" s="1157">
        <v>133.49352556401016</v>
      </c>
      <c r="BB1864" s="1157">
        <v>146.84287812041117</v>
      </c>
      <c r="BC1864" s="1157">
        <v>160.19223067681219</v>
      </c>
      <c r="BD1864" s="1157">
        <v>173.5415832332132</v>
      </c>
      <c r="BE1864" s="1157">
        <v>186.89093578961422</v>
      </c>
      <c r="BF1864" s="1157">
        <v>200.24028834601523</v>
      </c>
      <c r="BG1864" s="1157">
        <v>213.58964090241625</v>
      </c>
      <c r="BH1864" s="1157">
        <v>226.93899345881727</v>
      </c>
      <c r="BI1864" s="477"/>
      <c r="BJ1864" s="477"/>
      <c r="BK1864" s="477"/>
      <c r="BL1864" s="490" t="e">
        <f>BA1864*#REF!</f>
        <v>#REF!</v>
      </c>
      <c r="BM1864" s="490" t="e">
        <f>BB1864*#REF!</f>
        <v>#REF!</v>
      </c>
      <c r="BN1864" s="490" t="e">
        <f>BC1864*#REF!</f>
        <v>#REF!</v>
      </c>
      <c r="BO1864" s="490" t="e">
        <f>BD1864*#REF!</f>
        <v>#REF!</v>
      </c>
      <c r="BP1864" s="490" t="e">
        <f>BE1864*#REF!</f>
        <v>#REF!</v>
      </c>
      <c r="BQ1864" s="490" t="e">
        <f>BF1864*#REF!</f>
        <v>#REF!</v>
      </c>
      <c r="BR1864" s="490" t="e">
        <f>BG1864*#REF!</f>
        <v>#REF!</v>
      </c>
      <c r="BS1864" s="490" t="e">
        <f>BH1864*#REF!</f>
        <v>#REF!</v>
      </c>
      <c r="BT1864" s="477"/>
      <c r="BU1864" s="477"/>
      <c r="BV1864" s="477"/>
      <c r="BW1864" s="477"/>
      <c r="BX1864" s="477"/>
      <c r="BY1864" s="477"/>
    </row>
    <row r="1865" spans="3:77">
      <c r="D1865" s="425"/>
      <c r="E1865" s="425"/>
      <c r="G1865" s="428"/>
      <c r="H1865" s="428"/>
      <c r="I1865" s="428"/>
      <c r="J1865" s="428"/>
      <c r="K1865" s="428"/>
      <c r="L1865" s="428"/>
      <c r="M1865" s="428"/>
      <c r="N1865" s="428"/>
      <c r="O1865" s="428"/>
      <c r="P1865" s="429"/>
      <c r="Q1865" s="429"/>
      <c r="R1865" s="429"/>
      <c r="S1865" s="429"/>
      <c r="T1865" s="429"/>
      <c r="U1865" s="322"/>
      <c r="V1865" s="322"/>
      <c r="W1865" s="322"/>
      <c r="X1865" s="322"/>
      <c r="Y1865" s="322"/>
      <c r="Z1865" s="322"/>
      <c r="AA1865" s="322"/>
      <c r="AB1865" s="322"/>
      <c r="AC1865" s="322"/>
      <c r="AD1865" s="322"/>
      <c r="AE1865" s="322"/>
      <c r="AF1865" s="322"/>
      <c r="AG1865" s="322"/>
      <c r="AH1865" s="322"/>
      <c r="AI1865" s="322"/>
      <c r="AJ1865" s="322"/>
      <c r="AK1865" s="322"/>
      <c r="AL1865" s="322"/>
      <c r="AM1865" s="322"/>
      <c r="AN1865" s="322"/>
      <c r="AO1865" s="322"/>
      <c r="AP1865" s="322"/>
      <c r="AQ1865" s="322"/>
      <c r="AR1865" s="322"/>
      <c r="AS1865" s="322"/>
      <c r="AT1865" s="322"/>
      <c r="AU1865" s="476"/>
      <c r="AV1865" s="477"/>
      <c r="AW1865" s="477"/>
      <c r="AX1865" s="477"/>
      <c r="AY1865" s="477"/>
      <c r="AZ1865" s="1158">
        <v>3.270591376318249</v>
      </c>
      <c r="BA1865" s="485">
        <f>BA1842-BA1783</f>
        <v>16843.482276888266</v>
      </c>
      <c r="BB1865" s="485">
        <f t="shared" ref="BB1865:BH1865" si="1326">BB1842-BB1783</f>
        <v>16843.482276888266</v>
      </c>
      <c r="BC1865" s="485">
        <f t="shared" si="1326"/>
        <v>16843.482276888266</v>
      </c>
      <c r="BD1865" s="485">
        <f t="shared" si="1326"/>
        <v>16843.482276888266</v>
      </c>
      <c r="BE1865" s="485">
        <f t="shared" si="1326"/>
        <v>16843.482276888266</v>
      </c>
      <c r="BF1865" s="485">
        <f t="shared" si="1326"/>
        <v>16843.482276888266</v>
      </c>
      <c r="BG1865" s="485">
        <f t="shared" si="1326"/>
        <v>16843.482276888266</v>
      </c>
      <c r="BH1865" s="485">
        <f t="shared" si="1326"/>
        <v>16843.482276888266</v>
      </c>
      <c r="BI1865" s="477"/>
      <c r="BJ1865" s="477"/>
      <c r="BK1865" s="490" t="e">
        <f>AZ1865*#REF!</f>
        <v>#REF!</v>
      </c>
      <c r="BL1865" s="485" t="e">
        <f t="shared" ref="BL1865:BL1877" si="1327">BL1842-BL1783</f>
        <v>#REF!</v>
      </c>
      <c r="BM1865" s="485" t="e">
        <f t="shared" ref="BM1865:BS1865" si="1328">BM1842-BM1783</f>
        <v>#REF!</v>
      </c>
      <c r="BN1865" s="485" t="e">
        <f t="shared" si="1328"/>
        <v>#REF!</v>
      </c>
      <c r="BO1865" s="485" t="e">
        <f t="shared" si="1328"/>
        <v>#REF!</v>
      </c>
      <c r="BP1865" s="485" t="e">
        <f t="shared" si="1328"/>
        <v>#REF!</v>
      </c>
      <c r="BQ1865" s="485" t="e">
        <f t="shared" si="1328"/>
        <v>#REF!</v>
      </c>
      <c r="BR1865" s="485" t="e">
        <f t="shared" si="1328"/>
        <v>#REF!</v>
      </c>
      <c r="BS1865" s="485" t="e">
        <f t="shared" si="1328"/>
        <v>#REF!</v>
      </c>
      <c r="BT1865" s="477"/>
      <c r="BU1865" s="477"/>
      <c r="BV1865" s="477"/>
      <c r="BW1865" s="477"/>
      <c r="BX1865" s="477"/>
      <c r="BY1865" s="477"/>
    </row>
    <row r="1866" spans="3:77">
      <c r="P1866" s="322"/>
      <c r="Q1866" s="322"/>
      <c r="R1866" s="322"/>
      <c r="S1866" s="322"/>
      <c r="T1866" s="322"/>
      <c r="U1866" s="322"/>
      <c r="V1866" s="322"/>
      <c r="W1866" s="322"/>
      <c r="X1866" s="322"/>
      <c r="Y1866" s="322"/>
      <c r="Z1866" s="322"/>
      <c r="AA1866" s="322"/>
      <c r="AB1866" s="322"/>
      <c r="AC1866" s="322"/>
      <c r="AD1866" s="322"/>
      <c r="AE1866" s="322"/>
      <c r="AF1866" s="322"/>
      <c r="AG1866" s="322"/>
      <c r="AH1866" s="322"/>
      <c r="AI1866" s="322"/>
      <c r="AJ1866" s="322"/>
      <c r="AK1866" s="322"/>
      <c r="AL1866" s="322"/>
      <c r="AM1866" s="322"/>
      <c r="AN1866" s="322"/>
      <c r="AO1866" s="322"/>
      <c r="AP1866" s="322"/>
      <c r="AQ1866" s="322"/>
      <c r="AR1866" s="322"/>
      <c r="AS1866" s="322"/>
      <c r="AT1866" s="322"/>
      <c r="AU1866" s="476"/>
      <c r="AV1866" s="477"/>
      <c r="AW1866" s="477"/>
      <c r="AX1866" s="477"/>
      <c r="AY1866" s="477"/>
      <c r="AZ1866" s="1158">
        <v>3.3373381391002539</v>
      </c>
      <c r="BA1866" s="485">
        <f t="shared" ref="BA1866:BA1877" si="1329">BA1843-BA1784</f>
        <v>16843.482276888266</v>
      </c>
      <c r="BB1866" s="485">
        <f t="shared" ref="BB1866:BH1877" si="1330">BB1843-BB1784</f>
        <v>16843.482276888266</v>
      </c>
      <c r="BC1866" s="485">
        <f t="shared" si="1330"/>
        <v>16843.482276888266</v>
      </c>
      <c r="BD1866" s="485">
        <f t="shared" si="1330"/>
        <v>16843.482276888266</v>
      </c>
      <c r="BE1866" s="485">
        <f t="shared" si="1330"/>
        <v>16843.482276888266</v>
      </c>
      <c r="BF1866" s="485">
        <f t="shared" si="1330"/>
        <v>16843.482276888266</v>
      </c>
      <c r="BG1866" s="485">
        <f t="shared" si="1330"/>
        <v>16843.482276888266</v>
      </c>
      <c r="BH1866" s="485">
        <f t="shared" si="1330"/>
        <v>16843.482276888266</v>
      </c>
      <c r="BI1866" s="477"/>
      <c r="BJ1866" s="477"/>
      <c r="BK1866" s="490" t="e">
        <f>AZ1866*#REF!</f>
        <v>#REF!</v>
      </c>
      <c r="BL1866" s="485" t="e">
        <f t="shared" si="1327"/>
        <v>#REF!</v>
      </c>
      <c r="BM1866" s="485" t="e">
        <f t="shared" ref="BM1866:BS1877" si="1331">BM1843-BM1784</f>
        <v>#REF!</v>
      </c>
      <c r="BN1866" s="485" t="e">
        <f t="shared" si="1331"/>
        <v>#REF!</v>
      </c>
      <c r="BO1866" s="485" t="e">
        <f t="shared" si="1331"/>
        <v>#REF!</v>
      </c>
      <c r="BP1866" s="485" t="e">
        <f t="shared" si="1331"/>
        <v>#REF!</v>
      </c>
      <c r="BQ1866" s="485" t="e">
        <f t="shared" si="1331"/>
        <v>#REF!</v>
      </c>
      <c r="BR1866" s="485" t="e">
        <f t="shared" si="1331"/>
        <v>#REF!</v>
      </c>
      <c r="BS1866" s="485" t="e">
        <f t="shared" si="1331"/>
        <v>#REF!</v>
      </c>
      <c r="BT1866" s="477"/>
      <c r="BU1866" s="477"/>
      <c r="BV1866" s="477"/>
      <c r="BW1866" s="477"/>
      <c r="BX1866" s="477"/>
      <c r="BY1866" s="477"/>
    </row>
    <row r="1867" spans="3:77">
      <c r="P1867" s="322"/>
      <c r="Q1867" s="322"/>
      <c r="R1867" s="322"/>
      <c r="S1867" s="322"/>
      <c r="T1867" s="322"/>
      <c r="U1867" s="322"/>
      <c r="V1867" s="322"/>
      <c r="W1867" s="322"/>
      <c r="X1867" s="322"/>
      <c r="Y1867" s="322"/>
      <c r="Z1867" s="322"/>
      <c r="AA1867" s="322"/>
      <c r="AB1867" s="322"/>
      <c r="AC1867" s="322"/>
      <c r="AD1867" s="322"/>
      <c r="AE1867" s="322"/>
      <c r="AF1867" s="322"/>
      <c r="AG1867" s="322"/>
      <c r="AH1867" s="322"/>
      <c r="AI1867" s="322"/>
      <c r="AJ1867" s="322"/>
      <c r="AK1867" s="322"/>
      <c r="AL1867" s="322"/>
      <c r="AM1867" s="322"/>
      <c r="AN1867" s="322"/>
      <c r="AO1867" s="322"/>
      <c r="AP1867" s="322"/>
      <c r="AQ1867" s="322"/>
      <c r="AR1867" s="322"/>
      <c r="AS1867" s="322"/>
      <c r="AT1867" s="322"/>
      <c r="AU1867" s="476"/>
      <c r="AV1867" s="477"/>
      <c r="AW1867" s="477"/>
      <c r="AX1867" s="477"/>
      <c r="AY1867" s="477"/>
      <c r="AZ1867" s="1158">
        <v>3.4040849018822583</v>
      </c>
      <c r="BA1867" s="485">
        <f t="shared" si="1329"/>
        <v>16843.482276888266</v>
      </c>
      <c r="BB1867" s="485">
        <f t="shared" si="1330"/>
        <v>16843.482276888266</v>
      </c>
      <c r="BC1867" s="485">
        <f t="shared" si="1330"/>
        <v>16843.482276888266</v>
      </c>
      <c r="BD1867" s="485">
        <f t="shared" si="1330"/>
        <v>16843.482276888266</v>
      </c>
      <c r="BE1867" s="485">
        <f t="shared" si="1330"/>
        <v>16843.482276888266</v>
      </c>
      <c r="BF1867" s="485">
        <f t="shared" si="1330"/>
        <v>16843.482276888266</v>
      </c>
      <c r="BG1867" s="485">
        <f t="shared" si="1330"/>
        <v>16843.482276888266</v>
      </c>
      <c r="BH1867" s="485">
        <f t="shared" si="1330"/>
        <v>16843.482276888266</v>
      </c>
      <c r="BI1867" s="477"/>
      <c r="BJ1867" s="477"/>
      <c r="BK1867" s="490" t="e">
        <f>AZ1867*#REF!</f>
        <v>#REF!</v>
      </c>
      <c r="BL1867" s="485" t="e">
        <f t="shared" si="1327"/>
        <v>#REF!</v>
      </c>
      <c r="BM1867" s="485" t="e">
        <f t="shared" si="1331"/>
        <v>#REF!</v>
      </c>
      <c r="BN1867" s="485" t="e">
        <f t="shared" si="1331"/>
        <v>#REF!</v>
      </c>
      <c r="BO1867" s="485" t="e">
        <f t="shared" si="1331"/>
        <v>#REF!</v>
      </c>
      <c r="BP1867" s="485" t="e">
        <f t="shared" si="1331"/>
        <v>#REF!</v>
      </c>
      <c r="BQ1867" s="485" t="e">
        <f t="shared" si="1331"/>
        <v>#REF!</v>
      </c>
      <c r="BR1867" s="485" t="e">
        <f t="shared" si="1331"/>
        <v>#REF!</v>
      </c>
      <c r="BS1867" s="485" t="e">
        <f t="shared" si="1331"/>
        <v>#REF!</v>
      </c>
      <c r="BT1867" s="477"/>
      <c r="BU1867" s="477"/>
      <c r="BV1867" s="477"/>
      <c r="BW1867" s="477"/>
      <c r="BX1867" s="477"/>
      <c r="BY1867" s="477"/>
    </row>
    <row r="1868" spans="3:77">
      <c r="P1868" s="322"/>
      <c r="Q1868" s="322"/>
      <c r="R1868" s="322"/>
      <c r="S1868" s="322"/>
      <c r="T1868" s="322"/>
      <c r="U1868" s="322"/>
      <c r="V1868" s="322"/>
      <c r="W1868" s="322"/>
      <c r="X1868" s="322"/>
      <c r="Y1868" s="322"/>
      <c r="Z1868" s="322"/>
      <c r="AA1868" s="322"/>
      <c r="AB1868" s="322"/>
      <c r="AC1868" s="322"/>
      <c r="AD1868" s="322"/>
      <c r="AE1868" s="322"/>
      <c r="AF1868" s="322"/>
      <c r="AG1868" s="322"/>
      <c r="AH1868" s="322"/>
      <c r="AI1868" s="322"/>
      <c r="AJ1868" s="322"/>
      <c r="AK1868" s="322"/>
      <c r="AL1868" s="322"/>
      <c r="AM1868" s="322"/>
      <c r="AN1868" s="322"/>
      <c r="AO1868" s="322"/>
      <c r="AP1868" s="322"/>
      <c r="AQ1868" s="322"/>
      <c r="AR1868" s="322"/>
      <c r="AS1868" s="322"/>
      <c r="AT1868" s="322"/>
      <c r="AU1868" s="476"/>
      <c r="AV1868" s="477"/>
      <c r="AW1868" s="477"/>
      <c r="AX1868" s="477"/>
      <c r="AY1868" s="477"/>
      <c r="AZ1868" s="1158">
        <v>3.4708316646642641</v>
      </c>
      <c r="BA1868" s="485">
        <f t="shared" si="1329"/>
        <v>16843.482276888266</v>
      </c>
      <c r="BB1868" s="485">
        <f t="shared" si="1330"/>
        <v>16843.482276888266</v>
      </c>
      <c r="BC1868" s="485">
        <f t="shared" si="1330"/>
        <v>16843.482276888266</v>
      </c>
      <c r="BD1868" s="485">
        <f t="shared" si="1330"/>
        <v>16843.482276888266</v>
      </c>
      <c r="BE1868" s="485">
        <f t="shared" si="1330"/>
        <v>16843.482276888266</v>
      </c>
      <c r="BF1868" s="485">
        <f t="shared" si="1330"/>
        <v>16843.482276888266</v>
      </c>
      <c r="BG1868" s="485">
        <f t="shared" si="1330"/>
        <v>16843.482276888266</v>
      </c>
      <c r="BH1868" s="485">
        <f t="shared" si="1330"/>
        <v>16843.482276888266</v>
      </c>
      <c r="BI1868" s="477"/>
      <c r="BJ1868" s="477"/>
      <c r="BK1868" s="490" t="e">
        <f>AZ1868*#REF!</f>
        <v>#REF!</v>
      </c>
      <c r="BL1868" s="485" t="e">
        <f t="shared" si="1327"/>
        <v>#REF!</v>
      </c>
      <c r="BM1868" s="485" t="e">
        <f t="shared" si="1331"/>
        <v>#REF!</v>
      </c>
      <c r="BN1868" s="485" t="e">
        <f t="shared" si="1331"/>
        <v>#REF!</v>
      </c>
      <c r="BO1868" s="485" t="e">
        <f t="shared" si="1331"/>
        <v>#REF!</v>
      </c>
      <c r="BP1868" s="485" t="e">
        <f t="shared" si="1331"/>
        <v>#REF!</v>
      </c>
      <c r="BQ1868" s="485" t="e">
        <f t="shared" si="1331"/>
        <v>#REF!</v>
      </c>
      <c r="BR1868" s="485" t="e">
        <f t="shared" si="1331"/>
        <v>#REF!</v>
      </c>
      <c r="BS1868" s="485" t="e">
        <f t="shared" si="1331"/>
        <v>#REF!</v>
      </c>
      <c r="BT1868" s="477"/>
      <c r="BU1868" s="477"/>
      <c r="BV1868" s="477"/>
      <c r="BW1868" s="477"/>
      <c r="BX1868" s="477"/>
      <c r="BY1868" s="477"/>
    </row>
    <row r="1869" spans="3:77">
      <c r="P1869" s="322"/>
      <c r="Q1869" s="322"/>
      <c r="R1869" s="322"/>
      <c r="S1869" s="322"/>
      <c r="T1869" s="322"/>
      <c r="U1869" s="322"/>
      <c r="V1869" s="322"/>
      <c r="W1869" s="322"/>
      <c r="X1869" s="322"/>
      <c r="Y1869" s="322"/>
      <c r="Z1869" s="322"/>
      <c r="AA1869" s="322"/>
      <c r="AB1869" s="322"/>
      <c r="AC1869" s="322"/>
      <c r="AD1869" s="322"/>
      <c r="AE1869" s="322"/>
      <c r="AF1869" s="322"/>
      <c r="AG1869" s="322"/>
      <c r="AH1869" s="322"/>
      <c r="AI1869" s="322"/>
      <c r="AJ1869" s="322"/>
      <c r="AK1869" s="322"/>
      <c r="AL1869" s="322"/>
      <c r="AM1869" s="322"/>
      <c r="AN1869" s="322"/>
      <c r="AO1869" s="322"/>
      <c r="AP1869" s="322"/>
      <c r="AQ1869" s="322"/>
      <c r="AR1869" s="322"/>
      <c r="AS1869" s="322"/>
      <c r="AT1869" s="322"/>
      <c r="AU1869" s="476"/>
      <c r="AV1869" s="477"/>
      <c r="AW1869" s="477"/>
      <c r="AX1869" s="477"/>
      <c r="AY1869" s="477"/>
      <c r="AZ1869" s="1158">
        <v>3.5375784274462689</v>
      </c>
      <c r="BA1869" s="485">
        <f t="shared" si="1329"/>
        <v>16843.482276888266</v>
      </c>
      <c r="BB1869" s="485">
        <f t="shared" si="1330"/>
        <v>16843.482276888266</v>
      </c>
      <c r="BC1869" s="485">
        <f t="shared" si="1330"/>
        <v>16843.482276888266</v>
      </c>
      <c r="BD1869" s="485">
        <f t="shared" si="1330"/>
        <v>16843.482276888266</v>
      </c>
      <c r="BE1869" s="485">
        <f t="shared" si="1330"/>
        <v>16843.482276888266</v>
      </c>
      <c r="BF1869" s="485">
        <f t="shared" si="1330"/>
        <v>16843.482276888266</v>
      </c>
      <c r="BG1869" s="485">
        <f t="shared" si="1330"/>
        <v>16843.482276888266</v>
      </c>
      <c r="BH1869" s="485">
        <f t="shared" si="1330"/>
        <v>16843.482276888266</v>
      </c>
      <c r="BI1869" s="477"/>
      <c r="BJ1869" s="477"/>
      <c r="BK1869" s="490" t="e">
        <f>AZ1869*#REF!</f>
        <v>#REF!</v>
      </c>
      <c r="BL1869" s="485" t="e">
        <f t="shared" si="1327"/>
        <v>#REF!</v>
      </c>
      <c r="BM1869" s="485" t="e">
        <f t="shared" si="1331"/>
        <v>#REF!</v>
      </c>
      <c r="BN1869" s="485" t="e">
        <f t="shared" si="1331"/>
        <v>#REF!</v>
      </c>
      <c r="BO1869" s="485" t="e">
        <f t="shared" si="1331"/>
        <v>#REF!</v>
      </c>
      <c r="BP1869" s="485" t="e">
        <f t="shared" si="1331"/>
        <v>#REF!</v>
      </c>
      <c r="BQ1869" s="485" t="e">
        <f t="shared" si="1331"/>
        <v>#REF!</v>
      </c>
      <c r="BR1869" s="485" t="e">
        <f t="shared" si="1331"/>
        <v>#REF!</v>
      </c>
      <c r="BS1869" s="485" t="e">
        <f t="shared" si="1331"/>
        <v>#REF!</v>
      </c>
      <c r="BT1869" s="477"/>
      <c r="BU1869" s="477"/>
      <c r="BV1869" s="477"/>
      <c r="BW1869" s="477"/>
      <c r="BX1869" s="477"/>
      <c r="BY1869" s="477"/>
    </row>
    <row r="1870" spans="3:77">
      <c r="P1870" s="322"/>
      <c r="Q1870" s="322"/>
      <c r="R1870" s="322"/>
      <c r="S1870" s="322"/>
      <c r="T1870" s="322"/>
      <c r="U1870" s="322"/>
      <c r="V1870" s="322"/>
      <c r="W1870" s="322"/>
      <c r="X1870" s="322"/>
      <c r="Y1870" s="322"/>
      <c r="Z1870" s="322"/>
      <c r="AA1870" s="322"/>
      <c r="AB1870" s="322"/>
      <c r="AC1870" s="322"/>
      <c r="AD1870" s="322"/>
      <c r="AE1870" s="322"/>
      <c r="AF1870" s="322"/>
      <c r="AG1870" s="322"/>
      <c r="AH1870" s="322"/>
      <c r="AI1870" s="322"/>
      <c r="AJ1870" s="322"/>
      <c r="AK1870" s="322"/>
      <c r="AL1870" s="322"/>
      <c r="AM1870" s="322"/>
      <c r="AN1870" s="322"/>
      <c r="AO1870" s="322"/>
      <c r="AP1870" s="322"/>
      <c r="AQ1870" s="322"/>
      <c r="AR1870" s="322"/>
      <c r="AS1870" s="322"/>
      <c r="AT1870" s="322"/>
      <c r="AU1870" s="476"/>
      <c r="AV1870" s="477"/>
      <c r="AW1870" s="477"/>
      <c r="AX1870" s="477"/>
      <c r="AY1870" s="477"/>
      <c r="AZ1870" s="1158">
        <v>3.6043251902282742</v>
      </c>
      <c r="BA1870" s="485">
        <f t="shared" si="1329"/>
        <v>16843.482276888266</v>
      </c>
      <c r="BB1870" s="485">
        <f t="shared" si="1330"/>
        <v>16843.482276888266</v>
      </c>
      <c r="BC1870" s="485">
        <f t="shared" si="1330"/>
        <v>16843.482276888266</v>
      </c>
      <c r="BD1870" s="485">
        <f t="shared" si="1330"/>
        <v>16843.482276888266</v>
      </c>
      <c r="BE1870" s="485">
        <f t="shared" si="1330"/>
        <v>16843.482276888266</v>
      </c>
      <c r="BF1870" s="485">
        <f t="shared" si="1330"/>
        <v>16843.482276888266</v>
      </c>
      <c r="BG1870" s="485">
        <f t="shared" si="1330"/>
        <v>16843.482276888266</v>
      </c>
      <c r="BH1870" s="485">
        <f t="shared" si="1330"/>
        <v>16843.482276888266</v>
      </c>
      <c r="BI1870" s="477"/>
      <c r="BJ1870" s="477"/>
      <c r="BK1870" s="490" t="e">
        <f>AZ1870*#REF!</f>
        <v>#REF!</v>
      </c>
      <c r="BL1870" s="485" t="e">
        <f t="shared" si="1327"/>
        <v>#REF!</v>
      </c>
      <c r="BM1870" s="485" t="e">
        <f t="shared" si="1331"/>
        <v>#REF!</v>
      </c>
      <c r="BN1870" s="485" t="e">
        <f t="shared" si="1331"/>
        <v>#REF!</v>
      </c>
      <c r="BO1870" s="485" t="e">
        <f t="shared" si="1331"/>
        <v>#REF!</v>
      </c>
      <c r="BP1870" s="485" t="e">
        <f t="shared" si="1331"/>
        <v>#REF!</v>
      </c>
      <c r="BQ1870" s="485" t="e">
        <f t="shared" si="1331"/>
        <v>#REF!</v>
      </c>
      <c r="BR1870" s="485" t="e">
        <f t="shared" si="1331"/>
        <v>#REF!</v>
      </c>
      <c r="BS1870" s="485" t="e">
        <f t="shared" si="1331"/>
        <v>#REF!</v>
      </c>
      <c r="BT1870" s="477"/>
      <c r="BU1870" s="477"/>
      <c r="BV1870" s="477"/>
      <c r="BW1870" s="477"/>
      <c r="BX1870" s="477"/>
      <c r="BY1870" s="477"/>
    </row>
    <row r="1871" spans="3:77">
      <c r="P1871" s="322"/>
      <c r="Q1871" s="322"/>
      <c r="R1871" s="322"/>
      <c r="S1871" s="322"/>
      <c r="T1871" s="322"/>
      <c r="U1871" s="322"/>
      <c r="V1871" s="322"/>
      <c r="W1871" s="322"/>
      <c r="X1871" s="322"/>
      <c r="Y1871" s="322"/>
      <c r="Z1871" s="322"/>
      <c r="AA1871" s="322"/>
      <c r="AB1871" s="322"/>
      <c r="AC1871" s="322"/>
      <c r="AD1871" s="322"/>
      <c r="AE1871" s="322"/>
      <c r="AF1871" s="322"/>
      <c r="AG1871" s="322"/>
      <c r="AH1871" s="322"/>
      <c r="AI1871" s="322"/>
      <c r="AJ1871" s="322"/>
      <c r="AK1871" s="322"/>
      <c r="AL1871" s="322"/>
      <c r="AM1871" s="322"/>
      <c r="AN1871" s="322"/>
      <c r="AO1871" s="322"/>
      <c r="AP1871" s="322"/>
      <c r="AQ1871" s="322"/>
      <c r="AR1871" s="322"/>
      <c r="AS1871" s="322"/>
      <c r="AT1871" s="322"/>
      <c r="AU1871" s="476"/>
      <c r="AV1871" s="477"/>
      <c r="AW1871" s="477"/>
      <c r="AX1871" s="477"/>
      <c r="AY1871" s="477"/>
      <c r="AZ1871" s="1158">
        <v>3.6710719530102791</v>
      </c>
      <c r="BA1871" s="485">
        <f t="shared" si="1329"/>
        <v>16843.482276888266</v>
      </c>
      <c r="BB1871" s="485">
        <f t="shared" si="1330"/>
        <v>16843.482276888266</v>
      </c>
      <c r="BC1871" s="485">
        <f t="shared" si="1330"/>
        <v>16843.482276888266</v>
      </c>
      <c r="BD1871" s="485">
        <f t="shared" si="1330"/>
        <v>16843.482276888266</v>
      </c>
      <c r="BE1871" s="485">
        <f t="shared" si="1330"/>
        <v>16843.482276888266</v>
      </c>
      <c r="BF1871" s="485">
        <f t="shared" si="1330"/>
        <v>16843.482276888266</v>
      </c>
      <c r="BG1871" s="485">
        <f t="shared" si="1330"/>
        <v>16843.482276888266</v>
      </c>
      <c r="BH1871" s="485">
        <f t="shared" si="1330"/>
        <v>16843.482276888266</v>
      </c>
      <c r="BI1871" s="477"/>
      <c r="BJ1871" s="477"/>
      <c r="BK1871" s="490" t="e">
        <f>AZ1871*#REF!</f>
        <v>#REF!</v>
      </c>
      <c r="BL1871" s="485" t="e">
        <f t="shared" si="1327"/>
        <v>#REF!</v>
      </c>
      <c r="BM1871" s="485" t="e">
        <f t="shared" si="1331"/>
        <v>#REF!</v>
      </c>
      <c r="BN1871" s="485" t="e">
        <f t="shared" si="1331"/>
        <v>#REF!</v>
      </c>
      <c r="BO1871" s="485" t="e">
        <f t="shared" si="1331"/>
        <v>#REF!</v>
      </c>
      <c r="BP1871" s="485" t="e">
        <f t="shared" si="1331"/>
        <v>#REF!</v>
      </c>
      <c r="BQ1871" s="485" t="e">
        <f t="shared" si="1331"/>
        <v>#REF!</v>
      </c>
      <c r="BR1871" s="485" t="e">
        <f t="shared" si="1331"/>
        <v>#REF!</v>
      </c>
      <c r="BS1871" s="485" t="e">
        <f t="shared" si="1331"/>
        <v>#REF!</v>
      </c>
      <c r="BT1871" s="477"/>
      <c r="BU1871" s="477"/>
      <c r="BV1871" s="477"/>
      <c r="BW1871" s="477"/>
      <c r="BX1871" s="477"/>
      <c r="BY1871" s="477"/>
    </row>
    <row r="1872" spans="3:77">
      <c r="P1872" s="322"/>
      <c r="Q1872" s="322"/>
      <c r="R1872" s="322"/>
      <c r="S1872" s="322"/>
      <c r="T1872" s="322"/>
      <c r="U1872" s="322"/>
      <c r="V1872" s="322"/>
      <c r="W1872" s="322"/>
      <c r="X1872" s="322"/>
      <c r="Y1872" s="322"/>
      <c r="Z1872" s="322"/>
      <c r="AA1872" s="322"/>
      <c r="AB1872" s="322"/>
      <c r="AC1872" s="322"/>
      <c r="AD1872" s="322"/>
      <c r="AE1872" s="322"/>
      <c r="AF1872" s="322"/>
      <c r="AG1872" s="322"/>
      <c r="AH1872" s="322"/>
      <c r="AI1872" s="322"/>
      <c r="AJ1872" s="322"/>
      <c r="AK1872" s="322"/>
      <c r="AL1872" s="322"/>
      <c r="AM1872" s="322"/>
      <c r="AN1872" s="322"/>
      <c r="AO1872" s="322"/>
      <c r="AP1872" s="322"/>
      <c r="AQ1872" s="322"/>
      <c r="AR1872" s="322"/>
      <c r="AS1872" s="322"/>
      <c r="AT1872" s="322"/>
      <c r="AU1872" s="476"/>
      <c r="AV1872" s="477"/>
      <c r="AW1872" s="477"/>
      <c r="AX1872" s="477"/>
      <c r="AY1872" s="477"/>
      <c r="AZ1872" s="1158">
        <v>3.737818715792284</v>
      </c>
      <c r="BA1872" s="485">
        <f t="shared" si="1329"/>
        <v>16843.482276888266</v>
      </c>
      <c r="BB1872" s="485">
        <f t="shared" si="1330"/>
        <v>16843.482276888266</v>
      </c>
      <c r="BC1872" s="485">
        <f t="shared" si="1330"/>
        <v>16843.482276888266</v>
      </c>
      <c r="BD1872" s="485">
        <f t="shared" si="1330"/>
        <v>16843.482276888266</v>
      </c>
      <c r="BE1872" s="485">
        <f t="shared" si="1330"/>
        <v>16843.482276888266</v>
      </c>
      <c r="BF1872" s="485">
        <f t="shared" si="1330"/>
        <v>16843.482276888266</v>
      </c>
      <c r="BG1872" s="485">
        <f t="shared" si="1330"/>
        <v>16843.482276888266</v>
      </c>
      <c r="BH1872" s="485">
        <f t="shared" si="1330"/>
        <v>16843.482276888266</v>
      </c>
      <c r="BI1872" s="477"/>
      <c r="BJ1872" s="477"/>
      <c r="BK1872" s="490" t="e">
        <f>AZ1872*#REF!</f>
        <v>#REF!</v>
      </c>
      <c r="BL1872" s="485" t="e">
        <f t="shared" si="1327"/>
        <v>#REF!</v>
      </c>
      <c r="BM1872" s="485" t="e">
        <f t="shared" si="1331"/>
        <v>#REF!</v>
      </c>
      <c r="BN1872" s="485" t="e">
        <f t="shared" si="1331"/>
        <v>#REF!</v>
      </c>
      <c r="BO1872" s="485" t="e">
        <f t="shared" si="1331"/>
        <v>#REF!</v>
      </c>
      <c r="BP1872" s="485" t="e">
        <f t="shared" si="1331"/>
        <v>#REF!</v>
      </c>
      <c r="BQ1872" s="485" t="e">
        <f t="shared" si="1331"/>
        <v>#REF!</v>
      </c>
      <c r="BR1872" s="485" t="e">
        <f t="shared" si="1331"/>
        <v>#REF!</v>
      </c>
      <c r="BS1872" s="485" t="e">
        <f t="shared" si="1331"/>
        <v>#REF!</v>
      </c>
      <c r="BT1872" s="477"/>
      <c r="BU1872" s="477"/>
      <c r="BV1872" s="477"/>
      <c r="BW1872" s="477"/>
      <c r="BX1872" s="477"/>
      <c r="BY1872" s="477"/>
    </row>
    <row r="1873" spans="16:77">
      <c r="P1873" s="322"/>
      <c r="Q1873" s="322"/>
      <c r="R1873" s="322"/>
      <c r="S1873" s="322"/>
      <c r="T1873" s="322"/>
      <c r="U1873" s="322"/>
      <c r="V1873" s="322"/>
      <c r="W1873" s="322"/>
      <c r="X1873" s="322"/>
      <c r="Y1873" s="322"/>
      <c r="Z1873" s="322"/>
      <c r="AA1873" s="322"/>
      <c r="AB1873" s="322"/>
      <c r="AC1873" s="322"/>
      <c r="AD1873" s="322"/>
      <c r="AE1873" s="322"/>
      <c r="AF1873" s="322"/>
      <c r="AG1873" s="322"/>
      <c r="AH1873" s="322"/>
      <c r="AI1873" s="322"/>
      <c r="AJ1873" s="322"/>
      <c r="AK1873" s="322"/>
      <c r="AL1873" s="322"/>
      <c r="AM1873" s="322"/>
      <c r="AN1873" s="322"/>
      <c r="AO1873" s="322"/>
      <c r="AP1873" s="322"/>
      <c r="AQ1873" s="322"/>
      <c r="AR1873" s="322"/>
      <c r="AS1873" s="322"/>
      <c r="AT1873" s="322"/>
      <c r="AU1873" s="476"/>
      <c r="AV1873" s="477"/>
      <c r="AW1873" s="477"/>
      <c r="AX1873" s="477"/>
      <c r="AY1873" s="477"/>
      <c r="AZ1873" s="1158">
        <v>3.8045654785742893</v>
      </c>
      <c r="BA1873" s="485">
        <f t="shared" si="1329"/>
        <v>16843.482276888266</v>
      </c>
      <c r="BB1873" s="485">
        <f t="shared" si="1330"/>
        <v>16843.482276888266</v>
      </c>
      <c r="BC1873" s="485">
        <f t="shared" si="1330"/>
        <v>16843.482276888266</v>
      </c>
      <c r="BD1873" s="485">
        <f t="shared" si="1330"/>
        <v>16843.482276888266</v>
      </c>
      <c r="BE1873" s="485">
        <f t="shared" si="1330"/>
        <v>16843.482276888266</v>
      </c>
      <c r="BF1873" s="485">
        <f t="shared" si="1330"/>
        <v>16843.482276888266</v>
      </c>
      <c r="BG1873" s="485">
        <f t="shared" si="1330"/>
        <v>16843.482276888266</v>
      </c>
      <c r="BH1873" s="485">
        <f t="shared" si="1330"/>
        <v>16843.482276888266</v>
      </c>
      <c r="BI1873" s="477"/>
      <c r="BJ1873" s="477"/>
      <c r="BK1873" s="490" t="e">
        <f>AZ1873*#REF!</f>
        <v>#REF!</v>
      </c>
      <c r="BL1873" s="485" t="e">
        <f t="shared" si="1327"/>
        <v>#REF!</v>
      </c>
      <c r="BM1873" s="485" t="e">
        <f t="shared" si="1331"/>
        <v>#REF!</v>
      </c>
      <c r="BN1873" s="485" t="e">
        <f t="shared" si="1331"/>
        <v>#REF!</v>
      </c>
      <c r="BO1873" s="485" t="e">
        <f t="shared" si="1331"/>
        <v>#REF!</v>
      </c>
      <c r="BP1873" s="485" t="e">
        <f t="shared" si="1331"/>
        <v>#REF!</v>
      </c>
      <c r="BQ1873" s="485" t="e">
        <f t="shared" si="1331"/>
        <v>#REF!</v>
      </c>
      <c r="BR1873" s="485" t="e">
        <f t="shared" si="1331"/>
        <v>#REF!</v>
      </c>
      <c r="BS1873" s="485" t="e">
        <f t="shared" si="1331"/>
        <v>#REF!</v>
      </c>
      <c r="BT1873" s="477"/>
      <c r="BU1873" s="477"/>
      <c r="BV1873" s="477"/>
      <c r="BW1873" s="477"/>
      <c r="BX1873" s="477"/>
      <c r="BY1873" s="477"/>
    </row>
    <row r="1874" spans="16:77">
      <c r="P1874" s="322"/>
      <c r="Q1874" s="322"/>
      <c r="R1874" s="322"/>
      <c r="S1874" s="322"/>
      <c r="T1874" s="322"/>
      <c r="U1874" s="322"/>
      <c r="V1874" s="322"/>
      <c r="W1874" s="322"/>
      <c r="X1874" s="322"/>
      <c r="Y1874" s="322"/>
      <c r="Z1874" s="322"/>
      <c r="AA1874" s="322"/>
      <c r="AB1874" s="322"/>
      <c r="AC1874" s="322"/>
      <c r="AD1874" s="322"/>
      <c r="AE1874" s="322"/>
      <c r="AF1874" s="322"/>
      <c r="AG1874" s="322"/>
      <c r="AH1874" s="322"/>
      <c r="AI1874" s="322"/>
      <c r="AJ1874" s="322"/>
      <c r="AK1874" s="322"/>
      <c r="AL1874" s="322"/>
      <c r="AM1874" s="322"/>
      <c r="AN1874" s="322"/>
      <c r="AO1874" s="322"/>
      <c r="AP1874" s="322"/>
      <c r="AQ1874" s="322"/>
      <c r="AR1874" s="322"/>
      <c r="AS1874" s="322"/>
      <c r="AT1874" s="322"/>
      <c r="AU1874" s="476"/>
      <c r="AV1874" s="477"/>
      <c r="AW1874" s="477"/>
      <c r="AX1874" s="477"/>
      <c r="AY1874" s="477"/>
      <c r="AZ1874" s="1158">
        <v>3.8713122413562941</v>
      </c>
      <c r="BA1874" s="485">
        <f t="shared" si="1329"/>
        <v>16843.482276888266</v>
      </c>
      <c r="BB1874" s="485">
        <f t="shared" si="1330"/>
        <v>16843.482276888266</v>
      </c>
      <c r="BC1874" s="485">
        <f t="shared" si="1330"/>
        <v>16843.482276888266</v>
      </c>
      <c r="BD1874" s="485">
        <f t="shared" si="1330"/>
        <v>16843.482276888266</v>
      </c>
      <c r="BE1874" s="485">
        <f t="shared" si="1330"/>
        <v>16843.482276888266</v>
      </c>
      <c r="BF1874" s="485">
        <f t="shared" si="1330"/>
        <v>16843.482276888266</v>
      </c>
      <c r="BG1874" s="485">
        <f t="shared" si="1330"/>
        <v>16843.482276888266</v>
      </c>
      <c r="BH1874" s="485">
        <f t="shared" si="1330"/>
        <v>16843.482276888266</v>
      </c>
      <c r="BI1874" s="477"/>
      <c r="BJ1874" s="477"/>
      <c r="BK1874" s="490" t="e">
        <f>AZ1874*#REF!</f>
        <v>#REF!</v>
      </c>
      <c r="BL1874" s="485" t="e">
        <f t="shared" si="1327"/>
        <v>#REF!</v>
      </c>
      <c r="BM1874" s="485" t="e">
        <f t="shared" si="1331"/>
        <v>#REF!</v>
      </c>
      <c r="BN1874" s="485" t="e">
        <f t="shared" si="1331"/>
        <v>#REF!</v>
      </c>
      <c r="BO1874" s="485" t="e">
        <f t="shared" si="1331"/>
        <v>#REF!</v>
      </c>
      <c r="BP1874" s="485" t="e">
        <f t="shared" si="1331"/>
        <v>#REF!</v>
      </c>
      <c r="BQ1874" s="485" t="e">
        <f t="shared" si="1331"/>
        <v>#REF!</v>
      </c>
      <c r="BR1874" s="485" t="e">
        <f t="shared" si="1331"/>
        <v>#REF!</v>
      </c>
      <c r="BS1874" s="485" t="e">
        <f t="shared" si="1331"/>
        <v>#REF!</v>
      </c>
      <c r="BT1874" s="477"/>
      <c r="BU1874" s="477"/>
      <c r="BV1874" s="477"/>
      <c r="BW1874" s="477"/>
      <c r="BX1874" s="477"/>
      <c r="BY1874" s="477"/>
    </row>
    <row r="1875" spans="16:77">
      <c r="P1875" s="322"/>
      <c r="Q1875" s="322"/>
      <c r="R1875" s="322"/>
      <c r="S1875" s="322"/>
      <c r="T1875" s="322"/>
      <c r="U1875" s="322"/>
      <c r="V1875" s="322"/>
      <c r="W1875" s="322"/>
      <c r="X1875" s="322"/>
      <c r="Y1875" s="322"/>
      <c r="Z1875" s="322"/>
      <c r="AA1875" s="322"/>
      <c r="AB1875" s="322"/>
      <c r="AC1875" s="322"/>
      <c r="AD1875" s="322"/>
      <c r="AE1875" s="322"/>
      <c r="AF1875" s="322"/>
      <c r="AG1875" s="322"/>
      <c r="AH1875" s="322"/>
      <c r="AI1875" s="322"/>
      <c r="AJ1875" s="322"/>
      <c r="AK1875" s="322"/>
      <c r="AL1875" s="322"/>
      <c r="AM1875" s="322"/>
      <c r="AN1875" s="322"/>
      <c r="AO1875" s="322"/>
      <c r="AP1875" s="322"/>
      <c r="AQ1875" s="322"/>
      <c r="AR1875" s="322"/>
      <c r="AS1875" s="322"/>
      <c r="AT1875" s="322"/>
      <c r="AU1875" s="476"/>
      <c r="AV1875" s="477"/>
      <c r="AW1875" s="477"/>
      <c r="AX1875" s="477"/>
      <c r="AY1875" s="477"/>
      <c r="AZ1875" s="1158">
        <v>3.9380590041382995</v>
      </c>
      <c r="BA1875" s="485">
        <f t="shared" si="1329"/>
        <v>16843.482276888266</v>
      </c>
      <c r="BB1875" s="485">
        <f t="shared" si="1330"/>
        <v>16843.482276888266</v>
      </c>
      <c r="BC1875" s="485">
        <f t="shared" si="1330"/>
        <v>16843.482276888266</v>
      </c>
      <c r="BD1875" s="485">
        <f t="shared" si="1330"/>
        <v>16843.482276888266</v>
      </c>
      <c r="BE1875" s="485">
        <f t="shared" si="1330"/>
        <v>16843.482276888266</v>
      </c>
      <c r="BF1875" s="485">
        <f t="shared" si="1330"/>
        <v>16843.482276888266</v>
      </c>
      <c r="BG1875" s="485">
        <f t="shared" si="1330"/>
        <v>16843.482276888266</v>
      </c>
      <c r="BH1875" s="485">
        <f t="shared" si="1330"/>
        <v>16843.482276888266</v>
      </c>
      <c r="BI1875" s="477"/>
      <c r="BJ1875" s="477"/>
      <c r="BK1875" s="490" t="e">
        <f>AZ1875*#REF!</f>
        <v>#REF!</v>
      </c>
      <c r="BL1875" s="485" t="e">
        <f t="shared" si="1327"/>
        <v>#REF!</v>
      </c>
      <c r="BM1875" s="485" t="e">
        <f t="shared" si="1331"/>
        <v>#REF!</v>
      </c>
      <c r="BN1875" s="485" t="e">
        <f t="shared" si="1331"/>
        <v>#REF!</v>
      </c>
      <c r="BO1875" s="485" t="e">
        <f t="shared" si="1331"/>
        <v>#REF!</v>
      </c>
      <c r="BP1875" s="485" t="e">
        <f t="shared" si="1331"/>
        <v>#REF!</v>
      </c>
      <c r="BQ1875" s="485" t="e">
        <f t="shared" si="1331"/>
        <v>#REF!</v>
      </c>
      <c r="BR1875" s="485" t="e">
        <f t="shared" si="1331"/>
        <v>#REF!</v>
      </c>
      <c r="BS1875" s="485" t="e">
        <f t="shared" si="1331"/>
        <v>#REF!</v>
      </c>
      <c r="BT1875" s="477"/>
      <c r="BU1875" s="477"/>
      <c r="BV1875" s="477"/>
      <c r="BW1875" s="477"/>
      <c r="BX1875" s="477"/>
      <c r="BY1875" s="477"/>
    </row>
    <row r="1876" spans="16:77">
      <c r="P1876" s="322"/>
      <c r="Q1876" s="322"/>
      <c r="R1876" s="322"/>
      <c r="S1876" s="322"/>
      <c r="T1876" s="322"/>
      <c r="U1876" s="322"/>
      <c r="V1876" s="322"/>
      <c r="W1876" s="322"/>
      <c r="X1876" s="322"/>
      <c r="Y1876" s="322"/>
      <c r="Z1876" s="322"/>
      <c r="AA1876" s="322"/>
      <c r="AB1876" s="322"/>
      <c r="AC1876" s="322"/>
      <c r="AD1876" s="322"/>
      <c r="AE1876" s="322"/>
      <c r="AF1876" s="322"/>
      <c r="AG1876" s="322"/>
      <c r="AH1876" s="322"/>
      <c r="AI1876" s="322"/>
      <c r="AJ1876" s="322"/>
      <c r="AK1876" s="322"/>
      <c r="AL1876" s="322"/>
      <c r="AM1876" s="322"/>
      <c r="AN1876" s="322"/>
      <c r="AO1876" s="322"/>
      <c r="AP1876" s="322"/>
      <c r="AQ1876" s="322"/>
      <c r="AR1876" s="322"/>
      <c r="AS1876" s="322"/>
      <c r="AT1876" s="322"/>
      <c r="AU1876" s="476"/>
      <c r="AV1876" s="477"/>
      <c r="AW1876" s="477"/>
      <c r="AX1876" s="477"/>
      <c r="AY1876" s="477"/>
      <c r="AZ1876" s="1158">
        <v>4.0048057669203043</v>
      </c>
      <c r="BA1876" s="485">
        <f t="shared" si="1329"/>
        <v>16843.482276888266</v>
      </c>
      <c r="BB1876" s="485">
        <f t="shared" si="1330"/>
        <v>16843.482276888266</v>
      </c>
      <c r="BC1876" s="485">
        <f t="shared" si="1330"/>
        <v>16843.482276888266</v>
      </c>
      <c r="BD1876" s="485">
        <f t="shared" si="1330"/>
        <v>16843.482276888266</v>
      </c>
      <c r="BE1876" s="485">
        <f t="shared" si="1330"/>
        <v>16843.482276888266</v>
      </c>
      <c r="BF1876" s="485">
        <f t="shared" si="1330"/>
        <v>16843.482276888266</v>
      </c>
      <c r="BG1876" s="485">
        <f t="shared" si="1330"/>
        <v>16843.482276888266</v>
      </c>
      <c r="BH1876" s="485">
        <f t="shared" si="1330"/>
        <v>16843.482276888266</v>
      </c>
      <c r="BI1876" s="477"/>
      <c r="BJ1876" s="477"/>
      <c r="BK1876" s="490" t="e">
        <f>AZ1876*#REF!</f>
        <v>#REF!</v>
      </c>
      <c r="BL1876" s="485" t="e">
        <f t="shared" si="1327"/>
        <v>#REF!</v>
      </c>
      <c r="BM1876" s="485" t="e">
        <f t="shared" si="1331"/>
        <v>#REF!</v>
      </c>
      <c r="BN1876" s="485" t="e">
        <f t="shared" si="1331"/>
        <v>#REF!</v>
      </c>
      <c r="BO1876" s="485" t="e">
        <f t="shared" si="1331"/>
        <v>#REF!</v>
      </c>
      <c r="BP1876" s="485" t="e">
        <f t="shared" si="1331"/>
        <v>#REF!</v>
      </c>
      <c r="BQ1876" s="485" t="e">
        <f t="shared" si="1331"/>
        <v>#REF!</v>
      </c>
      <c r="BR1876" s="485" t="e">
        <f t="shared" si="1331"/>
        <v>#REF!</v>
      </c>
      <c r="BS1876" s="485" t="e">
        <f t="shared" si="1331"/>
        <v>#REF!</v>
      </c>
      <c r="BT1876" s="477"/>
      <c r="BU1876" s="477"/>
      <c r="BV1876" s="477"/>
      <c r="BW1876" s="477"/>
      <c r="BX1876" s="477"/>
      <c r="BY1876" s="477"/>
    </row>
    <row r="1877" spans="16:77">
      <c r="P1877" s="322"/>
      <c r="Q1877" s="322"/>
      <c r="R1877" s="322"/>
      <c r="S1877" s="322"/>
      <c r="T1877" s="322"/>
      <c r="U1877" s="322"/>
      <c r="V1877" s="322"/>
      <c r="W1877" s="322"/>
      <c r="X1877" s="322"/>
      <c r="Y1877" s="322"/>
      <c r="Z1877" s="322"/>
      <c r="AA1877" s="322"/>
      <c r="AB1877" s="322"/>
      <c r="AC1877" s="322"/>
      <c r="AD1877" s="322"/>
      <c r="AE1877" s="322"/>
      <c r="AF1877" s="322"/>
      <c r="AG1877" s="322"/>
      <c r="AH1877" s="322"/>
      <c r="AI1877" s="322"/>
      <c r="AJ1877" s="322"/>
      <c r="AK1877" s="322"/>
      <c r="AL1877" s="322"/>
      <c r="AM1877" s="322"/>
      <c r="AN1877" s="322"/>
      <c r="AO1877" s="322"/>
      <c r="AP1877" s="322"/>
      <c r="AQ1877" s="322"/>
      <c r="AR1877" s="322"/>
      <c r="AS1877" s="322"/>
      <c r="AT1877" s="322"/>
      <c r="AU1877" s="476"/>
      <c r="AV1877" s="477"/>
      <c r="AW1877" s="477"/>
      <c r="AX1877" s="477"/>
      <c r="AY1877" s="477"/>
      <c r="AZ1877" s="1158">
        <v>4.0715525297023092</v>
      </c>
      <c r="BA1877" s="485">
        <f t="shared" si="1329"/>
        <v>16843.482276888266</v>
      </c>
      <c r="BB1877" s="485">
        <f t="shared" si="1330"/>
        <v>16843.482276888266</v>
      </c>
      <c r="BC1877" s="485">
        <f t="shared" si="1330"/>
        <v>16843.482276888266</v>
      </c>
      <c r="BD1877" s="485">
        <f t="shared" si="1330"/>
        <v>16843.482276888266</v>
      </c>
      <c r="BE1877" s="485">
        <f t="shared" si="1330"/>
        <v>16843.482276888266</v>
      </c>
      <c r="BF1877" s="485">
        <f t="shared" si="1330"/>
        <v>16843.482276888266</v>
      </c>
      <c r="BG1877" s="485">
        <f t="shared" si="1330"/>
        <v>16843.482276888266</v>
      </c>
      <c r="BH1877" s="485">
        <f t="shared" si="1330"/>
        <v>16843.482276888266</v>
      </c>
      <c r="BI1877" s="477"/>
      <c r="BJ1877" s="477"/>
      <c r="BK1877" s="490" t="e">
        <f>AZ1877*#REF!</f>
        <v>#REF!</v>
      </c>
      <c r="BL1877" s="485" t="e">
        <f t="shared" si="1327"/>
        <v>#REF!</v>
      </c>
      <c r="BM1877" s="485" t="e">
        <f t="shared" si="1331"/>
        <v>#REF!</v>
      </c>
      <c r="BN1877" s="485" t="e">
        <f t="shared" si="1331"/>
        <v>#REF!</v>
      </c>
      <c r="BO1877" s="485" t="e">
        <f t="shared" si="1331"/>
        <v>#REF!</v>
      </c>
      <c r="BP1877" s="485" t="e">
        <f t="shared" si="1331"/>
        <v>#REF!</v>
      </c>
      <c r="BQ1877" s="485" t="e">
        <f t="shared" si="1331"/>
        <v>#REF!</v>
      </c>
      <c r="BR1877" s="485" t="e">
        <f t="shared" si="1331"/>
        <v>#REF!</v>
      </c>
      <c r="BS1877" s="485" t="e">
        <f t="shared" si="1331"/>
        <v>#REF!</v>
      </c>
      <c r="BT1877" s="477"/>
      <c r="BU1877" s="477"/>
      <c r="BV1877" s="477"/>
      <c r="BW1877" s="477"/>
      <c r="BX1877" s="477"/>
      <c r="BY1877" s="477"/>
    </row>
    <row r="1878" spans="16:77">
      <c r="P1878" s="322"/>
      <c r="Q1878" s="322"/>
      <c r="R1878" s="322"/>
      <c r="S1878" s="322"/>
      <c r="T1878" s="322"/>
      <c r="U1878" s="322"/>
      <c r="V1878" s="322"/>
      <c r="W1878" s="322"/>
      <c r="X1878" s="322"/>
      <c r="Y1878" s="322"/>
      <c r="Z1878" s="322"/>
      <c r="AA1878" s="322"/>
      <c r="AB1878" s="322"/>
      <c r="AC1878" s="322"/>
      <c r="AD1878" s="322"/>
      <c r="AE1878" s="322"/>
      <c r="AF1878" s="322"/>
      <c r="AG1878" s="322"/>
      <c r="AH1878" s="322"/>
      <c r="AI1878" s="322"/>
      <c r="AJ1878" s="322"/>
      <c r="AK1878" s="322"/>
      <c r="AL1878" s="322"/>
      <c r="AM1878" s="322"/>
      <c r="AN1878" s="322"/>
      <c r="AO1878" s="322"/>
      <c r="AP1878" s="322"/>
      <c r="AQ1878" s="322"/>
      <c r="AR1878" s="322"/>
      <c r="AS1878" s="322"/>
      <c r="AT1878" s="322"/>
      <c r="AU1878" s="476"/>
      <c r="AV1878" s="477"/>
      <c r="AW1878" s="477"/>
      <c r="AX1878" s="477"/>
      <c r="AY1878" s="477"/>
      <c r="AZ1878" s="477"/>
      <c r="BA1878" s="477"/>
      <c r="BB1878" s="477"/>
      <c r="BC1878" s="477"/>
      <c r="BD1878" s="477"/>
      <c r="BE1878" s="477"/>
      <c r="BF1878" s="477"/>
      <c r="BG1878" s="477"/>
      <c r="BH1878" s="477"/>
      <c r="BI1878" s="477"/>
      <c r="BJ1878" s="477"/>
      <c r="BK1878" s="477"/>
      <c r="BL1878" s="477"/>
      <c r="BM1878" s="477"/>
      <c r="BN1878" s="477"/>
      <c r="BO1878" s="477"/>
      <c r="BP1878" s="477"/>
      <c r="BQ1878" s="477"/>
      <c r="BR1878" s="477"/>
      <c r="BS1878" s="477"/>
      <c r="BT1878" s="477"/>
      <c r="BU1878" s="477"/>
      <c r="BV1878" s="477"/>
      <c r="BW1878" s="477"/>
      <c r="BX1878" s="477"/>
      <c r="BY1878" s="477"/>
    </row>
    <row r="1879" spans="16:77">
      <c r="P1879" s="322"/>
      <c r="Q1879" s="322"/>
      <c r="R1879" s="322"/>
      <c r="S1879" s="322"/>
      <c r="T1879" s="322"/>
      <c r="U1879" s="322"/>
      <c r="V1879" s="322"/>
      <c r="W1879" s="322"/>
      <c r="X1879" s="322"/>
      <c r="Y1879" s="322"/>
      <c r="Z1879" s="322"/>
      <c r="AA1879" s="322"/>
      <c r="AB1879" s="322"/>
      <c r="AC1879" s="322"/>
      <c r="AD1879" s="322"/>
      <c r="AE1879" s="322"/>
      <c r="AF1879" s="322"/>
      <c r="AG1879" s="322"/>
      <c r="AH1879" s="322"/>
      <c r="AI1879" s="322"/>
      <c r="AJ1879" s="322"/>
      <c r="AK1879" s="322"/>
      <c r="AL1879" s="322"/>
      <c r="AM1879" s="322"/>
      <c r="AN1879" s="322"/>
      <c r="AO1879" s="322"/>
      <c r="AP1879" s="322"/>
      <c r="AQ1879" s="322"/>
      <c r="AR1879" s="322"/>
      <c r="AS1879" s="322"/>
      <c r="AT1879" s="322"/>
      <c r="AU1879" s="476"/>
      <c r="AV1879" s="477"/>
      <c r="AW1879" s="477"/>
      <c r="AX1879" s="477"/>
      <c r="AY1879" s="477"/>
      <c r="AZ1879" s="477"/>
      <c r="BA1879" s="477"/>
      <c r="BB1879" s="477"/>
      <c r="BC1879" s="477"/>
      <c r="BD1879" s="477"/>
      <c r="BE1879" s="477"/>
      <c r="BF1879" s="477"/>
      <c r="BG1879" s="477"/>
      <c r="BH1879" s="477"/>
      <c r="BI1879" s="477"/>
      <c r="BJ1879" s="477"/>
      <c r="BK1879" s="477"/>
      <c r="BL1879" s="477"/>
      <c r="BM1879" s="477"/>
      <c r="BN1879" s="477"/>
      <c r="BO1879" s="477"/>
      <c r="BP1879" s="477"/>
      <c r="BQ1879" s="477"/>
      <c r="BR1879" s="477"/>
      <c r="BS1879" s="477"/>
      <c r="BT1879" s="477"/>
      <c r="BU1879" s="477"/>
      <c r="BV1879" s="477"/>
      <c r="BW1879" s="477"/>
      <c r="BX1879" s="477"/>
      <c r="BY1879" s="477"/>
    </row>
    <row r="1880" spans="16:77">
      <c r="P1880" s="322"/>
      <c r="Q1880" s="322"/>
      <c r="R1880" s="322"/>
      <c r="S1880" s="322"/>
      <c r="T1880" s="322"/>
      <c r="U1880" s="322"/>
      <c r="V1880" s="322"/>
      <c r="W1880" s="322"/>
      <c r="X1880" s="322"/>
      <c r="Y1880" s="322"/>
      <c r="Z1880" s="322"/>
      <c r="AA1880" s="322"/>
      <c r="AB1880" s="322"/>
      <c r="AC1880" s="322"/>
      <c r="AD1880" s="322"/>
      <c r="AE1880" s="322"/>
      <c r="AF1880" s="322"/>
      <c r="AG1880" s="322"/>
      <c r="AH1880" s="322"/>
      <c r="AI1880" s="322"/>
      <c r="AJ1880" s="322"/>
      <c r="AK1880" s="322"/>
      <c r="AL1880" s="322"/>
      <c r="AM1880" s="322"/>
      <c r="AN1880" s="322"/>
      <c r="AO1880" s="322"/>
      <c r="AP1880" s="322"/>
      <c r="AQ1880" s="322"/>
      <c r="AR1880" s="322"/>
      <c r="AS1880" s="322"/>
      <c r="AT1880" s="322"/>
      <c r="AU1880" s="476"/>
      <c r="AV1880" s="477"/>
      <c r="AW1880" s="477"/>
      <c r="AX1880" s="477"/>
      <c r="AY1880" s="477"/>
      <c r="AZ1880" s="477"/>
      <c r="BA1880" s="477"/>
      <c r="BB1880" s="477"/>
      <c r="BC1880" s="477"/>
      <c r="BD1880" s="477"/>
      <c r="BE1880" s="477"/>
      <c r="BF1880" s="477"/>
      <c r="BG1880" s="477"/>
      <c r="BH1880" s="477"/>
      <c r="BI1880" s="477"/>
      <c r="BJ1880" s="477"/>
      <c r="BK1880" s="477"/>
      <c r="BL1880" s="477"/>
      <c r="BM1880" s="477"/>
      <c r="BN1880" s="477"/>
      <c r="BO1880" s="477"/>
      <c r="BP1880" s="477"/>
      <c r="BQ1880" s="477"/>
      <c r="BR1880" s="477"/>
      <c r="BS1880" s="477"/>
      <c r="BT1880" s="477"/>
      <c r="BU1880" s="477"/>
      <c r="BV1880" s="477"/>
      <c r="BW1880" s="477"/>
      <c r="BX1880" s="477"/>
      <c r="BY1880" s="477"/>
    </row>
    <row r="1881" spans="16:77" ht="16" thickBot="1">
      <c r="P1881" s="322"/>
      <c r="Q1881" s="322"/>
      <c r="R1881" s="322"/>
      <c r="S1881" s="322"/>
      <c r="T1881" s="322"/>
      <c r="U1881" s="322"/>
      <c r="V1881" s="322"/>
      <c r="W1881" s="322"/>
      <c r="X1881" s="322"/>
      <c r="Y1881" s="322"/>
      <c r="Z1881" s="322"/>
      <c r="AA1881" s="322"/>
      <c r="AB1881" s="322"/>
      <c r="AC1881" s="322"/>
      <c r="AD1881" s="322"/>
      <c r="AE1881" s="322"/>
      <c r="AF1881" s="322"/>
      <c r="AG1881" s="322"/>
      <c r="AH1881" s="322"/>
      <c r="AI1881" s="322"/>
      <c r="AJ1881" s="322"/>
      <c r="AK1881" s="322"/>
      <c r="AL1881" s="322"/>
      <c r="AM1881" s="322"/>
      <c r="AN1881" s="322"/>
      <c r="AO1881" s="322"/>
      <c r="AP1881" s="322"/>
      <c r="AQ1881" s="322"/>
      <c r="AR1881" s="322"/>
      <c r="AS1881" s="322"/>
      <c r="AT1881" s="322"/>
      <c r="AU1881" s="479"/>
      <c r="AV1881" s="480"/>
      <c r="AW1881" s="480"/>
      <c r="AX1881" s="480"/>
      <c r="AY1881" s="480"/>
      <c r="AZ1881" s="480"/>
      <c r="BA1881" s="480"/>
      <c r="BB1881" s="480"/>
      <c r="BC1881" s="480"/>
      <c r="BD1881" s="480"/>
      <c r="BE1881" s="480"/>
      <c r="BF1881" s="480"/>
      <c r="BG1881" s="480"/>
      <c r="BH1881" s="480"/>
      <c r="BI1881" s="480"/>
      <c r="BJ1881" s="480"/>
      <c r="BK1881" s="480"/>
      <c r="BL1881" s="480"/>
      <c r="BM1881" s="480"/>
      <c r="BN1881" s="480"/>
      <c r="BO1881" s="480"/>
      <c r="BP1881" s="480"/>
      <c r="BQ1881" s="480"/>
      <c r="BR1881" s="480"/>
      <c r="BS1881" s="480"/>
      <c r="BT1881" s="480"/>
      <c r="BU1881" s="480"/>
      <c r="BV1881" s="480"/>
      <c r="BW1881" s="480"/>
      <c r="BX1881" s="480"/>
      <c r="BY1881" s="480"/>
    </row>
    <row r="1882" spans="16:77">
      <c r="P1882" s="322"/>
      <c r="Q1882" s="322"/>
      <c r="R1882" s="322"/>
      <c r="S1882" s="322"/>
      <c r="T1882" s="322"/>
      <c r="U1882" s="322"/>
      <c r="V1882" s="322"/>
      <c r="W1882" s="322"/>
      <c r="X1882" s="322"/>
      <c r="Y1882" s="322"/>
      <c r="Z1882" s="322"/>
      <c r="AA1882" s="322"/>
      <c r="AB1882" s="322"/>
      <c r="AC1882" s="322"/>
      <c r="AD1882" s="322"/>
      <c r="AE1882" s="322"/>
      <c r="AF1882" s="322"/>
      <c r="AG1882" s="322"/>
      <c r="AH1882" s="322"/>
      <c r="AI1882" s="322"/>
      <c r="AJ1882" s="322"/>
      <c r="AK1882" s="322"/>
      <c r="AL1882" s="322"/>
      <c r="AM1882" s="322"/>
      <c r="AN1882" s="322"/>
      <c r="AO1882" s="322"/>
      <c r="AP1882" s="322"/>
      <c r="AQ1882" s="322"/>
      <c r="AR1882" s="322"/>
      <c r="AS1882" s="322"/>
      <c r="AT1882" s="322"/>
    </row>
    <row r="1883" spans="16:77">
      <c r="P1883" s="322"/>
      <c r="Q1883" s="322"/>
      <c r="R1883" s="322"/>
      <c r="S1883" s="322"/>
      <c r="T1883" s="322"/>
      <c r="U1883" s="322"/>
      <c r="V1883" s="322"/>
      <c r="W1883" s="322"/>
      <c r="X1883" s="322"/>
      <c r="Y1883" s="322"/>
      <c r="Z1883" s="322"/>
      <c r="AA1883" s="322"/>
      <c r="AB1883" s="322"/>
      <c r="AC1883" s="322"/>
      <c r="AD1883" s="322"/>
      <c r="AE1883" s="322"/>
      <c r="AF1883" s="322"/>
      <c r="AG1883" s="322"/>
      <c r="AH1883" s="322"/>
      <c r="AI1883" s="322"/>
      <c r="AJ1883" s="322"/>
      <c r="AK1883" s="322"/>
      <c r="AL1883" s="322"/>
      <c r="AM1883" s="322"/>
      <c r="AN1883" s="322"/>
      <c r="AO1883" s="322"/>
      <c r="AP1883" s="322"/>
      <c r="AQ1883" s="322"/>
      <c r="AR1883" s="322"/>
      <c r="AS1883" s="322"/>
      <c r="AT1883" s="322"/>
    </row>
    <row r="1884" spans="16:77" ht="16" thickBot="1">
      <c r="P1884" s="322"/>
      <c r="Q1884" s="322"/>
      <c r="R1884" s="322"/>
      <c r="S1884" s="322"/>
      <c r="T1884" s="322"/>
      <c r="U1884" s="322"/>
      <c r="V1884" s="322"/>
      <c r="W1884" s="322"/>
      <c r="X1884" s="322"/>
      <c r="Y1884" s="322"/>
      <c r="Z1884" s="322"/>
      <c r="AA1884" s="322"/>
      <c r="AB1884" s="322"/>
      <c r="AC1884" s="322"/>
      <c r="AD1884" s="322"/>
      <c r="AE1884" s="322"/>
      <c r="AF1884" s="322"/>
      <c r="AG1884" s="322"/>
      <c r="AH1884" s="322"/>
      <c r="AI1884" s="322"/>
      <c r="AJ1884" s="322"/>
      <c r="AK1884" s="322"/>
      <c r="AL1884" s="322"/>
      <c r="AM1884" s="322"/>
      <c r="AN1884" s="322"/>
      <c r="AO1884" s="322"/>
      <c r="AP1884" s="322"/>
      <c r="AQ1884" s="322"/>
      <c r="AR1884" s="322"/>
      <c r="AS1884" s="322"/>
      <c r="AT1884" s="322"/>
    </row>
    <row r="1885" spans="16:77">
      <c r="P1885" s="322"/>
      <c r="Q1885" s="322"/>
      <c r="R1885" s="322"/>
      <c r="S1885" s="322"/>
      <c r="T1885" s="322"/>
      <c r="U1885" s="322"/>
      <c r="V1885" s="322"/>
      <c r="W1885" s="322"/>
      <c r="X1885" s="322"/>
      <c r="Y1885" s="322"/>
      <c r="Z1885" s="322"/>
      <c r="AA1885" s="322"/>
      <c r="AB1885" s="322"/>
      <c r="AC1885" s="322"/>
      <c r="AD1885" s="322"/>
      <c r="AE1885" s="322"/>
      <c r="AF1885" s="322"/>
      <c r="AG1885" s="322"/>
      <c r="AH1885" s="322"/>
      <c r="AI1885" s="322"/>
      <c r="AJ1885" s="322"/>
      <c r="AK1885" s="322"/>
      <c r="AL1885" s="322"/>
      <c r="AM1885" s="322"/>
      <c r="AN1885" s="322"/>
      <c r="AO1885" s="322"/>
      <c r="AP1885" s="322"/>
      <c r="AQ1885" s="322"/>
      <c r="AR1885" s="322"/>
      <c r="AS1885" s="322"/>
      <c r="AT1885" s="322"/>
      <c r="AU1885" s="491" t="s">
        <v>546</v>
      </c>
      <c r="AV1885" s="474"/>
      <c r="AW1885" s="474"/>
      <c r="AX1885" s="474"/>
      <c r="AY1885" s="474"/>
      <c r="AZ1885" s="474"/>
      <c r="BA1885" s="474"/>
      <c r="BB1885" s="474"/>
      <c r="BC1885" s="474"/>
      <c r="BD1885" s="474"/>
      <c r="BE1885" s="474"/>
      <c r="BF1885" s="474"/>
      <c r="BG1885" s="474"/>
      <c r="BH1885" s="474"/>
      <c r="BI1885" s="474"/>
      <c r="BJ1885" s="474"/>
      <c r="BK1885" s="474"/>
      <c r="BL1885" s="474"/>
      <c r="BM1885" s="474"/>
      <c r="BN1885" s="474"/>
      <c r="BO1885" s="474"/>
      <c r="BP1885" s="474"/>
      <c r="BQ1885" s="474"/>
      <c r="BR1885" s="474"/>
      <c r="BS1885" s="474"/>
      <c r="BT1885" s="474"/>
      <c r="BU1885" s="474"/>
      <c r="BV1885" s="474"/>
      <c r="BW1885" s="474"/>
      <c r="BX1885" s="474"/>
      <c r="BY1885" s="474"/>
    </row>
    <row r="1886" spans="16:77" ht="20">
      <c r="P1886" s="322"/>
      <c r="Q1886" s="322"/>
      <c r="R1886" s="322"/>
      <c r="S1886" s="322"/>
      <c r="T1886" s="322"/>
      <c r="U1886" s="322"/>
      <c r="V1886" s="322"/>
      <c r="W1886" s="322"/>
      <c r="X1886" s="322"/>
      <c r="Y1886" s="322"/>
      <c r="Z1886" s="322"/>
      <c r="AA1886" s="322"/>
      <c r="AB1886" s="322"/>
      <c r="AC1886" s="322"/>
      <c r="AD1886" s="322"/>
      <c r="AE1886" s="322"/>
      <c r="AF1886" s="322"/>
      <c r="AG1886" s="322"/>
      <c r="AH1886" s="322"/>
      <c r="AI1886" s="322"/>
      <c r="AJ1886" s="322"/>
      <c r="AK1886" s="322"/>
      <c r="AL1886" s="322"/>
      <c r="AM1886" s="322"/>
      <c r="AN1886" s="322"/>
      <c r="AO1886" s="322"/>
      <c r="AP1886" s="322"/>
      <c r="AQ1886" s="322"/>
      <c r="AR1886" s="322"/>
      <c r="AS1886" s="322"/>
      <c r="AT1886" s="322"/>
      <c r="AU1886" s="476"/>
      <c r="AV1886" s="477"/>
      <c r="AW1886" s="477"/>
      <c r="AX1886" s="526"/>
      <c r="AY1886" s="526" t="s">
        <v>960</v>
      </c>
      <c r="AZ1886" s="527"/>
      <c r="BA1886" s="527"/>
      <c r="BB1886" s="1381" t="s">
        <v>955</v>
      </c>
      <c r="BC1886" s="1381"/>
      <c r="BD1886" s="1381"/>
      <c r="BE1886" s="1381"/>
      <c r="BF1886" s="1381"/>
      <c r="BG1886" s="527"/>
      <c r="BH1886" s="527"/>
      <c r="BI1886" s="527"/>
      <c r="BJ1886" s="487"/>
      <c r="BK1886" s="487"/>
      <c r="BL1886" s="487"/>
      <c r="BM1886" s="487"/>
      <c r="BN1886" s="487"/>
      <c r="BO1886" s="487"/>
      <c r="BP1886" s="487"/>
      <c r="BQ1886" s="487"/>
      <c r="BR1886" s="487"/>
      <c r="BS1886" s="487"/>
      <c r="BT1886" s="487"/>
      <c r="BU1886" s="477"/>
      <c r="BV1886" s="477"/>
      <c r="BW1886" s="477"/>
      <c r="BX1886" s="477"/>
      <c r="BY1886" s="477"/>
    </row>
    <row r="1887" spans="16:77" ht="20">
      <c r="P1887" s="322"/>
      <c r="Q1887" s="322"/>
      <c r="R1887" s="322"/>
      <c r="S1887" s="322"/>
      <c r="T1887" s="322"/>
      <c r="U1887" s="322"/>
      <c r="V1887" s="322"/>
      <c r="W1887" s="322"/>
      <c r="X1887" s="322"/>
      <c r="Y1887" s="322"/>
      <c r="Z1887" s="322"/>
      <c r="AA1887" s="322"/>
      <c r="AB1887" s="322"/>
      <c r="AC1887" s="322"/>
      <c r="AD1887" s="322"/>
      <c r="AE1887" s="322"/>
      <c r="AF1887" s="322"/>
      <c r="AG1887" s="322"/>
      <c r="AH1887" s="322"/>
      <c r="AI1887" s="322"/>
      <c r="AJ1887" s="322"/>
      <c r="AK1887" s="322"/>
      <c r="AL1887" s="322"/>
      <c r="AM1887" s="322"/>
      <c r="AN1887" s="322"/>
      <c r="AO1887" s="322"/>
      <c r="AP1887" s="322"/>
      <c r="AQ1887" s="322"/>
      <c r="AR1887" s="322"/>
      <c r="AS1887" s="322"/>
      <c r="AT1887" s="322"/>
      <c r="AU1887" s="476"/>
      <c r="AV1887" s="477"/>
      <c r="AW1887" s="477"/>
      <c r="AX1887" s="527"/>
      <c r="AY1887" s="527"/>
      <c r="AZ1887" s="527"/>
      <c r="BA1887" s="1148">
        <v>100</v>
      </c>
      <c r="BB1887" s="1148">
        <v>110</v>
      </c>
      <c r="BC1887" s="1148">
        <v>120</v>
      </c>
      <c r="BD1887" s="1148">
        <v>130</v>
      </c>
      <c r="BE1887" s="1148">
        <v>140</v>
      </c>
      <c r="BF1887" s="1148">
        <v>150</v>
      </c>
      <c r="BG1887" s="1148">
        <v>160</v>
      </c>
      <c r="BH1887" s="1148">
        <v>170</v>
      </c>
      <c r="BI1887" s="527"/>
      <c r="BJ1887" s="487"/>
      <c r="BK1887" s="487"/>
      <c r="BL1887" s="487"/>
      <c r="BM1887" s="1384" t="s">
        <v>556</v>
      </c>
      <c r="BN1887" s="1384"/>
      <c r="BO1887" s="1384"/>
      <c r="BP1887" s="1384"/>
      <c r="BQ1887" s="1384"/>
      <c r="BR1887" s="487"/>
      <c r="BS1887" s="487"/>
      <c r="BT1887" s="487"/>
      <c r="BU1887" s="477"/>
      <c r="BV1887" s="477"/>
      <c r="BW1887" s="477"/>
      <c r="BX1887" s="477"/>
      <c r="BY1887" s="477"/>
    </row>
    <row r="1888" spans="16:77" ht="20">
      <c r="P1888" s="322"/>
      <c r="Q1888" s="322"/>
      <c r="R1888" s="322"/>
      <c r="S1888" s="322"/>
      <c r="T1888" s="322"/>
      <c r="U1888" s="322"/>
      <c r="V1888" s="322"/>
      <c r="W1888" s="322"/>
      <c r="X1888" s="322"/>
      <c r="Y1888" s="322"/>
      <c r="Z1888" s="322"/>
      <c r="AA1888" s="322"/>
      <c r="AB1888" s="322"/>
      <c r="AC1888" s="322"/>
      <c r="AD1888" s="322"/>
      <c r="AE1888" s="322"/>
      <c r="AF1888" s="322"/>
      <c r="AG1888" s="322"/>
      <c r="AH1888" s="322"/>
      <c r="AI1888" s="322"/>
      <c r="AJ1888" s="322"/>
      <c r="AK1888" s="322"/>
      <c r="AL1888" s="322"/>
      <c r="AM1888" s="322"/>
      <c r="AN1888" s="322"/>
      <c r="AO1888" s="322"/>
      <c r="AP1888" s="322"/>
      <c r="AQ1888" s="322"/>
      <c r="AR1888" s="322"/>
      <c r="AS1888" s="322"/>
      <c r="AT1888" s="322"/>
      <c r="AU1888" s="476"/>
      <c r="AV1888" s="477"/>
      <c r="AW1888" s="477"/>
      <c r="AX1888" s="527"/>
      <c r="AY1888" s="527"/>
      <c r="AZ1888" s="527"/>
      <c r="BA1888" s="1149">
        <v>133.49352556401016</v>
      </c>
      <c r="BB1888" s="1149">
        <v>146.84287812041117</v>
      </c>
      <c r="BC1888" s="1149">
        <v>160.19223067681219</v>
      </c>
      <c r="BD1888" s="1149">
        <v>173.5415832332132</v>
      </c>
      <c r="BE1888" s="1149">
        <v>186.89093578961422</v>
      </c>
      <c r="BF1888" s="1149">
        <v>200.24028834601523</v>
      </c>
      <c r="BG1888" s="1149">
        <v>213.58964090241625</v>
      </c>
      <c r="BH1888" s="1149">
        <v>226.93899345881727</v>
      </c>
      <c r="BI1888" s="527"/>
      <c r="BJ1888" s="487"/>
      <c r="BK1888" s="487"/>
      <c r="BL1888" s="490" t="e">
        <f>BA1888*#REF!</f>
        <v>#REF!</v>
      </c>
      <c r="BM1888" s="490" t="e">
        <f>BB1888*#REF!</f>
        <v>#REF!</v>
      </c>
      <c r="BN1888" s="490" t="e">
        <f>BC1888*#REF!</f>
        <v>#REF!</v>
      </c>
      <c r="BO1888" s="490" t="e">
        <f>BD1888*#REF!</f>
        <v>#REF!</v>
      </c>
      <c r="BP1888" s="490" t="e">
        <f>BE1888*#REF!</f>
        <v>#REF!</v>
      </c>
      <c r="BQ1888" s="490" t="e">
        <f>BF1888*#REF!</f>
        <v>#REF!</v>
      </c>
      <c r="BR1888" s="490" t="e">
        <f>BG1888*#REF!</f>
        <v>#REF!</v>
      </c>
      <c r="BS1888" s="490" t="e">
        <f>BH1888*#REF!</f>
        <v>#REF!</v>
      </c>
      <c r="BT1888" s="487"/>
      <c r="BU1888" s="477"/>
      <c r="BV1888" s="477"/>
      <c r="BW1888" s="477"/>
      <c r="BX1888" s="477"/>
      <c r="BY1888" s="477"/>
    </row>
    <row r="1889" spans="1:77" ht="20">
      <c r="P1889" s="322"/>
      <c r="Q1889" s="322"/>
      <c r="R1889" s="322"/>
      <c r="S1889" s="322"/>
      <c r="T1889" s="322"/>
      <c r="U1889" s="322"/>
      <c r="V1889" s="322"/>
      <c r="W1889" s="322"/>
      <c r="X1889" s="322"/>
      <c r="Y1889" s="322"/>
      <c r="Z1889" s="322"/>
      <c r="AA1889" s="322"/>
      <c r="AB1889" s="322"/>
      <c r="AC1889" s="322"/>
      <c r="AD1889" s="322"/>
      <c r="AE1889" s="322"/>
      <c r="AF1889" s="322"/>
      <c r="AG1889" s="322"/>
      <c r="AH1889" s="322"/>
      <c r="AI1889" s="322"/>
      <c r="AJ1889" s="322"/>
      <c r="AK1889" s="322"/>
      <c r="AL1889" s="322"/>
      <c r="AM1889" s="322"/>
      <c r="AN1889" s="322"/>
      <c r="AO1889" s="322"/>
      <c r="AP1889" s="322"/>
      <c r="AQ1889" s="322"/>
      <c r="AR1889" s="322"/>
      <c r="AS1889" s="322"/>
      <c r="AT1889" s="322"/>
      <c r="AU1889" s="476"/>
      <c r="AV1889" s="477"/>
      <c r="AW1889" s="482">
        <f t="shared" ref="AW1889:AW1893" si="1332">AY1889*2204.6</f>
        <v>5401.27</v>
      </c>
      <c r="AX1889" s="527"/>
      <c r="AY1889" s="1147">
        <v>2.4500000000000002</v>
      </c>
      <c r="AZ1889" s="1151">
        <v>3.270591376318249</v>
      </c>
      <c r="BA1889" s="528">
        <f>BA1865/$AR$1733</f>
        <v>32.103908008322932</v>
      </c>
      <c r="BB1889" s="528">
        <f t="shared" ref="BB1889:BH1889" si="1333">BB1865/$AR$1733</f>
        <v>32.103908008322932</v>
      </c>
      <c r="BC1889" s="528">
        <f t="shared" si="1333"/>
        <v>32.103908008322932</v>
      </c>
      <c r="BD1889" s="528">
        <f t="shared" si="1333"/>
        <v>32.103908008322932</v>
      </c>
      <c r="BE1889" s="528">
        <f t="shared" si="1333"/>
        <v>32.103908008322932</v>
      </c>
      <c r="BF1889" s="528">
        <f t="shared" si="1333"/>
        <v>32.103908008322932</v>
      </c>
      <c r="BG1889" s="528">
        <f t="shared" si="1333"/>
        <v>32.103908008322932</v>
      </c>
      <c r="BH1889" s="528">
        <f t="shared" si="1333"/>
        <v>32.103908008322932</v>
      </c>
      <c r="BI1889" s="527"/>
      <c r="BJ1889" s="487"/>
      <c r="BK1889" s="490" t="e">
        <f>AZ1889*#REF!</f>
        <v>#REF!</v>
      </c>
      <c r="BL1889" s="497" t="e">
        <f>BL1865/#REF!</f>
        <v>#REF!</v>
      </c>
      <c r="BM1889" s="497" t="e">
        <f>BM1865/#REF!</f>
        <v>#REF!</v>
      </c>
      <c r="BN1889" s="497" t="e">
        <f>BN1865/#REF!</f>
        <v>#REF!</v>
      </c>
      <c r="BO1889" s="497" t="e">
        <f>BO1865/#REF!</f>
        <v>#REF!</v>
      </c>
      <c r="BP1889" s="497" t="e">
        <f>BP1865/#REF!</f>
        <v>#REF!</v>
      </c>
      <c r="BQ1889" s="497" t="e">
        <f>BQ1865/#REF!</f>
        <v>#REF!</v>
      </c>
      <c r="BR1889" s="497" t="e">
        <f>BR1865/#REF!</f>
        <v>#REF!</v>
      </c>
      <c r="BS1889" s="497" t="e">
        <f>BS1865/#REF!</f>
        <v>#REF!</v>
      </c>
      <c r="BT1889" s="487"/>
      <c r="BU1889" s="477"/>
      <c r="BV1889" s="477"/>
      <c r="BW1889" s="477"/>
      <c r="BX1889" s="477"/>
      <c r="BY1889" s="477"/>
    </row>
    <row r="1890" spans="1:77" ht="20">
      <c r="P1890" s="322"/>
      <c r="Q1890" s="322"/>
      <c r="R1890" s="322"/>
      <c r="S1890" s="322"/>
      <c r="T1890" s="322"/>
      <c r="U1890" s="322"/>
      <c r="V1890" s="322"/>
      <c r="W1890" s="322"/>
      <c r="X1890" s="322"/>
      <c r="Y1890" s="322"/>
      <c r="Z1890" s="322"/>
      <c r="AA1890" s="322"/>
      <c r="AB1890" s="322"/>
      <c r="AC1890" s="322"/>
      <c r="AD1890" s="322"/>
      <c r="AE1890" s="322"/>
      <c r="AF1890" s="322"/>
      <c r="AG1890" s="322"/>
      <c r="AH1890" s="322"/>
      <c r="AI1890" s="322"/>
      <c r="AJ1890" s="322"/>
      <c r="AK1890" s="322"/>
      <c r="AL1890" s="322"/>
      <c r="AM1890" s="322"/>
      <c r="AN1890" s="322"/>
      <c r="AO1890" s="322"/>
      <c r="AP1890" s="322"/>
      <c r="AQ1890" s="322"/>
      <c r="AR1890" s="322"/>
      <c r="AS1890" s="322"/>
      <c r="AT1890" s="322"/>
      <c r="AU1890" s="476" t="s">
        <v>554</v>
      </c>
      <c r="AV1890" s="484" t="e">
        <f>#REF!</f>
        <v>#REF!</v>
      </c>
      <c r="AW1890" s="482">
        <f t="shared" si="1332"/>
        <v>5511.5</v>
      </c>
      <c r="AX1890" s="527"/>
      <c r="AY1890" s="1147">
        <v>2.5</v>
      </c>
      <c r="AZ1890" s="1151">
        <v>3.3373381391002539</v>
      </c>
      <c r="BA1890" s="528">
        <f t="shared" ref="BA1890:BH1890" si="1334">BA1866/$AR$1733</f>
        <v>32.103908008322932</v>
      </c>
      <c r="BB1890" s="528">
        <f t="shared" si="1334"/>
        <v>32.103908008322932</v>
      </c>
      <c r="BC1890" s="528">
        <f t="shared" si="1334"/>
        <v>32.103908008322932</v>
      </c>
      <c r="BD1890" s="528">
        <f t="shared" si="1334"/>
        <v>32.103908008322932</v>
      </c>
      <c r="BE1890" s="528">
        <f t="shared" si="1334"/>
        <v>32.103908008322932</v>
      </c>
      <c r="BF1890" s="528">
        <f t="shared" si="1334"/>
        <v>32.103908008322932</v>
      </c>
      <c r="BG1890" s="528">
        <f t="shared" si="1334"/>
        <v>32.103908008322932</v>
      </c>
      <c r="BH1890" s="528">
        <f t="shared" si="1334"/>
        <v>32.103908008322932</v>
      </c>
      <c r="BI1890" s="527"/>
      <c r="BJ1890" s="487"/>
      <c r="BK1890" s="490" t="e">
        <f>AZ1890*#REF!</f>
        <v>#REF!</v>
      </c>
      <c r="BL1890" s="497" t="e">
        <f>BL1866/#REF!</f>
        <v>#REF!</v>
      </c>
      <c r="BM1890" s="497" t="e">
        <f>BM1866/#REF!</f>
        <v>#REF!</v>
      </c>
      <c r="BN1890" s="497" t="e">
        <f>BN1866/#REF!</f>
        <v>#REF!</v>
      </c>
      <c r="BO1890" s="497" t="e">
        <f>BO1866/#REF!</f>
        <v>#REF!</v>
      </c>
      <c r="BP1890" s="497" t="e">
        <f>BP1866/#REF!</f>
        <v>#REF!</v>
      </c>
      <c r="BQ1890" s="497" t="e">
        <f>BQ1866/#REF!</f>
        <v>#REF!</v>
      </c>
      <c r="BR1890" s="497" t="e">
        <f>BR1866/#REF!</f>
        <v>#REF!</v>
      </c>
      <c r="BS1890" s="497" t="e">
        <f>BS1866/#REF!</f>
        <v>#REF!</v>
      </c>
      <c r="BT1890" s="487"/>
      <c r="BU1890" s="477"/>
      <c r="BV1890" s="477"/>
      <c r="BW1890" s="477"/>
      <c r="BX1890" s="477"/>
      <c r="BY1890" s="477"/>
    </row>
    <row r="1891" spans="1:77" ht="20">
      <c r="P1891" s="322"/>
      <c r="Q1891" s="322"/>
      <c r="R1891" s="322"/>
      <c r="S1891" s="322"/>
      <c r="T1891" s="322"/>
      <c r="U1891" s="322"/>
      <c r="V1891" s="322"/>
      <c r="W1891" s="322"/>
      <c r="X1891" s="322"/>
      <c r="Y1891" s="322"/>
      <c r="Z1891" s="322"/>
      <c r="AA1891" s="322"/>
      <c r="AB1891" s="322"/>
      <c r="AC1891" s="322"/>
      <c r="AD1891" s="322"/>
      <c r="AE1891" s="322"/>
      <c r="AF1891" s="322"/>
      <c r="AG1891" s="322"/>
      <c r="AH1891" s="322"/>
      <c r="AI1891" s="322"/>
      <c r="AJ1891" s="322"/>
      <c r="AK1891" s="322"/>
      <c r="AL1891" s="322"/>
      <c r="AM1891" s="322"/>
      <c r="AN1891" s="322"/>
      <c r="AO1891" s="322"/>
      <c r="AP1891" s="322"/>
      <c r="AQ1891" s="322"/>
      <c r="AR1891" s="322"/>
      <c r="AS1891" s="322"/>
      <c r="AT1891" s="322"/>
      <c r="AU1891" s="476" t="s">
        <v>555</v>
      </c>
      <c r="AV1891" s="503" t="e">
        <f>#REF!</f>
        <v>#REF!</v>
      </c>
      <c r="AW1891" s="482">
        <f t="shared" si="1332"/>
        <v>5621.73</v>
      </c>
      <c r="AX1891" s="527"/>
      <c r="AY1891" s="1147">
        <v>2.5499999999999998</v>
      </c>
      <c r="AZ1891" s="1151">
        <v>3.4040849018822583</v>
      </c>
      <c r="BA1891" s="528">
        <f t="shared" ref="BA1891:BH1891" si="1335">BA1867/$AR$1733</f>
        <v>32.103908008322932</v>
      </c>
      <c r="BB1891" s="528">
        <f t="shared" si="1335"/>
        <v>32.103908008322932</v>
      </c>
      <c r="BC1891" s="528">
        <f t="shared" si="1335"/>
        <v>32.103908008322932</v>
      </c>
      <c r="BD1891" s="528">
        <f t="shared" si="1335"/>
        <v>32.103908008322932</v>
      </c>
      <c r="BE1891" s="528">
        <f t="shared" si="1335"/>
        <v>32.103908008322932</v>
      </c>
      <c r="BF1891" s="528">
        <f t="shared" si="1335"/>
        <v>32.103908008322932</v>
      </c>
      <c r="BG1891" s="528">
        <f t="shared" si="1335"/>
        <v>32.103908008322932</v>
      </c>
      <c r="BH1891" s="528">
        <f t="shared" si="1335"/>
        <v>32.103908008322932</v>
      </c>
      <c r="BI1891" s="527"/>
      <c r="BJ1891" s="1383" t="s">
        <v>557</v>
      </c>
      <c r="BK1891" s="490" t="e">
        <f>AZ1891*#REF!</f>
        <v>#REF!</v>
      </c>
      <c r="BL1891" s="497" t="e">
        <f>BL1867/#REF!</f>
        <v>#REF!</v>
      </c>
      <c r="BM1891" s="497" t="e">
        <f>BM1867/#REF!</f>
        <v>#REF!</v>
      </c>
      <c r="BN1891" s="497" t="e">
        <f>BN1867/#REF!</f>
        <v>#REF!</v>
      </c>
      <c r="BO1891" s="497" t="e">
        <f>BO1867/#REF!</f>
        <v>#REF!</v>
      </c>
      <c r="BP1891" s="497" t="e">
        <f>BP1867/#REF!</f>
        <v>#REF!</v>
      </c>
      <c r="BQ1891" s="497" t="e">
        <f>BQ1867/#REF!</f>
        <v>#REF!</v>
      </c>
      <c r="BR1891" s="497" t="e">
        <f>BR1867/#REF!</f>
        <v>#REF!</v>
      </c>
      <c r="BS1891" s="497" t="e">
        <f>BS1867/#REF!</f>
        <v>#REF!</v>
      </c>
      <c r="BT1891" s="487"/>
      <c r="BU1891" s="477"/>
      <c r="BV1891" s="477"/>
      <c r="BW1891" s="477"/>
      <c r="BX1891" s="477"/>
      <c r="BY1891" s="477"/>
    </row>
    <row r="1892" spans="1:77" ht="20">
      <c r="P1892" s="322"/>
      <c r="Q1892" s="322"/>
      <c r="R1892" s="322"/>
      <c r="S1892" s="322"/>
      <c r="T1892" s="322"/>
      <c r="U1892" s="322"/>
      <c r="V1892" s="322"/>
      <c r="W1892" s="322"/>
      <c r="X1892" s="322"/>
      <c r="Y1892" s="322"/>
      <c r="Z1892" s="322"/>
      <c r="AA1892" s="322"/>
      <c r="AB1892" s="322"/>
      <c r="AC1892" s="322"/>
      <c r="AD1892" s="322"/>
      <c r="AE1892" s="322"/>
      <c r="AF1892" s="322"/>
      <c r="AG1892" s="322"/>
      <c r="AH1892" s="322"/>
      <c r="AI1892" s="322"/>
      <c r="AJ1892" s="322"/>
      <c r="AK1892" s="322"/>
      <c r="AL1892" s="322"/>
      <c r="AM1892" s="322"/>
      <c r="AN1892" s="322"/>
      <c r="AO1892" s="322"/>
      <c r="AP1892" s="322"/>
      <c r="AQ1892" s="322"/>
      <c r="AR1892" s="322"/>
      <c r="AS1892" s="322"/>
      <c r="AT1892" s="322"/>
      <c r="AU1892" s="476"/>
      <c r="AV1892" s="477"/>
      <c r="AW1892" s="482">
        <f t="shared" si="1332"/>
        <v>5731.96</v>
      </c>
      <c r="AX1892" s="1382" t="s">
        <v>954</v>
      </c>
      <c r="AY1892" s="1147">
        <v>2.6</v>
      </c>
      <c r="AZ1892" s="1151">
        <v>3.4708316646642641</v>
      </c>
      <c r="BA1892" s="528">
        <f t="shared" ref="BA1892:BH1892" si="1336">BA1868/$AR$1733</f>
        <v>32.103908008322932</v>
      </c>
      <c r="BB1892" s="528">
        <f t="shared" si="1336"/>
        <v>32.103908008322932</v>
      </c>
      <c r="BC1892" s="528">
        <f t="shared" si="1336"/>
        <v>32.103908008322932</v>
      </c>
      <c r="BD1892" s="528">
        <f t="shared" si="1336"/>
        <v>32.103908008322932</v>
      </c>
      <c r="BE1892" s="528">
        <f t="shared" si="1336"/>
        <v>32.103908008322932</v>
      </c>
      <c r="BF1892" s="528">
        <f t="shared" si="1336"/>
        <v>32.103908008322932</v>
      </c>
      <c r="BG1892" s="528">
        <f t="shared" si="1336"/>
        <v>32.103908008322932</v>
      </c>
      <c r="BH1892" s="528">
        <f t="shared" si="1336"/>
        <v>32.103908008322932</v>
      </c>
      <c r="BI1892" s="527"/>
      <c r="BJ1892" s="1383"/>
      <c r="BK1892" s="490" t="e">
        <f>AZ1892*#REF!</f>
        <v>#REF!</v>
      </c>
      <c r="BL1892" s="497" t="e">
        <f>BL1868/#REF!</f>
        <v>#REF!</v>
      </c>
      <c r="BM1892" s="497" t="e">
        <f>BM1868/#REF!</f>
        <v>#REF!</v>
      </c>
      <c r="BN1892" s="497" t="e">
        <f>BN1868/#REF!</f>
        <v>#REF!</v>
      </c>
      <c r="BO1892" s="497" t="e">
        <f>BO1868/#REF!</f>
        <v>#REF!</v>
      </c>
      <c r="BP1892" s="497" t="e">
        <f>BP1868/#REF!</f>
        <v>#REF!</v>
      </c>
      <c r="BQ1892" s="497" t="e">
        <f>BQ1868/#REF!</f>
        <v>#REF!</v>
      </c>
      <c r="BR1892" s="497" t="e">
        <f>BR1868/#REF!</f>
        <v>#REF!</v>
      </c>
      <c r="BS1892" s="497" t="e">
        <f>BS1868/#REF!</f>
        <v>#REF!</v>
      </c>
      <c r="BT1892" s="487"/>
      <c r="BU1892" s="477"/>
      <c r="BV1892" s="477"/>
      <c r="BW1892" s="477"/>
      <c r="BX1892" s="477"/>
      <c r="BY1892" s="477"/>
    </row>
    <row r="1893" spans="1:77" ht="20">
      <c r="P1893" s="322"/>
      <c r="Q1893" s="322"/>
      <c r="R1893" s="322"/>
      <c r="S1893" s="322"/>
      <c r="T1893" s="322"/>
      <c r="U1893" s="322"/>
      <c r="V1893" s="322"/>
      <c r="W1893" s="322"/>
      <c r="X1893" s="322"/>
      <c r="Y1893" s="322"/>
      <c r="Z1893" s="322"/>
      <c r="AA1893" s="322"/>
      <c r="AB1893" s="322"/>
      <c r="AC1893" s="322"/>
      <c r="AD1893" s="322"/>
      <c r="AE1893" s="322"/>
      <c r="AF1893" s="322"/>
      <c r="AG1893" s="322"/>
      <c r="AH1893" s="322"/>
      <c r="AI1893" s="322"/>
      <c r="AJ1893" s="322"/>
      <c r="AK1893" s="322"/>
      <c r="AL1893" s="322"/>
      <c r="AM1893" s="322"/>
      <c r="AN1893" s="322"/>
      <c r="AO1893" s="322"/>
      <c r="AP1893" s="322"/>
      <c r="AQ1893" s="322"/>
      <c r="AR1893" s="322"/>
      <c r="AS1893" s="322"/>
      <c r="AT1893" s="322"/>
      <c r="AU1893" s="476"/>
      <c r="AV1893" s="477"/>
      <c r="AW1893" s="482">
        <f t="shared" si="1332"/>
        <v>5842.19</v>
      </c>
      <c r="AX1893" s="1382"/>
      <c r="AY1893" s="1147">
        <v>2.65</v>
      </c>
      <c r="AZ1893" s="1151">
        <v>3.5375784274462689</v>
      </c>
      <c r="BA1893" s="528">
        <f t="shared" ref="BA1893:BH1893" si="1337">BA1869/$AR$1733</f>
        <v>32.103908008322932</v>
      </c>
      <c r="BB1893" s="528">
        <f t="shared" si="1337"/>
        <v>32.103908008322932</v>
      </c>
      <c r="BC1893" s="528">
        <f t="shared" si="1337"/>
        <v>32.103908008322932</v>
      </c>
      <c r="BD1893" s="528">
        <f t="shared" si="1337"/>
        <v>32.103908008322932</v>
      </c>
      <c r="BE1893" s="528">
        <f t="shared" si="1337"/>
        <v>32.103908008322932</v>
      </c>
      <c r="BF1893" s="528">
        <f t="shared" si="1337"/>
        <v>32.103908008322932</v>
      </c>
      <c r="BG1893" s="528">
        <f t="shared" si="1337"/>
        <v>32.103908008322932</v>
      </c>
      <c r="BH1893" s="528">
        <f t="shared" si="1337"/>
        <v>32.103908008322932</v>
      </c>
      <c r="BI1893" s="527"/>
      <c r="BJ1893" s="1383"/>
      <c r="BK1893" s="490" t="e">
        <f>AZ1893*#REF!</f>
        <v>#REF!</v>
      </c>
      <c r="BL1893" s="497" t="e">
        <f>BL1869/#REF!</f>
        <v>#REF!</v>
      </c>
      <c r="BM1893" s="497" t="e">
        <f>BM1869/#REF!</f>
        <v>#REF!</v>
      </c>
      <c r="BN1893" s="497" t="e">
        <f>BN1869/#REF!</f>
        <v>#REF!</v>
      </c>
      <c r="BO1893" s="497" t="e">
        <f>BO1869/#REF!</f>
        <v>#REF!</v>
      </c>
      <c r="BP1893" s="497" t="e">
        <f>BP1869/#REF!</f>
        <v>#REF!</v>
      </c>
      <c r="BQ1893" s="497" t="e">
        <f>BQ1869/#REF!</f>
        <v>#REF!</v>
      </c>
      <c r="BR1893" s="497" t="e">
        <f>BR1869/#REF!</f>
        <v>#REF!</v>
      </c>
      <c r="BS1893" s="497" t="e">
        <f>BS1869/#REF!</f>
        <v>#REF!</v>
      </c>
      <c r="BT1893" s="487"/>
      <c r="BU1893" s="477"/>
      <c r="BV1893" s="477"/>
      <c r="BW1893" s="477"/>
      <c r="BX1893" s="477"/>
      <c r="BY1893" s="477"/>
    </row>
    <row r="1894" spans="1:77" ht="20">
      <c r="P1894" s="322"/>
      <c r="Q1894" s="322"/>
      <c r="R1894" s="322"/>
      <c r="S1894" s="322"/>
      <c r="T1894" s="322"/>
      <c r="U1894" s="322"/>
      <c r="V1894" s="322"/>
      <c r="W1894" s="322"/>
      <c r="X1894" s="322"/>
      <c r="Y1894" s="322"/>
      <c r="Z1894" s="322"/>
      <c r="AA1894" s="322"/>
      <c r="AB1894" s="322"/>
      <c r="AC1894" s="322"/>
      <c r="AD1894" s="322"/>
      <c r="AE1894" s="322"/>
      <c r="AF1894" s="322"/>
      <c r="AG1894" s="322"/>
      <c r="AH1894" s="322"/>
      <c r="AI1894" s="322"/>
      <c r="AJ1894" s="322"/>
      <c r="AK1894" s="322"/>
      <c r="AL1894" s="322"/>
      <c r="AM1894" s="322"/>
      <c r="AN1894" s="322"/>
      <c r="AO1894" s="322"/>
      <c r="AP1894" s="322"/>
      <c r="AQ1894" s="322"/>
      <c r="AR1894" s="322"/>
      <c r="AS1894" s="322"/>
      <c r="AT1894" s="322"/>
      <c r="AU1894" s="476"/>
      <c r="AV1894" s="477"/>
      <c r="AW1894" s="482">
        <f>AY1894*2204.6</f>
        <v>5952.42</v>
      </c>
      <c r="AX1894" s="1382"/>
      <c r="AY1894" s="1147">
        <v>2.7</v>
      </c>
      <c r="AZ1894" s="1151">
        <v>3.6043251902282742</v>
      </c>
      <c r="BA1894" s="528">
        <f t="shared" ref="BA1894:BH1894" si="1338">BA1870/$AR$1733</f>
        <v>32.103908008322932</v>
      </c>
      <c r="BB1894" s="528">
        <f t="shared" si="1338"/>
        <v>32.103908008322932</v>
      </c>
      <c r="BC1894" s="528">
        <f t="shared" si="1338"/>
        <v>32.103908008322932</v>
      </c>
      <c r="BD1894" s="528">
        <f t="shared" si="1338"/>
        <v>32.103908008322932</v>
      </c>
      <c r="BE1894" s="528">
        <f t="shared" si="1338"/>
        <v>32.103908008322932</v>
      </c>
      <c r="BF1894" s="528">
        <f t="shared" si="1338"/>
        <v>32.103908008322932</v>
      </c>
      <c r="BG1894" s="528">
        <f t="shared" si="1338"/>
        <v>32.103908008322932</v>
      </c>
      <c r="BH1894" s="528">
        <f t="shared" si="1338"/>
        <v>32.103908008322932</v>
      </c>
      <c r="BI1894" s="527"/>
      <c r="BJ1894" s="1383"/>
      <c r="BK1894" s="490" t="e">
        <f>AZ1894*#REF!</f>
        <v>#REF!</v>
      </c>
      <c r="BL1894" s="497" t="e">
        <f>BL1870/#REF!</f>
        <v>#REF!</v>
      </c>
      <c r="BM1894" s="497" t="e">
        <f>BM1870/#REF!</f>
        <v>#REF!</v>
      </c>
      <c r="BN1894" s="497" t="e">
        <f>BN1870/#REF!</f>
        <v>#REF!</v>
      </c>
      <c r="BO1894" s="497" t="e">
        <f>BO1870/#REF!</f>
        <v>#REF!</v>
      </c>
      <c r="BP1894" s="497" t="e">
        <f>BP1870/#REF!</f>
        <v>#REF!</v>
      </c>
      <c r="BQ1894" s="497" t="e">
        <f>BQ1870/#REF!</f>
        <v>#REF!</v>
      </c>
      <c r="BR1894" s="497" t="e">
        <f>BR1870/#REF!</f>
        <v>#REF!</v>
      </c>
      <c r="BS1894" s="497" t="e">
        <f>BS1870/#REF!</f>
        <v>#REF!</v>
      </c>
      <c r="BT1894" s="487"/>
      <c r="BU1894" s="477"/>
      <c r="BV1894" s="477"/>
      <c r="BW1894" s="477"/>
      <c r="BX1894" s="477"/>
      <c r="BY1894" s="477"/>
    </row>
    <row r="1895" spans="1:77" ht="20">
      <c r="P1895" s="322"/>
      <c r="Q1895" s="322"/>
      <c r="R1895" s="322"/>
      <c r="S1895" s="322"/>
      <c r="T1895" s="322"/>
      <c r="U1895" s="322"/>
      <c r="V1895" s="322"/>
      <c r="W1895" s="322"/>
      <c r="X1895" s="322"/>
      <c r="Y1895" s="322"/>
      <c r="Z1895" s="322"/>
      <c r="AA1895" s="322"/>
      <c r="AB1895" s="322"/>
      <c r="AC1895" s="322"/>
      <c r="AD1895" s="322"/>
      <c r="AE1895" s="322"/>
      <c r="AF1895" s="322"/>
      <c r="AG1895" s="322"/>
      <c r="AH1895" s="322"/>
      <c r="AI1895" s="322"/>
      <c r="AJ1895" s="322"/>
      <c r="AK1895" s="322"/>
      <c r="AL1895" s="322"/>
      <c r="AM1895" s="322"/>
      <c r="AN1895" s="322"/>
      <c r="AO1895" s="322"/>
      <c r="AP1895" s="322"/>
      <c r="AQ1895" s="322"/>
      <c r="AR1895" s="322"/>
      <c r="AS1895" s="322"/>
      <c r="AT1895" s="322"/>
      <c r="AU1895" s="476"/>
      <c r="AV1895" s="477"/>
      <c r="AW1895" s="482">
        <f t="shared" ref="AW1895:AW1901" si="1339">AY1895*2204.6</f>
        <v>6062.65</v>
      </c>
      <c r="AX1895" s="1382"/>
      <c r="AY1895" s="1147">
        <v>2.75</v>
      </c>
      <c r="AZ1895" s="1151">
        <v>3.6710719530102791</v>
      </c>
      <c r="BA1895" s="528">
        <f t="shared" ref="BA1895:BH1895" si="1340">BA1871/$AR$1733</f>
        <v>32.103908008322932</v>
      </c>
      <c r="BB1895" s="528">
        <f t="shared" si="1340"/>
        <v>32.103908008322932</v>
      </c>
      <c r="BC1895" s="528">
        <f t="shared" si="1340"/>
        <v>32.103908008322932</v>
      </c>
      <c r="BD1895" s="528">
        <f t="shared" si="1340"/>
        <v>32.103908008322932</v>
      </c>
      <c r="BE1895" s="528">
        <f t="shared" si="1340"/>
        <v>32.103908008322932</v>
      </c>
      <c r="BF1895" s="528">
        <f t="shared" si="1340"/>
        <v>32.103908008322932</v>
      </c>
      <c r="BG1895" s="528">
        <f t="shared" si="1340"/>
        <v>32.103908008322932</v>
      </c>
      <c r="BH1895" s="528">
        <f t="shared" si="1340"/>
        <v>32.103908008322932</v>
      </c>
      <c r="BI1895" s="527"/>
      <c r="BJ1895" s="1383"/>
      <c r="BK1895" s="490" t="e">
        <f>AZ1895*#REF!</f>
        <v>#REF!</v>
      </c>
      <c r="BL1895" s="497" t="e">
        <f>BL1871/#REF!</f>
        <v>#REF!</v>
      </c>
      <c r="BM1895" s="497" t="e">
        <f>BM1871/#REF!</f>
        <v>#REF!</v>
      </c>
      <c r="BN1895" s="497" t="e">
        <f>BN1871/#REF!</f>
        <v>#REF!</v>
      </c>
      <c r="BO1895" s="497" t="e">
        <f>BO1871/#REF!</f>
        <v>#REF!</v>
      </c>
      <c r="BP1895" s="497" t="e">
        <f>BP1871/#REF!</f>
        <v>#REF!</v>
      </c>
      <c r="BQ1895" s="497" t="e">
        <f>BQ1871/#REF!</f>
        <v>#REF!</v>
      </c>
      <c r="BR1895" s="497" t="e">
        <f>BR1871/#REF!</f>
        <v>#REF!</v>
      </c>
      <c r="BS1895" s="497" t="e">
        <f>BS1871/#REF!</f>
        <v>#REF!</v>
      </c>
      <c r="BT1895" s="487"/>
      <c r="BU1895" s="477"/>
      <c r="BV1895" s="477"/>
      <c r="BW1895" s="477"/>
      <c r="BX1895" s="477"/>
      <c r="BY1895" s="477"/>
    </row>
    <row r="1896" spans="1:77" ht="20">
      <c r="P1896" s="322"/>
      <c r="Q1896" s="322"/>
      <c r="R1896" s="322"/>
      <c r="S1896" s="322"/>
      <c r="T1896" s="322"/>
      <c r="U1896" s="322"/>
      <c r="V1896" s="322"/>
      <c r="W1896" s="322"/>
      <c r="X1896" s="322"/>
      <c r="Y1896" s="322"/>
      <c r="Z1896" s="322"/>
      <c r="AA1896" s="322"/>
      <c r="AB1896" s="322"/>
      <c r="AC1896" s="322"/>
      <c r="AD1896" s="322"/>
      <c r="AE1896" s="322"/>
      <c r="AF1896" s="322"/>
      <c r="AG1896" s="322"/>
      <c r="AH1896" s="322"/>
      <c r="AI1896" s="322"/>
      <c r="AJ1896" s="322"/>
      <c r="AK1896" s="322"/>
      <c r="AL1896" s="322"/>
      <c r="AM1896" s="322"/>
      <c r="AN1896" s="322"/>
      <c r="AO1896" s="322"/>
      <c r="AP1896" s="322"/>
      <c r="AQ1896" s="322"/>
      <c r="AR1896" s="322"/>
      <c r="AS1896" s="322"/>
      <c r="AT1896" s="322"/>
      <c r="AU1896" s="476"/>
      <c r="AV1896" s="477"/>
      <c r="AW1896" s="482">
        <f t="shared" si="1339"/>
        <v>6172.8799999999992</v>
      </c>
      <c r="AX1896" s="1382"/>
      <c r="AY1896" s="1147">
        <v>2.8</v>
      </c>
      <c r="AZ1896" s="1151">
        <v>3.737818715792284</v>
      </c>
      <c r="BA1896" s="528">
        <f t="shared" ref="BA1896:BH1896" si="1341">BA1872/$AR$1733</f>
        <v>32.103908008322932</v>
      </c>
      <c r="BB1896" s="528">
        <f t="shared" si="1341"/>
        <v>32.103908008322932</v>
      </c>
      <c r="BC1896" s="528">
        <f t="shared" si="1341"/>
        <v>32.103908008322932</v>
      </c>
      <c r="BD1896" s="528">
        <f t="shared" si="1341"/>
        <v>32.103908008322932</v>
      </c>
      <c r="BE1896" s="528">
        <f t="shared" si="1341"/>
        <v>32.103908008322932</v>
      </c>
      <c r="BF1896" s="528">
        <f t="shared" si="1341"/>
        <v>32.103908008322932</v>
      </c>
      <c r="BG1896" s="528">
        <f t="shared" si="1341"/>
        <v>32.103908008322932</v>
      </c>
      <c r="BH1896" s="528">
        <f t="shared" si="1341"/>
        <v>32.103908008322932</v>
      </c>
      <c r="BI1896" s="527"/>
      <c r="BJ1896" s="1383"/>
      <c r="BK1896" s="490" t="e">
        <f>AZ1896*#REF!</f>
        <v>#REF!</v>
      </c>
      <c r="BL1896" s="497" t="e">
        <f>BL1872/#REF!</f>
        <v>#REF!</v>
      </c>
      <c r="BM1896" s="497" t="e">
        <f>BM1872/#REF!</f>
        <v>#REF!</v>
      </c>
      <c r="BN1896" s="497" t="e">
        <f>BN1872/#REF!</f>
        <v>#REF!</v>
      </c>
      <c r="BO1896" s="497" t="e">
        <f>BO1872/#REF!</f>
        <v>#REF!</v>
      </c>
      <c r="BP1896" s="497" t="e">
        <f>BP1872/#REF!</f>
        <v>#REF!</v>
      </c>
      <c r="BQ1896" s="497" t="e">
        <f>BQ1872/#REF!</f>
        <v>#REF!</v>
      </c>
      <c r="BR1896" s="497" t="e">
        <f>BR1872/#REF!</f>
        <v>#REF!</v>
      </c>
      <c r="BS1896" s="497" t="e">
        <f>BS1872/#REF!</f>
        <v>#REF!</v>
      </c>
      <c r="BT1896" s="487"/>
      <c r="BU1896" s="477"/>
      <c r="BV1896" s="477"/>
      <c r="BW1896" s="477"/>
      <c r="BX1896" s="477"/>
      <c r="BY1896" s="477"/>
    </row>
    <row r="1897" spans="1:77" ht="20">
      <c r="P1897" s="322"/>
      <c r="Q1897" s="322"/>
      <c r="R1897" s="322"/>
      <c r="S1897" s="322"/>
      <c r="T1897" s="322"/>
      <c r="U1897" s="322"/>
      <c r="V1897" s="322"/>
      <c r="W1897" s="322"/>
      <c r="X1897" s="322"/>
      <c r="Y1897" s="322"/>
      <c r="Z1897" s="322"/>
      <c r="AA1897" s="322"/>
      <c r="AB1897" s="322"/>
      <c r="AC1897" s="322"/>
      <c r="AD1897" s="322"/>
      <c r="AE1897" s="322"/>
      <c r="AF1897" s="322"/>
      <c r="AG1897" s="322"/>
      <c r="AH1897" s="322"/>
      <c r="AI1897" s="322"/>
      <c r="AJ1897" s="322"/>
      <c r="AK1897" s="322"/>
      <c r="AL1897" s="322"/>
      <c r="AM1897" s="322"/>
      <c r="AN1897" s="322"/>
      <c r="AO1897" s="322"/>
      <c r="AP1897" s="322"/>
      <c r="AQ1897" s="322"/>
      <c r="AR1897" s="322"/>
      <c r="AS1897" s="322"/>
      <c r="AT1897" s="322"/>
      <c r="AU1897" s="476"/>
      <c r="AV1897" s="477"/>
      <c r="AW1897" s="482">
        <f t="shared" si="1339"/>
        <v>6283.11</v>
      </c>
      <c r="AX1897" s="1382"/>
      <c r="AY1897" s="1147">
        <v>2.85</v>
      </c>
      <c r="AZ1897" s="1151">
        <v>3.8045654785742893</v>
      </c>
      <c r="BA1897" s="528">
        <f t="shared" ref="BA1897:BH1897" si="1342">BA1873/$AR$1733</f>
        <v>32.103908008322932</v>
      </c>
      <c r="BB1897" s="528">
        <f t="shared" si="1342"/>
        <v>32.103908008322932</v>
      </c>
      <c r="BC1897" s="528">
        <f t="shared" si="1342"/>
        <v>32.103908008322932</v>
      </c>
      <c r="BD1897" s="528">
        <f t="shared" si="1342"/>
        <v>32.103908008322932</v>
      </c>
      <c r="BE1897" s="528">
        <f t="shared" si="1342"/>
        <v>32.103908008322932</v>
      </c>
      <c r="BF1897" s="528">
        <f t="shared" si="1342"/>
        <v>32.103908008322932</v>
      </c>
      <c r="BG1897" s="528">
        <f t="shared" si="1342"/>
        <v>32.103908008322932</v>
      </c>
      <c r="BH1897" s="528">
        <f t="shared" si="1342"/>
        <v>32.103908008322932</v>
      </c>
      <c r="BI1897" s="527"/>
      <c r="BJ1897" s="1383"/>
      <c r="BK1897" s="490" t="e">
        <f>AZ1897*#REF!</f>
        <v>#REF!</v>
      </c>
      <c r="BL1897" s="497" t="e">
        <f>BL1873/#REF!</f>
        <v>#REF!</v>
      </c>
      <c r="BM1897" s="497" t="e">
        <f>BM1873/#REF!</f>
        <v>#REF!</v>
      </c>
      <c r="BN1897" s="497" t="e">
        <f>BN1873/#REF!</f>
        <v>#REF!</v>
      </c>
      <c r="BO1897" s="497" t="e">
        <f>BO1873/#REF!</f>
        <v>#REF!</v>
      </c>
      <c r="BP1897" s="497" t="e">
        <f>BP1873/#REF!</f>
        <v>#REF!</v>
      </c>
      <c r="BQ1897" s="497" t="e">
        <f>BQ1873/#REF!</f>
        <v>#REF!</v>
      </c>
      <c r="BR1897" s="497" t="e">
        <f>BR1873/#REF!</f>
        <v>#REF!</v>
      </c>
      <c r="BS1897" s="497" t="e">
        <f>BS1873/#REF!</f>
        <v>#REF!</v>
      </c>
      <c r="BT1897" s="487"/>
      <c r="BU1897" s="477"/>
      <c r="BV1897" s="477"/>
      <c r="BW1897" s="477"/>
      <c r="BX1897" s="477"/>
      <c r="BY1897" s="477"/>
    </row>
    <row r="1898" spans="1:77" ht="20">
      <c r="P1898" s="322"/>
      <c r="Q1898" s="322"/>
      <c r="R1898" s="322"/>
      <c r="S1898" s="322"/>
      <c r="T1898" s="322"/>
      <c r="U1898" s="322"/>
      <c r="V1898" s="322"/>
      <c r="W1898" s="322"/>
      <c r="X1898" s="322"/>
      <c r="Y1898" s="322"/>
      <c r="Z1898" s="322"/>
      <c r="AA1898" s="322"/>
      <c r="AB1898" s="322"/>
      <c r="AC1898" s="322"/>
      <c r="AD1898" s="322"/>
      <c r="AE1898" s="322"/>
      <c r="AF1898" s="322"/>
      <c r="AG1898" s="322"/>
      <c r="AH1898" s="322"/>
      <c r="AI1898" s="322"/>
      <c r="AJ1898" s="322"/>
      <c r="AK1898" s="322"/>
      <c r="AL1898" s="322"/>
      <c r="AM1898" s="322"/>
      <c r="AN1898" s="322"/>
      <c r="AO1898" s="322"/>
      <c r="AP1898" s="322"/>
      <c r="AQ1898" s="322"/>
      <c r="AR1898" s="322"/>
      <c r="AS1898" s="322"/>
      <c r="AT1898" s="322"/>
      <c r="AU1898" s="476"/>
      <c r="AV1898" s="477"/>
      <c r="AW1898" s="482">
        <f t="shared" si="1339"/>
        <v>6393.3399999999992</v>
      </c>
      <c r="AX1898" s="1382"/>
      <c r="AY1898" s="1147">
        <v>2.9</v>
      </c>
      <c r="AZ1898" s="1151">
        <v>3.8713122413562941</v>
      </c>
      <c r="BA1898" s="528">
        <f t="shared" ref="BA1898:BH1898" si="1343">BA1874/$AR$1733</f>
        <v>32.103908008322932</v>
      </c>
      <c r="BB1898" s="528">
        <f t="shared" si="1343"/>
        <v>32.103908008322932</v>
      </c>
      <c r="BC1898" s="528">
        <f t="shared" si="1343"/>
        <v>32.103908008322932</v>
      </c>
      <c r="BD1898" s="528">
        <f t="shared" si="1343"/>
        <v>32.103908008322932</v>
      </c>
      <c r="BE1898" s="528">
        <f t="shared" si="1343"/>
        <v>32.103908008322932</v>
      </c>
      <c r="BF1898" s="528">
        <f t="shared" si="1343"/>
        <v>32.103908008322932</v>
      </c>
      <c r="BG1898" s="528">
        <f t="shared" si="1343"/>
        <v>32.103908008322932</v>
      </c>
      <c r="BH1898" s="528">
        <f t="shared" si="1343"/>
        <v>32.103908008322932</v>
      </c>
      <c r="BI1898" s="527"/>
      <c r="BJ1898" s="1383"/>
      <c r="BK1898" s="490" t="e">
        <f>AZ1898*#REF!</f>
        <v>#REF!</v>
      </c>
      <c r="BL1898" s="497" t="e">
        <f>BL1874/#REF!</f>
        <v>#REF!</v>
      </c>
      <c r="BM1898" s="497" t="e">
        <f>BM1874/#REF!</f>
        <v>#REF!</v>
      </c>
      <c r="BN1898" s="497" t="e">
        <f>BN1874/#REF!</f>
        <v>#REF!</v>
      </c>
      <c r="BO1898" s="497" t="e">
        <f>BO1874/#REF!</f>
        <v>#REF!</v>
      </c>
      <c r="BP1898" s="497" t="e">
        <f>BP1874/#REF!</f>
        <v>#REF!</v>
      </c>
      <c r="BQ1898" s="497" t="e">
        <f>BQ1874/#REF!</f>
        <v>#REF!</v>
      </c>
      <c r="BR1898" s="497" t="e">
        <f>BR1874/#REF!</f>
        <v>#REF!</v>
      </c>
      <c r="BS1898" s="497" t="e">
        <f>BS1874/#REF!</f>
        <v>#REF!</v>
      </c>
      <c r="BT1898" s="487"/>
      <c r="BU1898" s="477"/>
      <c r="BV1898" s="477"/>
      <c r="BW1898" s="477"/>
      <c r="BX1898" s="477"/>
      <c r="BY1898" s="477"/>
    </row>
    <row r="1899" spans="1:77" ht="20">
      <c r="P1899" s="322"/>
      <c r="Q1899" s="322"/>
      <c r="R1899" s="322"/>
      <c r="S1899" s="322"/>
      <c r="T1899" s="322"/>
      <c r="U1899" s="322"/>
      <c r="V1899" s="322"/>
      <c r="W1899" s="322"/>
      <c r="X1899" s="322"/>
      <c r="Y1899" s="322"/>
      <c r="Z1899" s="322"/>
      <c r="AA1899" s="322"/>
      <c r="AB1899" s="322"/>
      <c r="AC1899" s="322"/>
      <c r="AD1899" s="322"/>
      <c r="AE1899" s="322"/>
      <c r="AF1899" s="322"/>
      <c r="AG1899" s="322"/>
      <c r="AH1899" s="322"/>
      <c r="AI1899" s="322"/>
      <c r="AJ1899" s="322"/>
      <c r="AK1899" s="322"/>
      <c r="AL1899" s="322"/>
      <c r="AM1899" s="322"/>
      <c r="AN1899" s="322"/>
      <c r="AO1899" s="322"/>
      <c r="AP1899" s="322"/>
      <c r="AQ1899" s="322"/>
      <c r="AR1899" s="322"/>
      <c r="AS1899" s="322"/>
      <c r="AT1899" s="322"/>
      <c r="AU1899" s="476"/>
      <c r="AV1899" s="477"/>
      <c r="AW1899" s="482">
        <f t="shared" si="1339"/>
        <v>6503.57</v>
      </c>
      <c r="AX1899" s="1382"/>
      <c r="AY1899" s="1147">
        <v>2.95</v>
      </c>
      <c r="AZ1899" s="1151">
        <v>3.9380590041382995</v>
      </c>
      <c r="BA1899" s="528">
        <f t="shared" ref="BA1899:BH1899" si="1344">BA1875/$AR$1733</f>
        <v>32.103908008322932</v>
      </c>
      <c r="BB1899" s="528">
        <f t="shared" si="1344"/>
        <v>32.103908008322932</v>
      </c>
      <c r="BC1899" s="528">
        <f t="shared" si="1344"/>
        <v>32.103908008322932</v>
      </c>
      <c r="BD1899" s="528">
        <f t="shared" si="1344"/>
        <v>32.103908008322932</v>
      </c>
      <c r="BE1899" s="528">
        <f t="shared" si="1344"/>
        <v>32.103908008322932</v>
      </c>
      <c r="BF1899" s="528">
        <f t="shared" si="1344"/>
        <v>32.103908008322932</v>
      </c>
      <c r="BG1899" s="528">
        <f t="shared" si="1344"/>
        <v>32.103908008322932</v>
      </c>
      <c r="BH1899" s="528">
        <f t="shared" si="1344"/>
        <v>32.103908008322932</v>
      </c>
      <c r="BI1899" s="527"/>
      <c r="BJ1899" s="487"/>
      <c r="BK1899" s="490" t="e">
        <f>AZ1899*#REF!</f>
        <v>#REF!</v>
      </c>
      <c r="BL1899" s="497" t="e">
        <f>BL1875/#REF!</f>
        <v>#REF!</v>
      </c>
      <c r="BM1899" s="497" t="e">
        <f>BM1875/#REF!</f>
        <v>#REF!</v>
      </c>
      <c r="BN1899" s="497" t="e">
        <f>BN1875/#REF!</f>
        <v>#REF!</v>
      </c>
      <c r="BO1899" s="497" t="e">
        <f>BO1875/#REF!</f>
        <v>#REF!</v>
      </c>
      <c r="BP1899" s="497" t="e">
        <f>BP1875/#REF!</f>
        <v>#REF!</v>
      </c>
      <c r="BQ1899" s="497" t="e">
        <f>BQ1875/#REF!</f>
        <v>#REF!</v>
      </c>
      <c r="BR1899" s="497" t="e">
        <f>BR1875/#REF!</f>
        <v>#REF!</v>
      </c>
      <c r="BS1899" s="497" t="e">
        <f>BS1875/#REF!</f>
        <v>#REF!</v>
      </c>
      <c r="BT1899" s="487"/>
      <c r="BU1899" s="477"/>
      <c r="BV1899" s="477"/>
      <c r="BW1899" s="477"/>
      <c r="BX1899" s="477"/>
      <c r="BY1899" s="477"/>
    </row>
    <row r="1900" spans="1:77" ht="20">
      <c r="P1900" s="322"/>
      <c r="Q1900" s="322"/>
      <c r="R1900" s="322"/>
      <c r="S1900" s="322"/>
      <c r="T1900" s="322"/>
      <c r="U1900" s="322"/>
      <c r="V1900" s="322"/>
      <c r="W1900" s="322"/>
      <c r="X1900" s="322"/>
      <c r="Y1900" s="322"/>
      <c r="Z1900" s="322"/>
      <c r="AA1900" s="322"/>
      <c r="AB1900" s="322"/>
      <c r="AC1900" s="322"/>
      <c r="AD1900" s="322"/>
      <c r="AE1900" s="322"/>
      <c r="AF1900" s="322"/>
      <c r="AG1900" s="322"/>
      <c r="AH1900" s="322"/>
      <c r="AI1900" s="322"/>
      <c r="AJ1900" s="322"/>
      <c r="AK1900" s="322"/>
      <c r="AL1900" s="322"/>
      <c r="AM1900" s="322"/>
      <c r="AN1900" s="322"/>
      <c r="AO1900" s="322"/>
      <c r="AP1900" s="322"/>
      <c r="AQ1900" s="322"/>
      <c r="AR1900" s="322"/>
      <c r="AS1900" s="322"/>
      <c r="AT1900" s="322"/>
      <c r="AU1900" s="476"/>
      <c r="AV1900" s="477"/>
      <c r="AW1900" s="482">
        <f t="shared" si="1339"/>
        <v>6613.7999999999993</v>
      </c>
      <c r="AX1900" s="527"/>
      <c r="AY1900" s="1147">
        <v>3</v>
      </c>
      <c r="AZ1900" s="1151">
        <v>4.0048057669203043</v>
      </c>
      <c r="BA1900" s="528">
        <f t="shared" ref="BA1900:BH1900" si="1345">BA1876/$AR$1733</f>
        <v>32.103908008322932</v>
      </c>
      <c r="BB1900" s="528">
        <f t="shared" si="1345"/>
        <v>32.103908008322932</v>
      </c>
      <c r="BC1900" s="528">
        <f t="shared" si="1345"/>
        <v>32.103908008322932</v>
      </c>
      <c r="BD1900" s="528">
        <f t="shared" si="1345"/>
        <v>32.103908008322932</v>
      </c>
      <c r="BE1900" s="528">
        <f t="shared" si="1345"/>
        <v>32.103908008322932</v>
      </c>
      <c r="BF1900" s="528">
        <f t="shared" si="1345"/>
        <v>32.103908008322932</v>
      </c>
      <c r="BG1900" s="528">
        <f t="shared" si="1345"/>
        <v>32.103908008322932</v>
      </c>
      <c r="BH1900" s="528">
        <f t="shared" si="1345"/>
        <v>32.103908008322932</v>
      </c>
      <c r="BI1900" s="527"/>
      <c r="BJ1900" s="487"/>
      <c r="BK1900" s="490" t="e">
        <f>AZ1900*#REF!</f>
        <v>#REF!</v>
      </c>
      <c r="BL1900" s="497" t="e">
        <f>BL1876/#REF!</f>
        <v>#REF!</v>
      </c>
      <c r="BM1900" s="497" t="e">
        <f>BM1876/#REF!</f>
        <v>#REF!</v>
      </c>
      <c r="BN1900" s="497" t="e">
        <f>BN1876/#REF!</f>
        <v>#REF!</v>
      </c>
      <c r="BO1900" s="497" t="e">
        <f>BO1876/#REF!</f>
        <v>#REF!</v>
      </c>
      <c r="BP1900" s="497" t="e">
        <f>BP1876/#REF!</f>
        <v>#REF!</v>
      </c>
      <c r="BQ1900" s="497" t="e">
        <f>BQ1876/#REF!</f>
        <v>#REF!</v>
      </c>
      <c r="BR1900" s="497" t="e">
        <f>BR1876/#REF!</f>
        <v>#REF!</v>
      </c>
      <c r="BS1900" s="497" t="e">
        <f>BS1876/#REF!</f>
        <v>#REF!</v>
      </c>
      <c r="BT1900" s="487"/>
      <c r="BU1900" s="477"/>
      <c r="BV1900" s="477"/>
      <c r="BW1900" s="477"/>
      <c r="BX1900" s="477"/>
      <c r="BY1900" s="477"/>
    </row>
    <row r="1901" spans="1:77" ht="20">
      <c r="D1901" s="425"/>
      <c r="E1901" s="425"/>
      <c r="G1901" s="428"/>
      <c r="H1901" s="428"/>
      <c r="I1901" s="428"/>
      <c r="J1901" s="428"/>
      <c r="K1901" s="428"/>
      <c r="L1901" s="428"/>
      <c r="M1901" s="428"/>
      <c r="N1901" s="428"/>
      <c r="O1901" s="428"/>
      <c r="P1901" s="429"/>
      <c r="Q1901" s="429"/>
      <c r="R1901" s="429"/>
      <c r="S1901" s="429"/>
      <c r="T1901" s="429"/>
      <c r="U1901" s="322"/>
      <c r="V1901" s="322"/>
      <c r="W1901" s="322"/>
      <c r="X1901" s="322"/>
      <c r="Y1901" s="322"/>
      <c r="Z1901" s="322"/>
      <c r="AA1901" s="322"/>
      <c r="AB1901" s="322"/>
      <c r="AC1901" s="322"/>
      <c r="AD1901" s="322"/>
      <c r="AE1901" s="322"/>
      <c r="AF1901" s="322"/>
      <c r="AG1901" s="322"/>
      <c r="AH1901" s="322"/>
      <c r="AI1901" s="322"/>
      <c r="AJ1901" s="322"/>
      <c r="AK1901" s="322"/>
      <c r="AL1901" s="322"/>
      <c r="AM1901" s="322"/>
      <c r="AN1901" s="322"/>
      <c r="AO1901" s="322"/>
      <c r="AP1901" s="322"/>
      <c r="AQ1901" s="322"/>
      <c r="AR1901" s="322"/>
      <c r="AS1901" s="322"/>
      <c r="AT1901" s="322"/>
      <c r="AU1901" s="476"/>
      <c r="AV1901" s="477"/>
      <c r="AW1901" s="482">
        <f t="shared" si="1339"/>
        <v>6724.03</v>
      </c>
      <c r="AX1901" s="527"/>
      <c r="AY1901" s="1147">
        <v>3.05</v>
      </c>
      <c r="AZ1901" s="1151">
        <v>4.0715525297023092</v>
      </c>
      <c r="BA1901" s="528">
        <f t="shared" ref="BA1901:BH1901" si="1346">BA1877/$AR$1733</f>
        <v>32.103908008322932</v>
      </c>
      <c r="BB1901" s="528">
        <f t="shared" si="1346"/>
        <v>32.103908008322932</v>
      </c>
      <c r="BC1901" s="528">
        <f t="shared" si="1346"/>
        <v>32.103908008322932</v>
      </c>
      <c r="BD1901" s="528">
        <f t="shared" si="1346"/>
        <v>32.103908008322932</v>
      </c>
      <c r="BE1901" s="528">
        <f t="shared" si="1346"/>
        <v>32.103908008322932</v>
      </c>
      <c r="BF1901" s="528">
        <f t="shared" si="1346"/>
        <v>32.103908008322932</v>
      </c>
      <c r="BG1901" s="528">
        <f t="shared" si="1346"/>
        <v>32.103908008322932</v>
      </c>
      <c r="BH1901" s="528">
        <f t="shared" si="1346"/>
        <v>32.103908008322932</v>
      </c>
      <c r="BI1901" s="527"/>
      <c r="BJ1901" s="487"/>
      <c r="BK1901" s="490" t="e">
        <f>AZ1901*#REF!</f>
        <v>#REF!</v>
      </c>
      <c r="BL1901" s="497" t="e">
        <f>BL1877/#REF!</f>
        <v>#REF!</v>
      </c>
      <c r="BM1901" s="497" t="e">
        <f>BM1877/#REF!</f>
        <v>#REF!</v>
      </c>
      <c r="BN1901" s="497" t="e">
        <f>BN1877/#REF!</f>
        <v>#REF!</v>
      </c>
      <c r="BO1901" s="497" t="e">
        <f>BO1877/#REF!</f>
        <v>#REF!</v>
      </c>
      <c r="BP1901" s="497" t="e">
        <f>BP1877/#REF!</f>
        <v>#REF!</v>
      </c>
      <c r="BQ1901" s="497" t="e">
        <f>BQ1877/#REF!</f>
        <v>#REF!</v>
      </c>
      <c r="BR1901" s="497" t="e">
        <f>BR1877/#REF!</f>
        <v>#REF!</v>
      </c>
      <c r="BS1901" s="497" t="e">
        <f>BS1877/#REF!</f>
        <v>#REF!</v>
      </c>
      <c r="BT1901" s="487"/>
      <c r="BU1901" s="477"/>
      <c r="BV1901" s="477"/>
      <c r="BW1901" s="477"/>
      <c r="BX1901" s="477"/>
      <c r="BY1901" s="477"/>
    </row>
    <row r="1902" spans="1:77" ht="20">
      <c r="D1902" s="425"/>
      <c r="E1902" s="425"/>
      <c r="G1902" s="428"/>
      <c r="H1902" s="428"/>
      <c r="I1902" s="428"/>
      <c r="J1902" s="428"/>
      <c r="K1902" s="428"/>
      <c r="L1902" s="428"/>
      <c r="M1902" s="428"/>
      <c r="N1902" s="428"/>
      <c r="O1902" s="428"/>
      <c r="P1902" s="429"/>
      <c r="Q1902" s="429"/>
      <c r="R1902" s="429"/>
      <c r="S1902" s="429"/>
      <c r="T1902" s="429"/>
      <c r="U1902" s="322"/>
      <c r="V1902" s="322"/>
      <c r="W1902" s="322"/>
      <c r="X1902" s="322"/>
      <c r="Y1902" s="322"/>
      <c r="Z1902" s="322"/>
      <c r="AA1902" s="322"/>
      <c r="AB1902" s="322"/>
      <c r="AC1902" s="322"/>
      <c r="AD1902" s="322"/>
      <c r="AE1902" s="322"/>
      <c r="AF1902" s="322"/>
      <c r="AG1902" s="322"/>
      <c r="AH1902" s="322"/>
      <c r="AI1902" s="322"/>
      <c r="AJ1902" s="322"/>
      <c r="AK1902" s="322"/>
      <c r="AL1902" s="322"/>
      <c r="AM1902" s="322"/>
      <c r="AN1902" s="322"/>
      <c r="AO1902" s="322"/>
      <c r="AP1902" s="322"/>
      <c r="AQ1902" s="322"/>
      <c r="AR1902" s="322"/>
      <c r="AS1902" s="322"/>
      <c r="AT1902" s="322"/>
      <c r="AU1902" s="476"/>
      <c r="AV1902" s="477"/>
      <c r="AW1902" s="477"/>
      <c r="AX1902" s="527"/>
      <c r="AY1902" s="527"/>
      <c r="AZ1902" s="529" t="s">
        <v>566</v>
      </c>
      <c r="BA1902" s="527"/>
      <c r="BB1902" s="527"/>
      <c r="BC1902" s="527"/>
      <c r="BD1902" s="527"/>
      <c r="BE1902" s="527"/>
      <c r="BF1902" s="527"/>
      <c r="BG1902" s="527"/>
      <c r="BH1902" s="527"/>
      <c r="BI1902" s="527"/>
      <c r="BJ1902" s="487"/>
      <c r="BK1902" s="487"/>
      <c r="BL1902" s="487"/>
      <c r="BM1902" s="487"/>
      <c r="BN1902" s="487"/>
      <c r="BO1902" s="487"/>
      <c r="BP1902" s="487"/>
      <c r="BQ1902" s="487"/>
      <c r="BR1902" s="487"/>
      <c r="BS1902" s="487"/>
      <c r="BT1902" s="487"/>
      <c r="BU1902" s="477"/>
      <c r="BV1902" s="477"/>
      <c r="BW1902" s="477"/>
      <c r="BX1902" s="477"/>
      <c r="BY1902" s="477"/>
    </row>
    <row r="1903" spans="1:77" ht="20">
      <c r="D1903" s="425"/>
      <c r="E1903" s="425"/>
      <c r="G1903" s="428"/>
      <c r="H1903" s="428"/>
      <c r="I1903" s="428"/>
      <c r="J1903" s="428"/>
      <c r="K1903" s="428"/>
      <c r="L1903" s="428"/>
      <c r="M1903" s="428"/>
      <c r="N1903" s="428"/>
      <c r="O1903" s="428"/>
      <c r="P1903" s="429"/>
      <c r="Q1903" s="429"/>
      <c r="R1903" s="429"/>
      <c r="S1903" s="429"/>
      <c r="T1903" s="429"/>
      <c r="U1903" s="322"/>
      <c r="V1903" s="322"/>
      <c r="W1903" s="322"/>
      <c r="X1903" s="322"/>
      <c r="Y1903" s="322"/>
      <c r="Z1903" s="322"/>
      <c r="AA1903" s="322"/>
      <c r="AB1903" s="322"/>
      <c r="AC1903" s="322"/>
      <c r="AD1903" s="322"/>
      <c r="AE1903" s="322"/>
      <c r="AF1903" s="322"/>
      <c r="AG1903" s="322"/>
      <c r="AH1903" s="322"/>
      <c r="AI1903" s="322"/>
      <c r="AJ1903" s="322"/>
      <c r="AK1903" s="322"/>
      <c r="AL1903" s="322"/>
      <c r="AM1903" s="322"/>
      <c r="AN1903" s="322"/>
      <c r="AO1903" s="322"/>
      <c r="AP1903" s="322"/>
      <c r="AQ1903" s="322"/>
      <c r="AR1903" s="322"/>
      <c r="AS1903" s="322"/>
      <c r="AT1903" s="322"/>
      <c r="AU1903" s="476"/>
      <c r="AV1903" s="477"/>
      <c r="AW1903" s="477"/>
      <c r="AX1903" s="527"/>
      <c r="AY1903" s="527"/>
      <c r="AZ1903" s="527"/>
      <c r="BA1903" s="527"/>
      <c r="BB1903" s="527"/>
      <c r="BC1903" s="527"/>
      <c r="BD1903" s="527"/>
      <c r="BE1903" s="527"/>
      <c r="BF1903" s="527"/>
      <c r="BG1903" s="527"/>
      <c r="BH1903" s="527"/>
      <c r="BI1903" s="527"/>
      <c r="BJ1903" s="487"/>
      <c r="BK1903" s="487"/>
      <c r="BL1903" s="487"/>
      <c r="BM1903" s="487"/>
      <c r="BN1903" s="487"/>
      <c r="BO1903" s="487"/>
      <c r="BP1903" s="487"/>
      <c r="BQ1903" s="487"/>
      <c r="BR1903" s="487"/>
      <c r="BS1903" s="487"/>
      <c r="BT1903" s="487"/>
      <c r="BU1903" s="477"/>
      <c r="BV1903" s="477"/>
      <c r="BW1903" s="477"/>
      <c r="BX1903" s="477"/>
      <c r="BY1903" s="477"/>
    </row>
    <row r="1904" spans="1:77" ht="16" thickBot="1">
      <c r="A1904" s="76" t="s">
        <v>40</v>
      </c>
      <c r="D1904" s="76" t="s">
        <v>101</v>
      </c>
      <c r="G1904" s="428"/>
      <c r="H1904" s="428"/>
      <c r="I1904" s="428"/>
      <c r="J1904" s="428"/>
      <c r="K1904" s="428"/>
      <c r="L1904" s="428"/>
      <c r="M1904" s="428"/>
      <c r="N1904" s="428"/>
      <c r="O1904" s="428"/>
      <c r="P1904" s="429"/>
      <c r="Q1904" s="429"/>
      <c r="R1904" s="429"/>
      <c r="S1904" s="429"/>
      <c r="T1904" s="429"/>
      <c r="U1904" s="322"/>
      <c r="V1904" s="322"/>
      <c r="W1904" s="322"/>
      <c r="X1904" s="322"/>
      <c r="Y1904" s="322"/>
      <c r="Z1904" s="322"/>
      <c r="AA1904" s="322"/>
      <c r="AB1904" s="322"/>
      <c r="AC1904" s="322"/>
      <c r="AD1904" s="322"/>
      <c r="AE1904" s="322"/>
      <c r="AF1904" s="322"/>
      <c r="AG1904" s="322"/>
      <c r="AH1904" s="322"/>
      <c r="AI1904" s="322"/>
      <c r="AJ1904" s="322"/>
      <c r="AK1904" s="322"/>
      <c r="AL1904" s="322"/>
      <c r="AM1904" s="322"/>
      <c r="AN1904" s="322"/>
      <c r="AO1904" s="322"/>
      <c r="AP1904" s="322"/>
      <c r="AQ1904" s="322"/>
      <c r="AR1904" s="322"/>
      <c r="AS1904" s="322"/>
      <c r="AT1904" s="322"/>
      <c r="AU1904" s="479"/>
      <c r="AV1904" s="480"/>
      <c r="AW1904" s="480"/>
      <c r="AX1904" s="480"/>
      <c r="AY1904" s="480"/>
      <c r="AZ1904" s="480"/>
      <c r="BA1904" s="480"/>
      <c r="BB1904" s="480"/>
      <c r="BC1904" s="480"/>
      <c r="BD1904" s="480"/>
      <c r="BE1904" s="480"/>
      <c r="BF1904" s="480"/>
      <c r="BG1904" s="480"/>
      <c r="BH1904" s="480"/>
      <c r="BI1904" s="480"/>
      <c r="BJ1904" s="480"/>
      <c r="BK1904" s="480"/>
      <c r="BL1904" s="480"/>
      <c r="BM1904" s="480"/>
      <c r="BN1904" s="480"/>
      <c r="BO1904" s="480"/>
      <c r="BP1904" s="480"/>
      <c r="BQ1904" s="480"/>
      <c r="BR1904" s="480"/>
      <c r="BS1904" s="480"/>
      <c r="BT1904" s="480"/>
      <c r="BU1904" s="480"/>
      <c r="BV1904" s="480"/>
      <c r="BW1904" s="480"/>
      <c r="BX1904" s="480"/>
      <c r="BY1904" s="480"/>
    </row>
    <row r="1905" spans="4:72">
      <c r="D1905" s="423" t="s">
        <v>66</v>
      </c>
      <c r="E1905" s="423"/>
      <c r="G1905" s="428"/>
      <c r="H1905" s="428"/>
      <c r="I1905" s="428"/>
      <c r="J1905" s="428"/>
      <c r="K1905" s="428"/>
      <c r="L1905" s="428"/>
      <c r="M1905" s="428"/>
      <c r="N1905" s="428"/>
      <c r="O1905" s="428"/>
      <c r="P1905" s="429"/>
      <c r="Q1905" s="429"/>
      <c r="R1905" s="429"/>
      <c r="S1905" s="429"/>
      <c r="T1905" s="429"/>
      <c r="U1905" s="322"/>
      <c r="V1905" s="322"/>
      <c r="W1905" s="322"/>
      <c r="X1905" s="322"/>
      <c r="Y1905" s="322"/>
      <c r="Z1905" s="322"/>
      <c r="AA1905" s="322"/>
      <c r="AB1905" s="322"/>
      <c r="AC1905" s="322"/>
      <c r="AD1905" s="322"/>
      <c r="AE1905" s="322"/>
      <c r="AF1905" s="322"/>
      <c r="AG1905" s="322"/>
      <c r="AH1905" s="322"/>
      <c r="AI1905" s="322"/>
      <c r="AJ1905" s="322"/>
      <c r="AK1905" s="322"/>
      <c r="AL1905" s="322"/>
      <c r="AM1905" s="322"/>
      <c r="AN1905" s="322"/>
      <c r="AO1905" s="322"/>
      <c r="AP1905" s="322"/>
      <c r="AQ1905" s="322"/>
      <c r="AR1905" s="322"/>
      <c r="AS1905" s="322"/>
      <c r="AT1905" s="322"/>
    </row>
    <row r="1906" spans="4:72">
      <c r="D1906" s="425" t="s">
        <v>23</v>
      </c>
      <c r="E1906" s="425"/>
      <c r="G1906" s="421">
        <v>1010</v>
      </c>
      <c r="H1906" s="421">
        <v>382</v>
      </c>
      <c r="I1906" s="421">
        <v>-2484</v>
      </c>
      <c r="J1906" s="421">
        <v>1041</v>
      </c>
      <c r="K1906" s="421">
        <v>2489</v>
      </c>
      <c r="L1906" s="421"/>
      <c r="M1906" s="421"/>
      <c r="N1906" s="421"/>
      <c r="O1906" s="421"/>
      <c r="P1906" s="422">
        <v>3145</v>
      </c>
      <c r="Q1906" s="422"/>
      <c r="R1906" s="422"/>
      <c r="S1906" s="422"/>
      <c r="T1906" s="422"/>
      <c r="U1906" s="322"/>
      <c r="V1906" s="322"/>
      <c r="W1906" s="322"/>
      <c r="X1906" s="322"/>
      <c r="Y1906" s="322"/>
      <c r="Z1906" s="322"/>
      <c r="AA1906" s="322"/>
      <c r="AB1906" s="322"/>
      <c r="AC1906" s="322"/>
      <c r="AD1906" s="322"/>
      <c r="AE1906" s="322"/>
      <c r="AF1906" s="322"/>
      <c r="AG1906" s="322"/>
      <c r="AH1906" s="322"/>
      <c r="AI1906" s="322"/>
      <c r="AJ1906" s="322"/>
      <c r="AK1906" s="322"/>
      <c r="AL1906" s="322"/>
      <c r="AM1906" s="322"/>
      <c r="AN1906" s="322"/>
      <c r="AO1906" s="322"/>
      <c r="AP1906" s="322"/>
      <c r="AQ1906" s="322"/>
      <c r="AR1906" s="322"/>
      <c r="AS1906" s="322"/>
      <c r="AT1906" s="322"/>
    </row>
    <row r="1907" spans="4:72" ht="16" thickBot="1">
      <c r="D1907" s="425" t="s">
        <v>67</v>
      </c>
      <c r="E1907" s="425"/>
      <c r="G1907" s="421">
        <v>1233</v>
      </c>
      <c r="H1907" s="421">
        <v>1344</v>
      </c>
      <c r="I1907" s="421">
        <v>1366</v>
      </c>
      <c r="J1907" s="421">
        <v>1385</v>
      </c>
      <c r="K1907" s="421">
        <v>1492</v>
      </c>
      <c r="L1907" s="421"/>
      <c r="M1907" s="421"/>
      <c r="N1907" s="421"/>
      <c r="O1907" s="421"/>
      <c r="P1907" s="422">
        <v>1483</v>
      </c>
      <c r="Q1907" s="422"/>
      <c r="R1907" s="422"/>
      <c r="S1907" s="422"/>
      <c r="T1907" s="422"/>
      <c r="U1907" s="322"/>
      <c r="V1907" s="322"/>
      <c r="W1907" s="322"/>
      <c r="X1907" s="322"/>
      <c r="Y1907" s="322"/>
      <c r="Z1907" s="322"/>
      <c r="AA1907" s="322"/>
      <c r="AB1907" s="322"/>
      <c r="AC1907" s="322"/>
      <c r="AD1907" s="322"/>
      <c r="AE1907" s="322"/>
      <c r="AF1907" s="322"/>
      <c r="AG1907" s="322"/>
      <c r="AH1907" s="322"/>
      <c r="AI1907" s="322"/>
      <c r="AJ1907" s="322"/>
      <c r="AK1907" s="322"/>
      <c r="AL1907" s="322"/>
      <c r="AM1907" s="322"/>
      <c r="AN1907" s="322"/>
      <c r="AO1907" s="322"/>
      <c r="AP1907" s="322"/>
      <c r="AQ1907" s="322"/>
      <c r="AR1907" s="322"/>
      <c r="AS1907" s="322"/>
      <c r="AT1907" s="322"/>
    </row>
    <row r="1908" spans="4:72">
      <c r="D1908" s="425" t="s">
        <v>68</v>
      </c>
      <c r="E1908" s="425"/>
      <c r="G1908" s="421">
        <v>106</v>
      </c>
      <c r="H1908" s="421">
        <v>342</v>
      </c>
      <c r="I1908" s="421">
        <v>-836</v>
      </c>
      <c r="J1908" s="421">
        <v>587</v>
      </c>
      <c r="K1908" s="421">
        <v>1425</v>
      </c>
      <c r="L1908" s="421"/>
      <c r="M1908" s="421"/>
      <c r="N1908" s="421"/>
      <c r="O1908" s="421"/>
      <c r="P1908" s="422">
        <v>1365</v>
      </c>
      <c r="Q1908" s="422"/>
      <c r="R1908" s="422"/>
      <c r="S1908" s="422"/>
      <c r="T1908" s="422"/>
      <c r="U1908" s="322"/>
      <c r="V1908" s="322"/>
      <c r="W1908" s="322"/>
      <c r="X1908" s="322"/>
      <c r="Y1908" s="322"/>
      <c r="Z1908" s="322"/>
      <c r="AA1908" s="322"/>
      <c r="AB1908" s="322"/>
      <c r="AC1908" s="322"/>
      <c r="AD1908" s="322"/>
      <c r="AE1908" s="322"/>
      <c r="AF1908" s="322"/>
      <c r="AG1908" s="322"/>
      <c r="AH1908" s="322"/>
      <c r="AI1908" s="322"/>
      <c r="AJ1908" s="322"/>
      <c r="AK1908" s="322"/>
      <c r="AL1908" s="322"/>
      <c r="AM1908" s="322"/>
      <c r="AN1908" s="322"/>
      <c r="AO1908" s="322"/>
      <c r="AP1908" s="322"/>
      <c r="AQ1908" s="322"/>
      <c r="AR1908" s="322"/>
      <c r="AS1908" s="322"/>
      <c r="AT1908" s="322"/>
      <c r="AU1908" s="491" t="s">
        <v>547</v>
      </c>
      <c r="AV1908" s="474"/>
      <c r="AW1908" s="474"/>
      <c r="AX1908" s="474"/>
      <c r="AY1908" s="474"/>
      <c r="AZ1908" s="474"/>
      <c r="BA1908" s="474"/>
      <c r="BB1908" s="474"/>
      <c r="BC1908" s="474"/>
      <c r="BD1908" s="474"/>
      <c r="BE1908" s="474"/>
      <c r="BF1908" s="474"/>
      <c r="BG1908" s="474"/>
      <c r="BH1908" s="474"/>
      <c r="BI1908" s="475"/>
    </row>
    <row r="1909" spans="4:72" ht="20">
      <c r="D1909" s="425" t="s">
        <v>69</v>
      </c>
      <c r="E1909" s="425"/>
      <c r="G1909" s="421">
        <v>2</v>
      </c>
      <c r="H1909" s="421" t="s">
        <v>0</v>
      </c>
      <c r="I1909" s="421" t="s">
        <v>0</v>
      </c>
      <c r="J1909" s="421" t="s">
        <v>0</v>
      </c>
      <c r="K1909" s="421" t="s">
        <v>0</v>
      </c>
      <c r="L1909" s="421"/>
      <c r="M1909" s="421"/>
      <c r="N1909" s="421"/>
      <c r="O1909" s="421"/>
      <c r="P1909" s="422" t="s">
        <v>0</v>
      </c>
      <c r="Q1909" s="422"/>
      <c r="R1909" s="422"/>
      <c r="S1909" s="422"/>
      <c r="T1909" s="422"/>
      <c r="U1909" s="322"/>
      <c r="V1909" s="322"/>
      <c r="W1909" s="322"/>
      <c r="X1909" s="322"/>
      <c r="Y1909" s="322"/>
      <c r="Z1909" s="322"/>
      <c r="AA1909" s="322"/>
      <c r="AB1909" s="322"/>
      <c r="AC1909" s="322"/>
      <c r="AD1909" s="322"/>
      <c r="AE1909" s="322"/>
      <c r="AF1909" s="322"/>
      <c r="AG1909" s="322"/>
      <c r="AH1909" s="322"/>
      <c r="AI1909" s="322"/>
      <c r="AJ1909" s="322"/>
      <c r="AK1909" s="322"/>
      <c r="AL1909" s="322"/>
      <c r="AM1909" s="322"/>
      <c r="AN1909" s="322"/>
      <c r="AO1909" s="322"/>
      <c r="AP1909" s="322"/>
      <c r="AQ1909" s="322"/>
      <c r="AR1909" s="322"/>
      <c r="AS1909" s="322"/>
      <c r="AT1909" s="322"/>
      <c r="AU1909" s="476"/>
      <c r="AV1909" s="477"/>
      <c r="AW1909" s="477"/>
      <c r="AX1909" s="527"/>
      <c r="AY1909" s="543" t="s">
        <v>547</v>
      </c>
      <c r="AZ1909" s="527"/>
      <c r="BA1909" s="527"/>
      <c r="BB1909" s="1381" t="s">
        <v>553</v>
      </c>
      <c r="BC1909" s="1381"/>
      <c r="BD1909" s="1381"/>
      <c r="BE1909" s="1381"/>
      <c r="BF1909" s="1381"/>
      <c r="BG1909" s="527"/>
      <c r="BH1909" s="527"/>
      <c r="BI1909" s="544"/>
      <c r="BJ1909" s="507" t="s">
        <v>547</v>
      </c>
      <c r="BK1909" s="507"/>
      <c r="BL1909" s="505"/>
      <c r="BM1909" s="505"/>
      <c r="BN1909" s="505"/>
      <c r="BO1909" s="505"/>
      <c r="BP1909" s="505"/>
      <c r="BQ1909" s="505"/>
      <c r="BR1909" s="505"/>
      <c r="BS1909" s="505"/>
      <c r="BT1909" s="505"/>
    </row>
    <row r="1910" spans="4:72" ht="20">
      <c r="D1910" s="425" t="s">
        <v>70</v>
      </c>
      <c r="E1910" s="425"/>
      <c r="G1910" s="421">
        <v>-43</v>
      </c>
      <c r="H1910" s="421">
        <v>2</v>
      </c>
      <c r="I1910" s="421">
        <v>-120</v>
      </c>
      <c r="J1910" s="421">
        <v>-96</v>
      </c>
      <c r="K1910" s="421">
        <v>-51</v>
      </c>
      <c r="L1910" s="421"/>
      <c r="M1910" s="421"/>
      <c r="N1910" s="421"/>
      <c r="O1910" s="421"/>
      <c r="P1910" s="422">
        <v>-892</v>
      </c>
      <c r="Q1910" s="422"/>
      <c r="R1910" s="422"/>
      <c r="S1910" s="422"/>
      <c r="T1910" s="422"/>
      <c r="U1910" s="322"/>
      <c r="V1910" s="322"/>
      <c r="W1910" s="322"/>
      <c r="X1910" s="322"/>
      <c r="Y1910" s="322"/>
      <c r="Z1910" s="322"/>
      <c r="AA1910" s="322"/>
      <c r="AB1910" s="322"/>
      <c r="AC1910" s="322"/>
      <c r="AD1910" s="322"/>
      <c r="AE1910" s="322"/>
      <c r="AF1910" s="322"/>
      <c r="AG1910" s="322"/>
      <c r="AH1910" s="322"/>
      <c r="AI1910" s="322"/>
      <c r="AJ1910" s="322"/>
      <c r="AK1910" s="322"/>
      <c r="AL1910" s="322"/>
      <c r="AM1910" s="322"/>
      <c r="AN1910" s="322"/>
      <c r="AO1910" s="322"/>
      <c r="AP1910" s="322"/>
      <c r="AQ1910" s="322"/>
      <c r="AR1910" s="322"/>
      <c r="AS1910" s="322"/>
      <c r="AT1910" s="322"/>
      <c r="AU1910" s="476"/>
      <c r="AV1910" s="477"/>
      <c r="AW1910" s="477"/>
      <c r="AX1910" s="527"/>
      <c r="AY1910" s="527"/>
      <c r="AZ1910" s="527"/>
      <c r="BA1910" s="1148">
        <v>100</v>
      </c>
      <c r="BB1910" s="1148">
        <v>110</v>
      </c>
      <c r="BC1910" s="1148">
        <v>120</v>
      </c>
      <c r="BD1910" s="1148">
        <v>130</v>
      </c>
      <c r="BE1910" s="1148">
        <v>140</v>
      </c>
      <c r="BF1910" s="1148">
        <v>150</v>
      </c>
      <c r="BG1910" s="1148">
        <v>160</v>
      </c>
      <c r="BH1910" s="1148">
        <v>170</v>
      </c>
      <c r="BI1910" s="544"/>
      <c r="BJ1910" s="505"/>
      <c r="BK1910" s="505"/>
      <c r="BL1910" s="505"/>
      <c r="BM1910" s="1384" t="s">
        <v>556</v>
      </c>
      <c r="BN1910" s="1384"/>
      <c r="BO1910" s="1384"/>
      <c r="BP1910" s="1384"/>
      <c r="BQ1910" s="1384"/>
      <c r="BR1910" s="505"/>
      <c r="BS1910" s="505"/>
      <c r="BT1910" s="505"/>
    </row>
    <row r="1911" spans="4:72" ht="20">
      <c r="D1911" s="425" t="s">
        <v>71</v>
      </c>
      <c r="E1911" s="425"/>
      <c r="G1911" s="421">
        <v>0</v>
      </c>
      <c r="H1911" s="421">
        <v>0</v>
      </c>
      <c r="I1911" s="421" t="s">
        <v>0</v>
      </c>
      <c r="J1911" s="421" t="s">
        <v>0</v>
      </c>
      <c r="K1911" s="421" t="s">
        <v>0</v>
      </c>
      <c r="L1911" s="421"/>
      <c r="M1911" s="421"/>
      <c r="N1911" s="421"/>
      <c r="O1911" s="421"/>
      <c r="P1911" s="422" t="s">
        <v>0</v>
      </c>
      <c r="Q1911" s="422"/>
      <c r="R1911" s="422"/>
      <c r="S1911" s="422"/>
      <c r="T1911" s="422"/>
      <c r="U1911" s="322"/>
      <c r="V1911" s="322"/>
      <c r="W1911" s="322"/>
      <c r="X1911" s="322"/>
      <c r="Y1911" s="322"/>
      <c r="Z1911" s="322"/>
      <c r="AA1911" s="322"/>
      <c r="AB1911" s="322"/>
      <c r="AC1911" s="322"/>
      <c r="AD1911" s="322"/>
      <c r="AE1911" s="322"/>
      <c r="AF1911" s="322"/>
      <c r="AG1911" s="322"/>
      <c r="AH1911" s="322"/>
      <c r="AI1911" s="322"/>
      <c r="AJ1911" s="322"/>
      <c r="AK1911" s="322"/>
      <c r="AL1911" s="322"/>
      <c r="AM1911" s="322"/>
      <c r="AN1911" s="322"/>
      <c r="AO1911" s="322"/>
      <c r="AP1911" s="322"/>
      <c r="AQ1911" s="322"/>
      <c r="AR1911" s="322"/>
      <c r="AS1911" s="322"/>
      <c r="AT1911" s="322"/>
      <c r="AU1911" s="476" t="s">
        <v>548</v>
      </c>
      <c r="AV1911" s="477">
        <f>_xll.BDP("TECK/B CN EQUITY","PR005")</f>
        <v>29.81</v>
      </c>
      <c r="AW1911" s="477"/>
      <c r="AX1911" s="527"/>
      <c r="AY1911" s="527"/>
      <c r="AZ1911" s="527"/>
      <c r="BA1911" s="1149">
        <v>133.49352556401016</v>
      </c>
      <c r="BB1911" s="1149">
        <v>146.84287812041117</v>
      </c>
      <c r="BC1911" s="1149">
        <v>160.19223067681219</v>
      </c>
      <c r="BD1911" s="1149">
        <v>173.5415832332132</v>
      </c>
      <c r="BE1911" s="1149">
        <v>186.89093578961422</v>
      </c>
      <c r="BF1911" s="1149">
        <v>200.24028834601523</v>
      </c>
      <c r="BG1911" s="1149">
        <v>213.58964090241625</v>
      </c>
      <c r="BH1911" s="1149">
        <v>226.93899345881727</v>
      </c>
      <c r="BI1911" s="544"/>
      <c r="BJ1911" s="505"/>
      <c r="BK1911" s="505"/>
      <c r="BL1911" s="490" t="e">
        <f>BA1911*#REF!</f>
        <v>#REF!</v>
      </c>
      <c r="BM1911" s="490" t="e">
        <f>BB1911*#REF!</f>
        <v>#REF!</v>
      </c>
      <c r="BN1911" s="490" t="e">
        <f>BC1911*#REF!</f>
        <v>#REF!</v>
      </c>
      <c r="BO1911" s="490" t="e">
        <f>BD1911*#REF!</f>
        <v>#REF!</v>
      </c>
      <c r="BP1911" s="490" t="e">
        <f>BE1911*#REF!</f>
        <v>#REF!</v>
      </c>
      <c r="BQ1911" s="490" t="e">
        <f>BF1911*#REF!</f>
        <v>#REF!</v>
      </c>
      <c r="BR1911" s="490" t="e">
        <f>BG1911*#REF!</f>
        <v>#REF!</v>
      </c>
      <c r="BS1911" s="490" t="e">
        <f>BH1911*#REF!</f>
        <v>#REF!</v>
      </c>
      <c r="BT1911" s="505"/>
    </row>
    <row r="1912" spans="4:72" ht="20">
      <c r="D1912" s="425" t="s">
        <v>72</v>
      </c>
      <c r="E1912" s="425"/>
      <c r="G1912" s="421">
        <v>0</v>
      </c>
      <c r="H1912" s="421">
        <v>12</v>
      </c>
      <c r="I1912" s="421">
        <v>3631</v>
      </c>
      <c r="J1912" s="421">
        <v>294</v>
      </c>
      <c r="K1912" s="421">
        <v>-163</v>
      </c>
      <c r="L1912" s="421"/>
      <c r="M1912" s="421"/>
      <c r="N1912" s="421"/>
      <c r="O1912" s="421"/>
      <c r="P1912" s="422">
        <v>41</v>
      </c>
      <c r="Q1912" s="422"/>
      <c r="R1912" s="422"/>
      <c r="S1912" s="422"/>
      <c r="T1912" s="422"/>
      <c r="U1912" s="322"/>
      <c r="V1912" s="322"/>
      <c r="W1912" s="322"/>
      <c r="X1912" s="322"/>
      <c r="Y1912" s="322"/>
      <c r="Z1912" s="322"/>
      <c r="AA1912" s="322"/>
      <c r="AB1912" s="322"/>
      <c r="AC1912" s="322"/>
      <c r="AD1912" s="322"/>
      <c r="AE1912" s="322"/>
      <c r="AF1912" s="322"/>
      <c r="AG1912" s="322"/>
      <c r="AH1912" s="322"/>
      <c r="AI1912" s="322"/>
      <c r="AJ1912" s="322"/>
      <c r="AK1912" s="322"/>
      <c r="AL1912" s="322"/>
      <c r="AM1912" s="322"/>
      <c r="AN1912" s="322"/>
      <c r="AO1912" s="322"/>
      <c r="AP1912" s="322"/>
      <c r="AQ1912" s="322"/>
      <c r="AR1912" s="322"/>
      <c r="AS1912" s="322"/>
      <c r="AT1912" s="322"/>
      <c r="AU1912" s="476"/>
      <c r="AV1912" s="477"/>
      <c r="AW1912" s="482">
        <f t="shared" ref="AW1912:AW1916" si="1347">AY1912*2204.6</f>
        <v>5401.27</v>
      </c>
      <c r="AX1912" s="527"/>
      <c r="AY1912" s="1147">
        <v>2.4500000000000002</v>
      </c>
      <c r="AZ1912" s="1151">
        <v>3.270591376318249</v>
      </c>
      <c r="BA1912" s="568">
        <f>(BA1889/$AV$1911)-1</f>
        <v>7.695095633421456E-2</v>
      </c>
      <c r="BB1912" s="568">
        <f t="shared" ref="BA1912:BH1924" si="1348">(BB1889/$AV$1911)-1</f>
        <v>7.695095633421456E-2</v>
      </c>
      <c r="BC1912" s="568">
        <f t="shared" si="1348"/>
        <v>7.695095633421456E-2</v>
      </c>
      <c r="BD1912" s="568">
        <f t="shared" si="1348"/>
        <v>7.695095633421456E-2</v>
      </c>
      <c r="BE1912" s="568">
        <f t="shared" si="1348"/>
        <v>7.695095633421456E-2</v>
      </c>
      <c r="BF1912" s="568">
        <f t="shared" si="1348"/>
        <v>7.695095633421456E-2</v>
      </c>
      <c r="BG1912" s="568">
        <f t="shared" si="1348"/>
        <v>7.695095633421456E-2</v>
      </c>
      <c r="BH1912" s="568">
        <f t="shared" si="1348"/>
        <v>7.695095633421456E-2</v>
      </c>
      <c r="BI1912" s="544"/>
      <c r="BJ1912" s="505"/>
      <c r="BK1912" s="490" t="e">
        <f>AZ1912*#REF!</f>
        <v>#REF!</v>
      </c>
      <c r="BL1912" s="506" t="e">
        <f t="shared" ref="BL1912:BS1924" si="1349">BL1889/$AV$1913-1</f>
        <v>#REF!</v>
      </c>
      <c r="BM1912" s="506" t="e">
        <f t="shared" si="1349"/>
        <v>#REF!</v>
      </c>
      <c r="BN1912" s="506" t="e">
        <f t="shared" si="1349"/>
        <v>#REF!</v>
      </c>
      <c r="BO1912" s="506" t="e">
        <f t="shared" si="1349"/>
        <v>#REF!</v>
      </c>
      <c r="BP1912" s="506" t="e">
        <f t="shared" si="1349"/>
        <v>#REF!</v>
      </c>
      <c r="BQ1912" s="506" t="e">
        <f t="shared" si="1349"/>
        <v>#REF!</v>
      </c>
      <c r="BR1912" s="506" t="e">
        <f t="shared" si="1349"/>
        <v>#REF!</v>
      </c>
      <c r="BS1912" s="506" t="e">
        <f t="shared" si="1349"/>
        <v>#REF!</v>
      </c>
      <c r="BT1912" s="505"/>
    </row>
    <row r="1913" spans="4:72" ht="20">
      <c r="D1913" s="425" t="s">
        <v>73</v>
      </c>
      <c r="E1913" s="425"/>
      <c r="G1913" s="421">
        <v>12</v>
      </c>
      <c r="H1913" s="421">
        <v>9</v>
      </c>
      <c r="I1913" s="421">
        <v>76</v>
      </c>
      <c r="J1913" s="421">
        <v>-46</v>
      </c>
      <c r="K1913" s="421">
        <v>-5</v>
      </c>
      <c r="L1913" s="421"/>
      <c r="M1913" s="421"/>
      <c r="N1913" s="421"/>
      <c r="O1913" s="421"/>
      <c r="P1913" s="422">
        <v>-16</v>
      </c>
      <c r="Q1913" s="422"/>
      <c r="R1913" s="422"/>
      <c r="S1913" s="422"/>
      <c r="T1913" s="422"/>
      <c r="U1913" s="322"/>
      <c r="V1913" s="322"/>
      <c r="W1913" s="322"/>
      <c r="X1913" s="322"/>
      <c r="Y1913" s="322"/>
      <c r="Z1913" s="322"/>
      <c r="AA1913" s="322"/>
      <c r="AB1913" s="322"/>
      <c r="AC1913" s="322"/>
      <c r="AD1913" s="322"/>
      <c r="AE1913" s="322"/>
      <c r="AF1913" s="322"/>
      <c r="AG1913" s="322"/>
      <c r="AH1913" s="322"/>
      <c r="AI1913" s="322"/>
      <c r="AJ1913" s="322"/>
      <c r="AK1913" s="322"/>
      <c r="AL1913" s="322"/>
      <c r="AM1913" s="322"/>
      <c r="AN1913" s="322"/>
      <c r="AO1913" s="322"/>
      <c r="AP1913" s="322"/>
      <c r="AQ1913" s="322"/>
      <c r="AR1913" s="322"/>
      <c r="AS1913" s="322"/>
      <c r="AT1913" s="322"/>
      <c r="AU1913" s="476" t="s">
        <v>558</v>
      </c>
      <c r="AV1913" s="483" t="e">
        <f>AV1911*#REF!</f>
        <v>#REF!</v>
      </c>
      <c r="AW1913" s="482">
        <f t="shared" si="1347"/>
        <v>5511.5</v>
      </c>
      <c r="AX1913" s="527"/>
      <c r="AY1913" s="1147">
        <v>2.5</v>
      </c>
      <c r="AZ1913" s="1151">
        <v>3.3373381391002539</v>
      </c>
      <c r="BA1913" s="568">
        <f t="shared" si="1348"/>
        <v>7.695095633421456E-2</v>
      </c>
      <c r="BB1913" s="568">
        <f t="shared" si="1348"/>
        <v>7.695095633421456E-2</v>
      </c>
      <c r="BC1913" s="568">
        <f t="shared" si="1348"/>
        <v>7.695095633421456E-2</v>
      </c>
      <c r="BD1913" s="568">
        <f t="shared" si="1348"/>
        <v>7.695095633421456E-2</v>
      </c>
      <c r="BE1913" s="568">
        <f t="shared" si="1348"/>
        <v>7.695095633421456E-2</v>
      </c>
      <c r="BF1913" s="568">
        <f t="shared" si="1348"/>
        <v>7.695095633421456E-2</v>
      </c>
      <c r="BG1913" s="568">
        <f t="shared" si="1348"/>
        <v>7.695095633421456E-2</v>
      </c>
      <c r="BH1913" s="568">
        <f t="shared" si="1348"/>
        <v>7.695095633421456E-2</v>
      </c>
      <c r="BI1913" s="544"/>
      <c r="BJ1913" s="505"/>
      <c r="BK1913" s="490" t="e">
        <f>AZ1913*#REF!</f>
        <v>#REF!</v>
      </c>
      <c r="BL1913" s="506" t="e">
        <f t="shared" si="1349"/>
        <v>#REF!</v>
      </c>
      <c r="BM1913" s="506" t="e">
        <f t="shared" si="1349"/>
        <v>#REF!</v>
      </c>
      <c r="BN1913" s="506" t="e">
        <f t="shared" si="1349"/>
        <v>#REF!</v>
      </c>
      <c r="BO1913" s="506" t="e">
        <f t="shared" si="1349"/>
        <v>#REF!</v>
      </c>
      <c r="BP1913" s="506" t="e">
        <f t="shared" si="1349"/>
        <v>#REF!</v>
      </c>
      <c r="BQ1913" s="506" t="e">
        <f t="shared" si="1349"/>
        <v>#REF!</v>
      </c>
      <c r="BR1913" s="506" t="e">
        <f t="shared" si="1349"/>
        <v>#REF!</v>
      </c>
      <c r="BS1913" s="506" t="e">
        <f t="shared" si="1349"/>
        <v>#REF!</v>
      </c>
      <c r="BT1913" s="505"/>
    </row>
    <row r="1914" spans="4:72" ht="20">
      <c r="D1914" s="425" t="s">
        <v>74</v>
      </c>
      <c r="E1914" s="425"/>
      <c r="G1914" s="421">
        <v>0</v>
      </c>
      <c r="H1914" s="421">
        <v>0</v>
      </c>
      <c r="I1914" s="421" t="s">
        <v>0</v>
      </c>
      <c r="J1914" s="421">
        <v>-49</v>
      </c>
      <c r="K1914" s="421">
        <v>216</v>
      </c>
      <c r="L1914" s="421"/>
      <c r="M1914" s="421"/>
      <c r="N1914" s="421"/>
      <c r="O1914" s="421"/>
      <c r="P1914" s="422">
        <v>26</v>
      </c>
      <c r="Q1914" s="422"/>
      <c r="R1914" s="422"/>
      <c r="S1914" s="422"/>
      <c r="T1914" s="422"/>
      <c r="U1914" s="322"/>
      <c r="V1914" s="322"/>
      <c r="W1914" s="322"/>
      <c r="X1914" s="322"/>
      <c r="Y1914" s="322"/>
      <c r="Z1914" s="322"/>
      <c r="AA1914" s="322"/>
      <c r="AB1914" s="322"/>
      <c r="AC1914" s="322"/>
      <c r="AD1914" s="322"/>
      <c r="AE1914" s="322"/>
      <c r="AF1914" s="322"/>
      <c r="AG1914" s="322"/>
      <c r="AH1914" s="322"/>
      <c r="AI1914" s="322"/>
      <c r="AJ1914" s="322"/>
      <c r="AK1914" s="322"/>
      <c r="AL1914" s="322"/>
      <c r="AM1914" s="322"/>
      <c r="AN1914" s="322"/>
      <c r="AO1914" s="322"/>
      <c r="AP1914" s="322"/>
      <c r="AQ1914" s="322"/>
      <c r="AR1914" s="322"/>
      <c r="AS1914" s="322"/>
      <c r="AT1914" s="322"/>
      <c r="AU1914" s="476"/>
      <c r="AV1914" s="477"/>
      <c r="AW1914" s="482">
        <f t="shared" si="1347"/>
        <v>5621.73</v>
      </c>
      <c r="AX1914" s="527"/>
      <c r="AY1914" s="1147">
        <v>2.5499999999999998</v>
      </c>
      <c r="AZ1914" s="1151">
        <v>3.4040849018822583</v>
      </c>
      <c r="BA1914" s="568">
        <f t="shared" si="1348"/>
        <v>7.695095633421456E-2</v>
      </c>
      <c r="BB1914" s="568">
        <f t="shared" si="1348"/>
        <v>7.695095633421456E-2</v>
      </c>
      <c r="BC1914" s="568">
        <f t="shared" si="1348"/>
        <v>7.695095633421456E-2</v>
      </c>
      <c r="BD1914" s="568">
        <f t="shared" si="1348"/>
        <v>7.695095633421456E-2</v>
      </c>
      <c r="BE1914" s="568">
        <f t="shared" si="1348"/>
        <v>7.695095633421456E-2</v>
      </c>
      <c r="BF1914" s="568">
        <f t="shared" si="1348"/>
        <v>7.695095633421456E-2</v>
      </c>
      <c r="BG1914" s="568">
        <f t="shared" si="1348"/>
        <v>7.695095633421456E-2</v>
      </c>
      <c r="BH1914" s="568">
        <f t="shared" si="1348"/>
        <v>7.695095633421456E-2</v>
      </c>
      <c r="BI1914" s="544"/>
      <c r="BJ1914" s="1383" t="s">
        <v>557</v>
      </c>
      <c r="BK1914" s="490" t="e">
        <f>AZ1914*#REF!</f>
        <v>#REF!</v>
      </c>
      <c r="BL1914" s="506" t="e">
        <f t="shared" si="1349"/>
        <v>#REF!</v>
      </c>
      <c r="BM1914" s="506" t="e">
        <f t="shared" si="1349"/>
        <v>#REF!</v>
      </c>
      <c r="BN1914" s="506" t="e">
        <f t="shared" si="1349"/>
        <v>#REF!</v>
      </c>
      <c r="BO1914" s="506" t="e">
        <f t="shared" si="1349"/>
        <v>#REF!</v>
      </c>
      <c r="BP1914" s="506" t="e">
        <f t="shared" si="1349"/>
        <v>#REF!</v>
      </c>
      <c r="BQ1914" s="506" t="e">
        <f t="shared" si="1349"/>
        <v>#REF!</v>
      </c>
      <c r="BR1914" s="506" t="e">
        <f t="shared" si="1349"/>
        <v>#REF!</v>
      </c>
      <c r="BS1914" s="506" t="e">
        <f t="shared" si="1349"/>
        <v>#REF!</v>
      </c>
      <c r="BT1914" s="505"/>
    </row>
    <row r="1915" spans="4:72" ht="20">
      <c r="D1915" s="425" t="s">
        <v>75</v>
      </c>
      <c r="E1915" s="425"/>
      <c r="G1915" s="421" t="s">
        <v>0</v>
      </c>
      <c r="H1915" s="421" t="s">
        <v>0</v>
      </c>
      <c r="I1915" s="421">
        <v>0</v>
      </c>
      <c r="J1915" s="421">
        <v>-113</v>
      </c>
      <c r="K1915" s="421">
        <v>-51</v>
      </c>
      <c r="L1915" s="421"/>
      <c r="M1915" s="421"/>
      <c r="N1915" s="421"/>
      <c r="O1915" s="421"/>
      <c r="P1915" s="422">
        <v>42</v>
      </c>
      <c r="Q1915" s="422"/>
      <c r="R1915" s="422"/>
      <c r="S1915" s="422"/>
      <c r="T1915" s="422"/>
      <c r="U1915" s="322"/>
      <c r="V1915" s="322"/>
      <c r="W1915" s="322"/>
      <c r="X1915" s="322"/>
      <c r="Y1915" s="322"/>
      <c r="Z1915" s="322"/>
      <c r="AA1915" s="322"/>
      <c r="AB1915" s="322"/>
      <c r="AC1915" s="322"/>
      <c r="AD1915" s="322"/>
      <c r="AE1915" s="322"/>
      <c r="AF1915" s="322"/>
      <c r="AG1915" s="322"/>
      <c r="AH1915" s="322"/>
      <c r="AI1915" s="322"/>
      <c r="AJ1915" s="322"/>
      <c r="AK1915" s="322"/>
      <c r="AL1915" s="322"/>
      <c r="AM1915" s="322"/>
      <c r="AN1915" s="322"/>
      <c r="AO1915" s="322"/>
      <c r="AP1915" s="322"/>
      <c r="AQ1915" s="322"/>
      <c r="AR1915" s="322"/>
      <c r="AS1915" s="322"/>
      <c r="AT1915" s="322"/>
      <c r="AU1915" s="476"/>
      <c r="AV1915" s="477"/>
      <c r="AW1915" s="482">
        <f t="shared" si="1347"/>
        <v>5731.96</v>
      </c>
      <c r="AX1915" s="1382" t="s">
        <v>537</v>
      </c>
      <c r="AY1915" s="1147">
        <v>2.6</v>
      </c>
      <c r="AZ1915" s="1151">
        <v>3.4708316646642641</v>
      </c>
      <c r="BA1915" s="568">
        <f t="shared" si="1348"/>
        <v>7.695095633421456E-2</v>
      </c>
      <c r="BB1915" s="568">
        <f t="shared" si="1348"/>
        <v>7.695095633421456E-2</v>
      </c>
      <c r="BC1915" s="568">
        <f t="shared" si="1348"/>
        <v>7.695095633421456E-2</v>
      </c>
      <c r="BD1915" s="568">
        <f t="shared" si="1348"/>
        <v>7.695095633421456E-2</v>
      </c>
      <c r="BE1915" s="568">
        <f t="shared" si="1348"/>
        <v>7.695095633421456E-2</v>
      </c>
      <c r="BF1915" s="568">
        <f t="shared" si="1348"/>
        <v>7.695095633421456E-2</v>
      </c>
      <c r="BG1915" s="568">
        <f t="shared" si="1348"/>
        <v>7.695095633421456E-2</v>
      </c>
      <c r="BH1915" s="568">
        <f t="shared" si="1348"/>
        <v>7.695095633421456E-2</v>
      </c>
      <c r="BI1915" s="544"/>
      <c r="BJ1915" s="1383"/>
      <c r="BK1915" s="490" t="e">
        <f>AZ1915*#REF!</f>
        <v>#REF!</v>
      </c>
      <c r="BL1915" s="506" t="e">
        <f t="shared" si="1349"/>
        <v>#REF!</v>
      </c>
      <c r="BM1915" s="506" t="e">
        <f t="shared" si="1349"/>
        <v>#REF!</v>
      </c>
      <c r="BN1915" s="506" t="e">
        <f t="shared" si="1349"/>
        <v>#REF!</v>
      </c>
      <c r="BO1915" s="506" t="e">
        <f t="shared" si="1349"/>
        <v>#REF!</v>
      </c>
      <c r="BP1915" s="506" t="e">
        <f t="shared" si="1349"/>
        <v>#REF!</v>
      </c>
      <c r="BQ1915" s="506" t="e">
        <f t="shared" si="1349"/>
        <v>#REF!</v>
      </c>
      <c r="BR1915" s="506" t="e">
        <f t="shared" si="1349"/>
        <v>#REF!</v>
      </c>
      <c r="BS1915" s="506" t="e">
        <f t="shared" si="1349"/>
        <v>#REF!</v>
      </c>
      <c r="BT1915" s="505"/>
    </row>
    <row r="1916" spans="4:72" ht="20">
      <c r="D1916" s="425" t="s">
        <v>18</v>
      </c>
      <c r="E1916" s="425"/>
      <c r="G1916" s="421">
        <v>339</v>
      </c>
      <c r="H1916" s="421">
        <v>304</v>
      </c>
      <c r="I1916" s="421">
        <v>316</v>
      </c>
      <c r="J1916" s="421">
        <v>354</v>
      </c>
      <c r="K1916" s="421">
        <v>212</v>
      </c>
      <c r="L1916" s="421"/>
      <c r="M1916" s="421"/>
      <c r="N1916" s="421"/>
      <c r="O1916" s="421"/>
      <c r="P1916" s="422">
        <v>219</v>
      </c>
      <c r="Q1916" s="422"/>
      <c r="R1916" s="422"/>
      <c r="S1916" s="422"/>
      <c r="T1916" s="422"/>
      <c r="U1916" s="322"/>
      <c r="V1916" s="322"/>
      <c r="W1916" s="322"/>
      <c r="X1916" s="322"/>
      <c r="Y1916" s="322"/>
      <c r="Z1916" s="322"/>
      <c r="AA1916" s="322"/>
      <c r="AB1916" s="322"/>
      <c r="AC1916" s="322"/>
      <c r="AD1916" s="322"/>
      <c r="AE1916" s="322"/>
      <c r="AF1916" s="322"/>
      <c r="AG1916" s="322"/>
      <c r="AH1916" s="322"/>
      <c r="AI1916" s="322"/>
      <c r="AJ1916" s="322"/>
      <c r="AK1916" s="322"/>
      <c r="AL1916" s="322"/>
      <c r="AM1916" s="322"/>
      <c r="AN1916" s="322"/>
      <c r="AO1916" s="322"/>
      <c r="AP1916" s="322"/>
      <c r="AQ1916" s="322"/>
      <c r="AR1916" s="322"/>
      <c r="AS1916" s="322"/>
      <c r="AT1916" s="322"/>
      <c r="AU1916" s="476"/>
      <c r="AV1916" s="477"/>
      <c r="AW1916" s="482">
        <f t="shared" si="1347"/>
        <v>5842.19</v>
      </c>
      <c r="AX1916" s="1382"/>
      <c r="AY1916" s="1147">
        <v>2.65</v>
      </c>
      <c r="AZ1916" s="1151">
        <v>3.5375784274462689</v>
      </c>
      <c r="BA1916" s="568">
        <f t="shared" si="1348"/>
        <v>7.695095633421456E-2</v>
      </c>
      <c r="BB1916" s="568">
        <f t="shared" si="1348"/>
        <v>7.695095633421456E-2</v>
      </c>
      <c r="BC1916" s="568">
        <f t="shared" si="1348"/>
        <v>7.695095633421456E-2</v>
      </c>
      <c r="BD1916" s="568">
        <f t="shared" si="1348"/>
        <v>7.695095633421456E-2</v>
      </c>
      <c r="BE1916" s="568">
        <f t="shared" si="1348"/>
        <v>7.695095633421456E-2</v>
      </c>
      <c r="BF1916" s="568">
        <f t="shared" si="1348"/>
        <v>7.695095633421456E-2</v>
      </c>
      <c r="BG1916" s="568">
        <f t="shared" si="1348"/>
        <v>7.695095633421456E-2</v>
      </c>
      <c r="BH1916" s="568">
        <f t="shared" si="1348"/>
        <v>7.695095633421456E-2</v>
      </c>
      <c r="BI1916" s="544"/>
      <c r="BJ1916" s="1383"/>
      <c r="BK1916" s="490" t="e">
        <f>AZ1916*#REF!</f>
        <v>#REF!</v>
      </c>
      <c r="BL1916" s="506" t="e">
        <f t="shared" si="1349"/>
        <v>#REF!</v>
      </c>
      <c r="BM1916" s="506" t="e">
        <f t="shared" si="1349"/>
        <v>#REF!</v>
      </c>
      <c r="BN1916" s="506" t="e">
        <f t="shared" si="1349"/>
        <v>#REF!</v>
      </c>
      <c r="BO1916" s="506" t="e">
        <f t="shared" si="1349"/>
        <v>#REF!</v>
      </c>
      <c r="BP1916" s="506" t="e">
        <f t="shared" si="1349"/>
        <v>#REF!</v>
      </c>
      <c r="BQ1916" s="506" t="e">
        <f t="shared" si="1349"/>
        <v>#REF!</v>
      </c>
      <c r="BR1916" s="506" t="e">
        <f t="shared" si="1349"/>
        <v>#REF!</v>
      </c>
      <c r="BS1916" s="506" t="e">
        <f t="shared" si="1349"/>
        <v>#REF!</v>
      </c>
      <c r="BT1916" s="505"/>
    </row>
    <row r="1917" spans="4:72" ht="20">
      <c r="D1917" s="425" t="s">
        <v>17</v>
      </c>
      <c r="E1917" s="425"/>
      <c r="G1917" s="421">
        <v>0</v>
      </c>
      <c r="H1917" s="421">
        <v>0</v>
      </c>
      <c r="I1917" s="421" t="s">
        <v>0</v>
      </c>
      <c r="J1917" s="421" t="s">
        <v>0</v>
      </c>
      <c r="K1917" s="421" t="s">
        <v>0</v>
      </c>
      <c r="L1917" s="421"/>
      <c r="M1917" s="421"/>
      <c r="N1917" s="421"/>
      <c r="O1917" s="421"/>
      <c r="P1917" s="422" t="s">
        <v>0</v>
      </c>
      <c r="Q1917" s="422"/>
      <c r="R1917" s="422"/>
      <c r="S1917" s="422"/>
      <c r="T1917" s="422"/>
      <c r="U1917" s="322"/>
      <c r="V1917" s="322"/>
      <c r="W1917" s="322"/>
      <c r="X1917" s="322"/>
      <c r="Y1917" s="322"/>
      <c r="Z1917" s="322"/>
      <c r="AA1917" s="322"/>
      <c r="AB1917" s="322"/>
      <c r="AC1917" s="322"/>
      <c r="AD1917" s="322"/>
      <c r="AE1917" s="322"/>
      <c r="AF1917" s="322"/>
      <c r="AG1917" s="322"/>
      <c r="AH1917" s="322"/>
      <c r="AI1917" s="322"/>
      <c r="AJ1917" s="322"/>
      <c r="AK1917" s="322"/>
      <c r="AL1917" s="322"/>
      <c r="AM1917" s="322"/>
      <c r="AN1917" s="322"/>
      <c r="AO1917" s="322"/>
      <c r="AP1917" s="322"/>
      <c r="AQ1917" s="322"/>
      <c r="AR1917" s="322"/>
      <c r="AS1917" s="322"/>
      <c r="AT1917" s="322"/>
      <c r="AU1917" s="476"/>
      <c r="AV1917" s="477"/>
      <c r="AW1917" s="482">
        <f>AY1917*2204.6</f>
        <v>5952.42</v>
      </c>
      <c r="AX1917" s="1382"/>
      <c r="AY1917" s="1147">
        <v>2.7</v>
      </c>
      <c r="AZ1917" s="1151">
        <v>3.6043251902282742</v>
      </c>
      <c r="BA1917" s="568">
        <f t="shared" si="1348"/>
        <v>7.695095633421456E-2</v>
      </c>
      <c r="BB1917" s="568">
        <f t="shared" si="1348"/>
        <v>7.695095633421456E-2</v>
      </c>
      <c r="BC1917" s="568">
        <f t="shared" si="1348"/>
        <v>7.695095633421456E-2</v>
      </c>
      <c r="BD1917" s="568">
        <f t="shared" si="1348"/>
        <v>7.695095633421456E-2</v>
      </c>
      <c r="BE1917" s="568">
        <f t="shared" si="1348"/>
        <v>7.695095633421456E-2</v>
      </c>
      <c r="BF1917" s="568">
        <f t="shared" si="1348"/>
        <v>7.695095633421456E-2</v>
      </c>
      <c r="BG1917" s="568">
        <f t="shared" si="1348"/>
        <v>7.695095633421456E-2</v>
      </c>
      <c r="BH1917" s="568">
        <f t="shared" si="1348"/>
        <v>7.695095633421456E-2</v>
      </c>
      <c r="BI1917" s="544"/>
      <c r="BJ1917" s="1383"/>
      <c r="BK1917" s="490" t="e">
        <f>AZ1917*#REF!</f>
        <v>#REF!</v>
      </c>
      <c r="BL1917" s="506" t="e">
        <f t="shared" si="1349"/>
        <v>#REF!</v>
      </c>
      <c r="BM1917" s="506" t="e">
        <f t="shared" si="1349"/>
        <v>#REF!</v>
      </c>
      <c r="BN1917" s="506" t="e">
        <f t="shared" si="1349"/>
        <v>#REF!</v>
      </c>
      <c r="BO1917" s="506" t="e">
        <f t="shared" si="1349"/>
        <v>#REF!</v>
      </c>
      <c r="BP1917" s="506" t="e">
        <f t="shared" si="1349"/>
        <v>#REF!</v>
      </c>
      <c r="BQ1917" s="506" t="e">
        <f t="shared" si="1349"/>
        <v>#REF!</v>
      </c>
      <c r="BR1917" s="506" t="e">
        <f t="shared" si="1349"/>
        <v>#REF!</v>
      </c>
      <c r="BS1917" s="506" t="e">
        <f t="shared" si="1349"/>
        <v>#REF!</v>
      </c>
      <c r="BT1917" s="505"/>
    </row>
    <row r="1918" spans="4:72" ht="20">
      <c r="D1918" s="425" t="s">
        <v>76</v>
      </c>
      <c r="E1918" s="425"/>
      <c r="G1918" s="421" t="s">
        <v>0</v>
      </c>
      <c r="H1918" s="421">
        <v>-406</v>
      </c>
      <c r="I1918" s="421">
        <v>-255</v>
      </c>
      <c r="J1918" s="421">
        <v>-272</v>
      </c>
      <c r="K1918" s="421">
        <v>-879</v>
      </c>
      <c r="L1918" s="421"/>
      <c r="M1918" s="421"/>
      <c r="N1918" s="421"/>
      <c r="O1918" s="421"/>
      <c r="P1918" s="422">
        <v>-780</v>
      </c>
      <c r="Q1918" s="422"/>
      <c r="R1918" s="422"/>
      <c r="S1918" s="422"/>
      <c r="T1918" s="422"/>
      <c r="U1918" s="322"/>
      <c r="V1918" s="322"/>
      <c r="W1918" s="322"/>
      <c r="X1918" s="322"/>
      <c r="Y1918" s="322"/>
      <c r="Z1918" s="322"/>
      <c r="AA1918" s="322"/>
      <c r="AB1918" s="322"/>
      <c r="AC1918" s="322"/>
      <c r="AD1918" s="322"/>
      <c r="AE1918" s="322"/>
      <c r="AF1918" s="322"/>
      <c r="AG1918" s="322"/>
      <c r="AH1918" s="322"/>
      <c r="AI1918" s="322"/>
      <c r="AJ1918" s="322"/>
      <c r="AK1918" s="322"/>
      <c r="AL1918" s="322"/>
      <c r="AM1918" s="322"/>
      <c r="AN1918" s="322"/>
      <c r="AO1918" s="322"/>
      <c r="AP1918" s="322"/>
      <c r="AQ1918" s="322"/>
      <c r="AR1918" s="322"/>
      <c r="AS1918" s="322"/>
      <c r="AT1918" s="322"/>
      <c r="AU1918" s="476"/>
      <c r="AV1918" s="477"/>
      <c r="AW1918" s="482">
        <f t="shared" ref="AW1918:AW1924" si="1350">AY1918*2204.6</f>
        <v>6062.65</v>
      </c>
      <c r="AX1918" s="1382"/>
      <c r="AY1918" s="1147">
        <v>2.75</v>
      </c>
      <c r="AZ1918" s="1151">
        <v>3.6710719530102791</v>
      </c>
      <c r="BA1918" s="568">
        <f t="shared" si="1348"/>
        <v>7.695095633421456E-2</v>
      </c>
      <c r="BB1918" s="568">
        <f t="shared" si="1348"/>
        <v>7.695095633421456E-2</v>
      </c>
      <c r="BC1918" s="568">
        <f t="shared" si="1348"/>
        <v>7.695095633421456E-2</v>
      </c>
      <c r="BD1918" s="568">
        <f t="shared" si="1348"/>
        <v>7.695095633421456E-2</v>
      </c>
      <c r="BE1918" s="568">
        <f t="shared" si="1348"/>
        <v>7.695095633421456E-2</v>
      </c>
      <c r="BF1918" s="568">
        <f t="shared" si="1348"/>
        <v>7.695095633421456E-2</v>
      </c>
      <c r="BG1918" s="568">
        <f t="shared" si="1348"/>
        <v>7.695095633421456E-2</v>
      </c>
      <c r="BH1918" s="568">
        <f t="shared" si="1348"/>
        <v>7.695095633421456E-2</v>
      </c>
      <c r="BI1918" s="544"/>
      <c r="BJ1918" s="1383"/>
      <c r="BK1918" s="490" t="e">
        <f>AZ1918*#REF!</f>
        <v>#REF!</v>
      </c>
      <c r="BL1918" s="506" t="e">
        <f t="shared" si="1349"/>
        <v>#REF!</v>
      </c>
      <c r="BM1918" s="506" t="e">
        <f t="shared" si="1349"/>
        <v>#REF!</v>
      </c>
      <c r="BN1918" s="506" t="e">
        <f t="shared" si="1349"/>
        <v>#REF!</v>
      </c>
      <c r="BO1918" s="506" t="e">
        <f t="shared" si="1349"/>
        <v>#REF!</v>
      </c>
      <c r="BP1918" s="506" t="e">
        <f t="shared" si="1349"/>
        <v>#REF!</v>
      </c>
      <c r="BQ1918" s="506" t="e">
        <f t="shared" si="1349"/>
        <v>#REF!</v>
      </c>
      <c r="BR1918" s="506" t="e">
        <f t="shared" si="1349"/>
        <v>#REF!</v>
      </c>
      <c r="BS1918" s="506" t="e">
        <f t="shared" si="1349"/>
        <v>#REF!</v>
      </c>
      <c r="BT1918" s="505"/>
    </row>
    <row r="1919" spans="4:72" ht="20">
      <c r="D1919" s="425" t="s">
        <v>77</v>
      </c>
      <c r="E1919" s="425"/>
      <c r="G1919" s="421">
        <v>-16</v>
      </c>
      <c r="H1919" s="421">
        <v>6</v>
      </c>
      <c r="I1919" s="421">
        <v>54</v>
      </c>
      <c r="J1919" s="421">
        <v>331</v>
      </c>
      <c r="K1919" s="421">
        <v>195</v>
      </c>
      <c r="L1919" s="421"/>
      <c r="M1919" s="421"/>
      <c r="N1919" s="421"/>
      <c r="O1919" s="421"/>
      <c r="P1919" s="422">
        <v>-166</v>
      </c>
      <c r="Q1919" s="422"/>
      <c r="R1919" s="422"/>
      <c r="S1919" s="422"/>
      <c r="T1919" s="422"/>
      <c r="U1919" s="322"/>
      <c r="V1919" s="322"/>
      <c r="W1919" s="322"/>
      <c r="X1919" s="322"/>
      <c r="Y1919" s="322"/>
      <c r="Z1919" s="322"/>
      <c r="AA1919" s="322"/>
      <c r="AB1919" s="322"/>
      <c r="AC1919" s="322"/>
      <c r="AD1919" s="322"/>
      <c r="AE1919" s="322"/>
      <c r="AF1919" s="322"/>
      <c r="AG1919" s="322"/>
      <c r="AH1919" s="322"/>
      <c r="AI1919" s="322"/>
      <c r="AJ1919" s="322"/>
      <c r="AK1919" s="322"/>
      <c r="AL1919" s="322"/>
      <c r="AM1919" s="322"/>
      <c r="AN1919" s="322"/>
      <c r="AO1919" s="322"/>
      <c r="AP1919" s="322"/>
      <c r="AQ1919" s="322"/>
      <c r="AR1919" s="322"/>
      <c r="AS1919" s="322"/>
      <c r="AT1919" s="322"/>
      <c r="AU1919" s="476"/>
      <c r="AV1919" s="477"/>
      <c r="AW1919" s="482">
        <f t="shared" si="1350"/>
        <v>6172.8799999999992</v>
      </c>
      <c r="AX1919" s="1382"/>
      <c r="AY1919" s="1147">
        <v>2.8</v>
      </c>
      <c r="AZ1919" s="1151">
        <v>3.737818715792284</v>
      </c>
      <c r="BA1919" s="568">
        <f t="shared" si="1348"/>
        <v>7.695095633421456E-2</v>
      </c>
      <c r="BB1919" s="568">
        <f t="shared" si="1348"/>
        <v>7.695095633421456E-2</v>
      </c>
      <c r="BC1919" s="568">
        <f t="shared" si="1348"/>
        <v>7.695095633421456E-2</v>
      </c>
      <c r="BD1919" s="568">
        <f t="shared" si="1348"/>
        <v>7.695095633421456E-2</v>
      </c>
      <c r="BE1919" s="568">
        <f t="shared" si="1348"/>
        <v>7.695095633421456E-2</v>
      </c>
      <c r="BF1919" s="568">
        <f t="shared" si="1348"/>
        <v>7.695095633421456E-2</v>
      </c>
      <c r="BG1919" s="568">
        <f t="shared" si="1348"/>
        <v>7.695095633421456E-2</v>
      </c>
      <c r="BH1919" s="568">
        <f t="shared" si="1348"/>
        <v>7.695095633421456E-2</v>
      </c>
      <c r="BI1919" s="544"/>
      <c r="BJ1919" s="1383"/>
      <c r="BK1919" s="490" t="e">
        <f>AZ1919*#REF!</f>
        <v>#REF!</v>
      </c>
      <c r="BL1919" s="506" t="e">
        <f t="shared" si="1349"/>
        <v>#REF!</v>
      </c>
      <c r="BM1919" s="506" t="e">
        <f t="shared" si="1349"/>
        <v>#REF!</v>
      </c>
      <c r="BN1919" s="506" t="e">
        <f t="shared" si="1349"/>
        <v>#REF!</v>
      </c>
      <c r="BO1919" s="506" t="e">
        <f t="shared" si="1349"/>
        <v>#REF!</v>
      </c>
      <c r="BP1919" s="506" t="e">
        <f t="shared" si="1349"/>
        <v>#REF!</v>
      </c>
      <c r="BQ1919" s="506" t="e">
        <f t="shared" si="1349"/>
        <v>#REF!</v>
      </c>
      <c r="BR1919" s="506" t="e">
        <f t="shared" si="1349"/>
        <v>#REF!</v>
      </c>
      <c r="BS1919" s="506" t="e">
        <f t="shared" si="1349"/>
        <v>#REF!</v>
      </c>
      <c r="BT1919" s="505"/>
    </row>
    <row r="1920" spans="4:72" ht="20">
      <c r="D1920" s="423" t="s">
        <v>78</v>
      </c>
      <c r="E1920" s="423"/>
      <c r="G1920" s="426">
        <v>2643</v>
      </c>
      <c r="H1920" s="426">
        <v>1995</v>
      </c>
      <c r="I1920" s="426">
        <v>1748</v>
      </c>
      <c r="J1920" s="426">
        <v>3416</v>
      </c>
      <c r="K1920" s="426">
        <v>4880</v>
      </c>
      <c r="L1920" s="426"/>
      <c r="M1920" s="426"/>
      <c r="N1920" s="426"/>
      <c r="O1920" s="426"/>
      <c r="P1920" s="427">
        <v>4467</v>
      </c>
      <c r="Q1920" s="427"/>
      <c r="R1920" s="427"/>
      <c r="S1920" s="427"/>
      <c r="T1920" s="427"/>
      <c r="U1920" s="322"/>
      <c r="V1920" s="322"/>
      <c r="W1920" s="322"/>
      <c r="X1920" s="322"/>
      <c r="Y1920" s="322"/>
      <c r="Z1920" s="322"/>
      <c r="AA1920" s="322"/>
      <c r="AB1920" s="322"/>
      <c r="AC1920" s="322"/>
      <c r="AD1920" s="322"/>
      <c r="AE1920" s="322"/>
      <c r="AF1920" s="322"/>
      <c r="AG1920" s="322"/>
      <c r="AH1920" s="322"/>
      <c r="AI1920" s="322"/>
      <c r="AJ1920" s="322"/>
      <c r="AK1920" s="322"/>
      <c r="AL1920" s="322"/>
      <c r="AM1920" s="322"/>
      <c r="AN1920" s="322"/>
      <c r="AO1920" s="322"/>
      <c r="AP1920" s="322"/>
      <c r="AQ1920" s="322"/>
      <c r="AR1920" s="322"/>
      <c r="AS1920" s="322"/>
      <c r="AT1920" s="322"/>
      <c r="AU1920" s="476"/>
      <c r="AV1920" s="477"/>
      <c r="AW1920" s="482">
        <f t="shared" si="1350"/>
        <v>6283.11</v>
      </c>
      <c r="AX1920" s="1382"/>
      <c r="AY1920" s="1147">
        <v>2.85</v>
      </c>
      <c r="AZ1920" s="1151">
        <v>3.8045654785742893</v>
      </c>
      <c r="BA1920" s="568">
        <f t="shared" si="1348"/>
        <v>7.695095633421456E-2</v>
      </c>
      <c r="BB1920" s="568">
        <f t="shared" si="1348"/>
        <v>7.695095633421456E-2</v>
      </c>
      <c r="BC1920" s="568">
        <f t="shared" si="1348"/>
        <v>7.695095633421456E-2</v>
      </c>
      <c r="BD1920" s="568">
        <f t="shared" si="1348"/>
        <v>7.695095633421456E-2</v>
      </c>
      <c r="BE1920" s="568">
        <f t="shared" si="1348"/>
        <v>7.695095633421456E-2</v>
      </c>
      <c r="BF1920" s="568">
        <f t="shared" si="1348"/>
        <v>7.695095633421456E-2</v>
      </c>
      <c r="BG1920" s="568">
        <f t="shared" si="1348"/>
        <v>7.695095633421456E-2</v>
      </c>
      <c r="BH1920" s="568">
        <f t="shared" si="1348"/>
        <v>7.695095633421456E-2</v>
      </c>
      <c r="BI1920" s="544"/>
      <c r="BJ1920" s="1383"/>
      <c r="BK1920" s="490" t="e">
        <f>AZ1920*#REF!</f>
        <v>#REF!</v>
      </c>
      <c r="BL1920" s="506" t="e">
        <f t="shared" si="1349"/>
        <v>#REF!</v>
      </c>
      <c r="BM1920" s="506" t="e">
        <f t="shared" si="1349"/>
        <v>#REF!</v>
      </c>
      <c r="BN1920" s="506" t="e">
        <f t="shared" si="1349"/>
        <v>#REF!</v>
      </c>
      <c r="BO1920" s="506" t="e">
        <f t="shared" si="1349"/>
        <v>#REF!</v>
      </c>
      <c r="BP1920" s="506" t="e">
        <f t="shared" si="1349"/>
        <v>#REF!</v>
      </c>
      <c r="BQ1920" s="506" t="e">
        <f t="shared" si="1349"/>
        <v>#REF!</v>
      </c>
      <c r="BR1920" s="506" t="e">
        <f t="shared" si="1349"/>
        <v>#REF!</v>
      </c>
      <c r="BS1920" s="506" t="e">
        <f t="shared" si="1349"/>
        <v>#REF!</v>
      </c>
      <c r="BT1920" s="505"/>
    </row>
    <row r="1921" spans="4:72" ht="20">
      <c r="D1921" s="425" t="s">
        <v>79</v>
      </c>
      <c r="E1921" s="425"/>
      <c r="G1921" s="421">
        <v>235</v>
      </c>
      <c r="H1921" s="421">
        <v>283</v>
      </c>
      <c r="I1921" s="421">
        <v>214</v>
      </c>
      <c r="J1921" s="421">
        <v>-360</v>
      </c>
      <c r="K1921" s="421">
        <v>169</v>
      </c>
      <c r="L1921" s="421"/>
      <c r="M1921" s="421"/>
      <c r="N1921" s="421"/>
      <c r="O1921" s="421"/>
      <c r="P1921" s="422">
        <v>-29</v>
      </c>
      <c r="Q1921" s="422"/>
      <c r="R1921" s="422"/>
      <c r="S1921" s="422"/>
      <c r="T1921" s="422"/>
      <c r="U1921" s="322"/>
      <c r="V1921" s="322"/>
      <c r="W1921" s="322"/>
      <c r="X1921" s="322"/>
      <c r="Y1921" s="322"/>
      <c r="Z1921" s="322"/>
      <c r="AA1921" s="322"/>
      <c r="AB1921" s="322"/>
      <c r="AC1921" s="322"/>
      <c r="AD1921" s="322"/>
      <c r="AE1921" s="322"/>
      <c r="AF1921" s="322"/>
      <c r="AG1921" s="322"/>
      <c r="AH1921" s="322"/>
      <c r="AI1921" s="322"/>
      <c r="AJ1921" s="322"/>
      <c r="AK1921" s="322"/>
      <c r="AL1921" s="322"/>
      <c r="AM1921" s="322"/>
      <c r="AN1921" s="322"/>
      <c r="AO1921" s="322"/>
      <c r="AP1921" s="322"/>
      <c r="AQ1921" s="322"/>
      <c r="AR1921" s="322"/>
      <c r="AS1921" s="322"/>
      <c r="AT1921" s="322"/>
      <c r="AU1921" s="476"/>
      <c r="AV1921" s="477"/>
      <c r="AW1921" s="482">
        <f t="shared" si="1350"/>
        <v>6393.3399999999992</v>
      </c>
      <c r="AX1921" s="1382"/>
      <c r="AY1921" s="1147">
        <v>2.9</v>
      </c>
      <c r="AZ1921" s="1151">
        <v>3.8713122413562941</v>
      </c>
      <c r="BA1921" s="568">
        <f t="shared" si="1348"/>
        <v>7.695095633421456E-2</v>
      </c>
      <c r="BB1921" s="568">
        <f t="shared" si="1348"/>
        <v>7.695095633421456E-2</v>
      </c>
      <c r="BC1921" s="568">
        <f t="shared" si="1348"/>
        <v>7.695095633421456E-2</v>
      </c>
      <c r="BD1921" s="568">
        <f t="shared" si="1348"/>
        <v>7.695095633421456E-2</v>
      </c>
      <c r="BE1921" s="568">
        <f t="shared" si="1348"/>
        <v>7.695095633421456E-2</v>
      </c>
      <c r="BF1921" s="568">
        <f t="shared" si="1348"/>
        <v>7.695095633421456E-2</v>
      </c>
      <c r="BG1921" s="568">
        <f t="shared" si="1348"/>
        <v>7.695095633421456E-2</v>
      </c>
      <c r="BH1921" s="568">
        <f t="shared" si="1348"/>
        <v>7.695095633421456E-2</v>
      </c>
      <c r="BI1921" s="544"/>
      <c r="BJ1921" s="1383"/>
      <c r="BK1921" s="490" t="e">
        <f>AZ1921*#REF!</f>
        <v>#REF!</v>
      </c>
      <c r="BL1921" s="506" t="e">
        <f t="shared" si="1349"/>
        <v>#REF!</v>
      </c>
      <c r="BM1921" s="506" t="e">
        <f t="shared" si="1349"/>
        <v>#REF!</v>
      </c>
      <c r="BN1921" s="506" t="e">
        <f t="shared" si="1349"/>
        <v>#REF!</v>
      </c>
      <c r="BO1921" s="506" t="e">
        <f t="shared" si="1349"/>
        <v>#REF!</v>
      </c>
      <c r="BP1921" s="506" t="e">
        <f t="shared" si="1349"/>
        <v>#REF!</v>
      </c>
      <c r="BQ1921" s="506" t="e">
        <f t="shared" si="1349"/>
        <v>#REF!</v>
      </c>
      <c r="BR1921" s="506" t="e">
        <f t="shared" si="1349"/>
        <v>#REF!</v>
      </c>
      <c r="BS1921" s="506" t="e">
        <f t="shared" si="1349"/>
        <v>#REF!</v>
      </c>
      <c r="BT1921" s="505"/>
    </row>
    <row r="1922" spans="4:72" ht="20">
      <c r="D1922" s="423" t="s">
        <v>80</v>
      </c>
      <c r="E1922" s="423"/>
      <c r="G1922" s="426">
        <v>2878</v>
      </c>
      <c r="H1922" s="426">
        <v>2278</v>
      </c>
      <c r="I1922" s="426">
        <v>1962</v>
      </c>
      <c r="J1922" s="426">
        <v>3056</v>
      </c>
      <c r="K1922" s="426">
        <v>5049</v>
      </c>
      <c r="L1922" s="426"/>
      <c r="M1922" s="426"/>
      <c r="N1922" s="426"/>
      <c r="O1922" s="426"/>
      <c r="P1922" s="427">
        <v>4438</v>
      </c>
      <c r="Q1922" s="427"/>
      <c r="R1922" s="427"/>
      <c r="S1922" s="427"/>
      <c r="T1922" s="427"/>
      <c r="U1922" s="322"/>
      <c r="V1922" s="322"/>
      <c r="W1922" s="322"/>
      <c r="X1922" s="322"/>
      <c r="Y1922" s="322"/>
      <c r="Z1922" s="322"/>
      <c r="AA1922" s="322"/>
      <c r="AB1922" s="322"/>
      <c r="AC1922" s="322"/>
      <c r="AD1922" s="322"/>
      <c r="AE1922" s="322"/>
      <c r="AF1922" s="322"/>
      <c r="AG1922" s="322"/>
      <c r="AH1922" s="322"/>
      <c r="AI1922" s="322"/>
      <c r="AJ1922" s="322"/>
      <c r="AK1922" s="322"/>
      <c r="AL1922" s="322"/>
      <c r="AM1922" s="322"/>
      <c r="AN1922" s="322"/>
      <c r="AO1922" s="322"/>
      <c r="AP1922" s="322"/>
      <c r="AQ1922" s="322"/>
      <c r="AR1922" s="322"/>
      <c r="AS1922" s="322"/>
      <c r="AT1922" s="322"/>
      <c r="AU1922" s="476"/>
      <c r="AV1922" s="477"/>
      <c r="AW1922" s="482">
        <f t="shared" si="1350"/>
        <v>6503.57</v>
      </c>
      <c r="AX1922" s="1382"/>
      <c r="AY1922" s="1147">
        <v>2.95</v>
      </c>
      <c r="AZ1922" s="1151">
        <v>3.9380590041382995</v>
      </c>
      <c r="BA1922" s="568">
        <f t="shared" si="1348"/>
        <v>7.695095633421456E-2</v>
      </c>
      <c r="BB1922" s="568">
        <f t="shared" si="1348"/>
        <v>7.695095633421456E-2</v>
      </c>
      <c r="BC1922" s="568">
        <f t="shared" si="1348"/>
        <v>7.695095633421456E-2</v>
      </c>
      <c r="BD1922" s="568">
        <f t="shared" si="1348"/>
        <v>7.695095633421456E-2</v>
      </c>
      <c r="BE1922" s="568">
        <f t="shared" si="1348"/>
        <v>7.695095633421456E-2</v>
      </c>
      <c r="BF1922" s="568">
        <f t="shared" si="1348"/>
        <v>7.695095633421456E-2</v>
      </c>
      <c r="BG1922" s="568">
        <f t="shared" si="1348"/>
        <v>7.695095633421456E-2</v>
      </c>
      <c r="BH1922" s="568">
        <f t="shared" si="1348"/>
        <v>7.695095633421456E-2</v>
      </c>
      <c r="BI1922" s="544"/>
      <c r="BJ1922" s="505"/>
      <c r="BK1922" s="490" t="e">
        <f>AZ1922*#REF!</f>
        <v>#REF!</v>
      </c>
      <c r="BL1922" s="506" t="e">
        <f t="shared" si="1349"/>
        <v>#REF!</v>
      </c>
      <c r="BM1922" s="506" t="e">
        <f t="shared" si="1349"/>
        <v>#REF!</v>
      </c>
      <c r="BN1922" s="506" t="e">
        <f t="shared" si="1349"/>
        <v>#REF!</v>
      </c>
      <c r="BO1922" s="506" t="e">
        <f t="shared" si="1349"/>
        <v>#REF!</v>
      </c>
      <c r="BP1922" s="506" t="e">
        <f t="shared" si="1349"/>
        <v>#REF!</v>
      </c>
      <c r="BQ1922" s="506" t="e">
        <f t="shared" si="1349"/>
        <v>#REF!</v>
      </c>
      <c r="BR1922" s="506" t="e">
        <f t="shared" si="1349"/>
        <v>#REF!</v>
      </c>
      <c r="BS1922" s="506" t="e">
        <f t="shared" si="1349"/>
        <v>#REF!</v>
      </c>
      <c r="BT1922" s="505"/>
    </row>
    <row r="1923" spans="4:72" ht="20">
      <c r="D1923" s="423" t="s">
        <v>81</v>
      </c>
      <c r="E1923" s="423"/>
      <c r="G1923" s="424" t="s">
        <v>0</v>
      </c>
      <c r="H1923" s="424" t="s">
        <v>0</v>
      </c>
      <c r="I1923" s="424" t="s">
        <v>0</v>
      </c>
      <c r="J1923" s="424" t="s">
        <v>0</v>
      </c>
      <c r="K1923" s="424" t="s">
        <v>0</v>
      </c>
      <c r="L1923" s="424"/>
      <c r="M1923" s="424"/>
      <c r="N1923" s="424"/>
      <c r="O1923" s="424"/>
      <c r="P1923" s="419" t="s">
        <v>0</v>
      </c>
      <c r="Q1923" s="419"/>
      <c r="R1923" s="419"/>
      <c r="S1923" s="419"/>
      <c r="T1923" s="419"/>
      <c r="U1923" s="322"/>
      <c r="V1923" s="322"/>
      <c r="W1923" s="322"/>
      <c r="X1923" s="322"/>
      <c r="Y1923" s="322"/>
      <c r="Z1923" s="322"/>
      <c r="AA1923" s="322"/>
      <c r="AB1923" s="322"/>
      <c r="AC1923" s="322"/>
      <c r="AD1923" s="322"/>
      <c r="AE1923" s="322"/>
      <c r="AF1923" s="322"/>
      <c r="AG1923" s="322"/>
      <c r="AH1923" s="322"/>
      <c r="AI1923" s="322"/>
      <c r="AJ1923" s="322"/>
      <c r="AK1923" s="322"/>
      <c r="AL1923" s="322"/>
      <c r="AM1923" s="322"/>
      <c r="AN1923" s="322"/>
      <c r="AO1923" s="322"/>
      <c r="AP1923" s="322"/>
      <c r="AQ1923" s="322"/>
      <c r="AR1923" s="322"/>
      <c r="AS1923" s="322"/>
      <c r="AT1923" s="322"/>
      <c r="AU1923" s="476"/>
      <c r="AV1923" s="477"/>
      <c r="AW1923" s="482">
        <f t="shared" si="1350"/>
        <v>6613.7999999999993</v>
      </c>
      <c r="AX1923" s="527"/>
      <c r="AY1923" s="1147">
        <v>3</v>
      </c>
      <c r="AZ1923" s="1151">
        <v>4.0048057669203043</v>
      </c>
      <c r="BA1923" s="568">
        <f t="shared" si="1348"/>
        <v>7.695095633421456E-2</v>
      </c>
      <c r="BB1923" s="568">
        <f t="shared" si="1348"/>
        <v>7.695095633421456E-2</v>
      </c>
      <c r="BC1923" s="568">
        <f t="shared" si="1348"/>
        <v>7.695095633421456E-2</v>
      </c>
      <c r="BD1923" s="568">
        <f t="shared" si="1348"/>
        <v>7.695095633421456E-2</v>
      </c>
      <c r="BE1923" s="568">
        <f t="shared" si="1348"/>
        <v>7.695095633421456E-2</v>
      </c>
      <c r="BF1923" s="568">
        <f t="shared" si="1348"/>
        <v>7.695095633421456E-2</v>
      </c>
      <c r="BG1923" s="568">
        <f t="shared" si="1348"/>
        <v>7.695095633421456E-2</v>
      </c>
      <c r="BH1923" s="568">
        <f t="shared" si="1348"/>
        <v>7.695095633421456E-2</v>
      </c>
      <c r="BI1923" s="544"/>
      <c r="BJ1923" s="505"/>
      <c r="BK1923" s="490" t="e">
        <f>AZ1923*#REF!</f>
        <v>#REF!</v>
      </c>
      <c r="BL1923" s="506" t="e">
        <f t="shared" si="1349"/>
        <v>#REF!</v>
      </c>
      <c r="BM1923" s="506" t="e">
        <f t="shared" si="1349"/>
        <v>#REF!</v>
      </c>
      <c r="BN1923" s="506" t="e">
        <f t="shared" si="1349"/>
        <v>#REF!</v>
      </c>
      <c r="BO1923" s="506" t="e">
        <f t="shared" si="1349"/>
        <v>#REF!</v>
      </c>
      <c r="BP1923" s="506" t="e">
        <f t="shared" si="1349"/>
        <v>#REF!</v>
      </c>
      <c r="BQ1923" s="506" t="e">
        <f t="shared" si="1349"/>
        <v>#REF!</v>
      </c>
      <c r="BR1923" s="506" t="e">
        <f t="shared" si="1349"/>
        <v>#REF!</v>
      </c>
      <c r="BS1923" s="506" t="e">
        <f t="shared" si="1349"/>
        <v>#REF!</v>
      </c>
      <c r="BT1923" s="505"/>
    </row>
    <row r="1924" spans="4:72" ht="20">
      <c r="D1924" s="425" t="s">
        <v>50</v>
      </c>
      <c r="E1924" s="425"/>
      <c r="G1924" s="421">
        <v>-1858</v>
      </c>
      <c r="H1924" s="421">
        <v>-1498</v>
      </c>
      <c r="I1924" s="421">
        <v>-1581</v>
      </c>
      <c r="J1924" s="421">
        <v>-1416</v>
      </c>
      <c r="K1924" s="421">
        <v>-1621</v>
      </c>
      <c r="L1924" s="421"/>
      <c r="M1924" s="421"/>
      <c r="N1924" s="421"/>
      <c r="O1924" s="421"/>
      <c r="P1924" s="422">
        <v>-1906</v>
      </c>
      <c r="Q1924" s="422"/>
      <c r="R1924" s="422"/>
      <c r="S1924" s="422"/>
      <c r="T1924" s="422"/>
      <c r="U1924" s="322"/>
      <c r="V1924" s="322"/>
      <c r="W1924" s="322"/>
      <c r="X1924" s="322"/>
      <c r="Y1924" s="322"/>
      <c r="Z1924" s="322"/>
      <c r="AA1924" s="322"/>
      <c r="AB1924" s="322"/>
      <c r="AC1924" s="322"/>
      <c r="AD1924" s="322"/>
      <c r="AE1924" s="322"/>
      <c r="AF1924" s="322"/>
      <c r="AG1924" s="322"/>
      <c r="AH1924" s="322"/>
      <c r="AI1924" s="322"/>
      <c r="AJ1924" s="322"/>
      <c r="AK1924" s="322"/>
      <c r="AL1924" s="322"/>
      <c r="AM1924" s="322"/>
      <c r="AN1924" s="322"/>
      <c r="AO1924" s="322"/>
      <c r="AP1924" s="322"/>
      <c r="AQ1924" s="322"/>
      <c r="AR1924" s="322"/>
      <c r="AS1924" s="322"/>
      <c r="AT1924" s="322"/>
      <c r="AU1924" s="476"/>
      <c r="AV1924" s="477"/>
      <c r="AW1924" s="482">
        <f t="shared" si="1350"/>
        <v>6724.03</v>
      </c>
      <c r="AX1924" s="527"/>
      <c r="AY1924" s="1147">
        <v>3.05</v>
      </c>
      <c r="AZ1924" s="1151">
        <v>4.0715525297023092</v>
      </c>
      <c r="BA1924" s="568">
        <f t="shared" si="1348"/>
        <v>7.695095633421456E-2</v>
      </c>
      <c r="BB1924" s="568">
        <f t="shared" si="1348"/>
        <v>7.695095633421456E-2</v>
      </c>
      <c r="BC1924" s="568">
        <f t="shared" si="1348"/>
        <v>7.695095633421456E-2</v>
      </c>
      <c r="BD1924" s="568">
        <f t="shared" si="1348"/>
        <v>7.695095633421456E-2</v>
      </c>
      <c r="BE1924" s="568">
        <f t="shared" si="1348"/>
        <v>7.695095633421456E-2</v>
      </c>
      <c r="BF1924" s="568">
        <f t="shared" si="1348"/>
        <v>7.695095633421456E-2</v>
      </c>
      <c r="BG1924" s="568">
        <f t="shared" si="1348"/>
        <v>7.695095633421456E-2</v>
      </c>
      <c r="BH1924" s="568">
        <f t="shared" si="1348"/>
        <v>7.695095633421456E-2</v>
      </c>
      <c r="BI1924" s="544"/>
      <c r="BJ1924" s="505"/>
      <c r="BK1924" s="490" t="e">
        <f>AZ1924*#REF!</f>
        <v>#REF!</v>
      </c>
      <c r="BL1924" s="506" t="e">
        <f t="shared" si="1349"/>
        <v>#REF!</v>
      </c>
      <c r="BM1924" s="506" t="e">
        <f t="shared" si="1349"/>
        <v>#REF!</v>
      </c>
      <c r="BN1924" s="506" t="e">
        <f t="shared" si="1349"/>
        <v>#REF!</v>
      </c>
      <c r="BO1924" s="506" t="e">
        <f t="shared" si="1349"/>
        <v>#REF!</v>
      </c>
      <c r="BP1924" s="506" t="e">
        <f t="shared" si="1349"/>
        <v>#REF!</v>
      </c>
      <c r="BQ1924" s="506" t="e">
        <f t="shared" si="1349"/>
        <v>#REF!</v>
      </c>
      <c r="BR1924" s="506" t="e">
        <f t="shared" si="1349"/>
        <v>#REF!</v>
      </c>
      <c r="BS1924" s="506" t="e">
        <f t="shared" si="1349"/>
        <v>#REF!</v>
      </c>
      <c r="BT1924" s="505"/>
    </row>
    <row r="1925" spans="4:72" ht="20">
      <c r="D1925" s="425" t="s">
        <v>82</v>
      </c>
      <c r="E1925" s="425"/>
      <c r="G1925" s="421">
        <v>-744</v>
      </c>
      <c r="H1925" s="421">
        <v>-715</v>
      </c>
      <c r="I1925" s="421">
        <v>-663</v>
      </c>
      <c r="J1925" s="421">
        <v>-477</v>
      </c>
      <c r="K1925" s="421">
        <v>-678</v>
      </c>
      <c r="L1925" s="421"/>
      <c r="M1925" s="421"/>
      <c r="N1925" s="421"/>
      <c r="O1925" s="421"/>
      <c r="P1925" s="422">
        <v>-707</v>
      </c>
      <c r="Q1925" s="422"/>
      <c r="R1925" s="422"/>
      <c r="S1925" s="422"/>
      <c r="T1925" s="422"/>
      <c r="U1925" s="322"/>
      <c r="V1925" s="322"/>
      <c r="W1925" s="322"/>
      <c r="X1925" s="322"/>
      <c r="Y1925" s="322"/>
      <c r="Z1925" s="322"/>
      <c r="AA1925" s="322"/>
      <c r="AB1925" s="322"/>
      <c r="AC1925" s="322"/>
      <c r="AD1925" s="322"/>
      <c r="AE1925" s="322"/>
      <c r="AF1925" s="322"/>
      <c r="AG1925" s="322"/>
      <c r="AH1925" s="322"/>
      <c r="AI1925" s="322"/>
      <c r="AJ1925" s="322"/>
      <c r="AK1925" s="322"/>
      <c r="AL1925" s="322"/>
      <c r="AM1925" s="322"/>
      <c r="AN1925" s="322"/>
      <c r="AO1925" s="322"/>
      <c r="AP1925" s="322"/>
      <c r="AQ1925" s="322"/>
      <c r="AR1925" s="322"/>
      <c r="AS1925" s="322"/>
      <c r="AT1925" s="322"/>
      <c r="AU1925" s="476"/>
      <c r="AV1925" s="477"/>
      <c r="AW1925" s="477"/>
      <c r="AX1925" s="527"/>
      <c r="AY1925" s="1379" t="s">
        <v>958</v>
      </c>
      <c r="AZ1925" s="1379"/>
      <c r="BA1925" s="1379"/>
      <c r="BB1925" s="1379"/>
      <c r="BC1925" s="527"/>
      <c r="BD1925" s="527"/>
      <c r="BE1925" s="527"/>
      <c r="BF1925" s="527"/>
      <c r="BG1925" s="527"/>
      <c r="BH1925" s="527"/>
      <c r="BI1925" s="544"/>
      <c r="BJ1925" s="505"/>
      <c r="BK1925" s="505"/>
      <c r="BL1925" s="505"/>
      <c r="BM1925" s="505"/>
      <c r="BN1925" s="505"/>
      <c r="BO1925" s="505"/>
      <c r="BP1925" s="505"/>
      <c r="BQ1925" s="505"/>
      <c r="BR1925" s="505"/>
      <c r="BS1925" s="505"/>
      <c r="BT1925" s="505"/>
    </row>
    <row r="1926" spans="4:72" ht="20">
      <c r="D1926" s="425" t="s">
        <v>83</v>
      </c>
      <c r="E1926" s="425"/>
      <c r="G1926" s="421">
        <v>-325</v>
      </c>
      <c r="H1926" s="421">
        <v>-44</v>
      </c>
      <c r="I1926" s="421">
        <v>-82</v>
      </c>
      <c r="J1926" s="421">
        <v>-114</v>
      </c>
      <c r="K1926" s="421">
        <v>-309</v>
      </c>
      <c r="L1926" s="421"/>
      <c r="M1926" s="421"/>
      <c r="N1926" s="421"/>
      <c r="O1926" s="421"/>
      <c r="P1926" s="422">
        <v>-284</v>
      </c>
      <c r="Q1926" s="422"/>
      <c r="R1926" s="422"/>
      <c r="S1926" s="422"/>
      <c r="T1926" s="422"/>
      <c r="U1926" s="322"/>
      <c r="V1926" s="322"/>
      <c r="W1926" s="322"/>
      <c r="X1926" s="322"/>
      <c r="Y1926" s="322"/>
      <c r="Z1926" s="322"/>
      <c r="AA1926" s="322"/>
      <c r="AB1926" s="322"/>
      <c r="AC1926" s="322"/>
      <c r="AD1926" s="322"/>
      <c r="AE1926" s="322"/>
      <c r="AF1926" s="322"/>
      <c r="AG1926" s="322"/>
      <c r="AH1926" s="322"/>
      <c r="AI1926" s="322"/>
      <c r="AJ1926" s="322"/>
      <c r="AK1926" s="322"/>
      <c r="AL1926" s="322"/>
      <c r="AM1926" s="322"/>
      <c r="AN1926" s="322"/>
      <c r="AO1926" s="322"/>
      <c r="AP1926" s="322"/>
      <c r="AQ1926" s="322"/>
      <c r="AR1926" s="322"/>
      <c r="AS1926" s="322"/>
      <c r="AT1926" s="322"/>
      <c r="AU1926" s="476"/>
      <c r="AV1926" s="477"/>
      <c r="AW1926" s="477"/>
      <c r="AX1926" s="527"/>
      <c r="AY1926" s="527"/>
      <c r="AZ1926" s="527"/>
      <c r="BA1926" s="527"/>
      <c r="BB1926" s="527"/>
      <c r="BC1926" s="527"/>
      <c r="BD1926" s="527"/>
      <c r="BE1926" s="527"/>
      <c r="BF1926" s="527"/>
      <c r="BG1926" s="527"/>
      <c r="BH1926" s="527"/>
      <c r="BI1926" s="544"/>
      <c r="BJ1926" s="505"/>
      <c r="BK1926" s="505"/>
      <c r="BL1926" s="505"/>
      <c r="BM1926" s="505"/>
      <c r="BN1926" s="505"/>
      <c r="BO1926" s="505"/>
      <c r="BP1926" s="505"/>
      <c r="BQ1926" s="505"/>
      <c r="BR1926" s="505"/>
      <c r="BS1926" s="505"/>
      <c r="BT1926" s="505"/>
    </row>
    <row r="1927" spans="4:72">
      <c r="D1927" s="425" t="s">
        <v>84</v>
      </c>
      <c r="E1927" s="425"/>
      <c r="G1927" s="421">
        <v>0</v>
      </c>
      <c r="H1927" s="421">
        <v>0</v>
      </c>
      <c r="I1927" s="421" t="s">
        <v>0</v>
      </c>
      <c r="J1927" s="421" t="s">
        <v>0</v>
      </c>
      <c r="K1927" s="421" t="s">
        <v>0</v>
      </c>
      <c r="L1927" s="421"/>
      <c r="M1927" s="421"/>
      <c r="N1927" s="421"/>
      <c r="O1927" s="421"/>
      <c r="P1927" s="422" t="s">
        <v>0</v>
      </c>
      <c r="Q1927" s="422"/>
      <c r="R1927" s="422"/>
      <c r="S1927" s="422"/>
      <c r="T1927" s="422"/>
      <c r="U1927" s="322"/>
      <c r="V1927" s="322"/>
      <c r="W1927" s="322"/>
      <c r="X1927" s="322"/>
      <c r="Y1927" s="322"/>
      <c r="Z1927" s="322"/>
      <c r="AA1927" s="322"/>
      <c r="AB1927" s="322"/>
      <c r="AC1927" s="322"/>
      <c r="AD1927" s="322"/>
      <c r="AE1927" s="322"/>
      <c r="AF1927" s="322"/>
      <c r="AG1927" s="322"/>
      <c r="AH1927" s="322"/>
      <c r="AI1927" s="322"/>
      <c r="AJ1927" s="322"/>
      <c r="AK1927" s="322"/>
      <c r="AL1927" s="322"/>
      <c r="AM1927" s="322"/>
      <c r="AN1927" s="322"/>
      <c r="AO1927" s="322"/>
      <c r="AP1927" s="322"/>
      <c r="AQ1927" s="322"/>
      <c r="AR1927" s="322"/>
      <c r="AS1927" s="322"/>
      <c r="AT1927" s="322"/>
      <c r="AU1927" s="476"/>
      <c r="AV1927" s="477"/>
      <c r="AW1927" s="477"/>
      <c r="AX1927" s="477"/>
      <c r="AY1927" s="477"/>
      <c r="AZ1927" s="477"/>
      <c r="BA1927" s="477"/>
      <c r="BB1927" s="477"/>
      <c r="BC1927" s="477"/>
      <c r="BD1927" s="477"/>
      <c r="BE1927" s="477"/>
      <c r="BF1927" s="477"/>
      <c r="BG1927" s="477"/>
      <c r="BH1927" s="477"/>
      <c r="BI1927" s="478"/>
    </row>
    <row r="1928" spans="4:72">
      <c r="D1928" s="425" t="s">
        <v>85</v>
      </c>
      <c r="E1928" s="425"/>
      <c r="G1928" s="421">
        <v>502</v>
      </c>
      <c r="H1928" s="421">
        <v>34</v>
      </c>
      <c r="I1928" s="421">
        <v>1222</v>
      </c>
      <c r="J1928" s="421">
        <v>170</v>
      </c>
      <c r="K1928" s="421">
        <v>126</v>
      </c>
      <c r="L1928" s="421"/>
      <c r="M1928" s="421"/>
      <c r="N1928" s="421"/>
      <c r="O1928" s="421"/>
      <c r="P1928" s="422">
        <v>1292</v>
      </c>
      <c r="Q1928" s="422"/>
      <c r="R1928" s="422"/>
      <c r="S1928" s="422"/>
      <c r="T1928" s="422"/>
      <c r="U1928" s="322"/>
      <c r="V1928" s="322"/>
      <c r="W1928" s="322"/>
      <c r="X1928" s="322"/>
      <c r="Y1928" s="322"/>
      <c r="Z1928" s="322"/>
      <c r="AA1928" s="322"/>
      <c r="AB1928" s="322"/>
      <c r="AC1928" s="322"/>
      <c r="AD1928" s="322"/>
      <c r="AE1928" s="322"/>
      <c r="AF1928" s="322"/>
      <c r="AG1928" s="322"/>
      <c r="AH1928" s="322"/>
      <c r="AI1928" s="322"/>
      <c r="AJ1928" s="322"/>
      <c r="AK1928" s="322"/>
      <c r="AL1928" s="322"/>
      <c r="AM1928" s="322"/>
      <c r="AN1928" s="322"/>
      <c r="AO1928" s="322"/>
      <c r="AP1928" s="322"/>
      <c r="AQ1928" s="322"/>
      <c r="AR1928" s="322"/>
      <c r="AS1928" s="322"/>
      <c r="AT1928" s="322"/>
      <c r="AU1928" s="476"/>
      <c r="AV1928" s="477"/>
      <c r="AW1928" s="477"/>
      <c r="AX1928" s="477"/>
      <c r="AY1928" s="477"/>
      <c r="AZ1928" s="477"/>
      <c r="BA1928" s="477"/>
      <c r="BB1928" s="477"/>
      <c r="BC1928" s="477"/>
      <c r="BD1928" s="477"/>
      <c r="BE1928" s="477"/>
      <c r="BF1928" s="477"/>
      <c r="BG1928" s="477"/>
      <c r="BH1928" s="477"/>
      <c r="BI1928" s="478"/>
    </row>
    <row r="1929" spans="4:72" ht="16" thickBot="1">
      <c r="D1929" s="425" t="s">
        <v>86</v>
      </c>
      <c r="E1929" s="425"/>
      <c r="G1929" s="421" t="s">
        <v>0</v>
      </c>
      <c r="H1929" s="421" t="s">
        <v>0</v>
      </c>
      <c r="I1929" s="421" t="s">
        <v>0</v>
      </c>
      <c r="J1929" s="421" t="s">
        <v>0</v>
      </c>
      <c r="K1929" s="421" t="s">
        <v>0</v>
      </c>
      <c r="L1929" s="421"/>
      <c r="M1929" s="421"/>
      <c r="N1929" s="421"/>
      <c r="O1929" s="421"/>
      <c r="P1929" s="422" t="s">
        <v>0</v>
      </c>
      <c r="Q1929" s="422"/>
      <c r="R1929" s="422"/>
      <c r="S1929" s="422"/>
      <c r="T1929" s="422"/>
      <c r="U1929" s="322"/>
      <c r="V1929" s="322"/>
      <c r="W1929" s="322"/>
      <c r="X1929" s="322"/>
      <c r="Y1929" s="322"/>
      <c r="Z1929" s="322"/>
      <c r="AA1929" s="322"/>
      <c r="AB1929" s="322"/>
      <c r="AC1929" s="322"/>
      <c r="AD1929" s="322"/>
      <c r="AE1929" s="322"/>
      <c r="AF1929" s="322"/>
      <c r="AG1929" s="322"/>
      <c r="AH1929" s="322"/>
      <c r="AI1929" s="322"/>
      <c r="AJ1929" s="322"/>
      <c r="AK1929" s="322"/>
      <c r="AL1929" s="322"/>
      <c r="AM1929" s="322"/>
      <c r="AN1929" s="322"/>
      <c r="AO1929" s="322"/>
      <c r="AP1929" s="322"/>
      <c r="AQ1929" s="322"/>
      <c r="AR1929" s="322"/>
      <c r="AS1929" s="322"/>
      <c r="AT1929" s="322"/>
      <c r="AU1929" s="479"/>
      <c r="AV1929" s="480"/>
      <c r="AW1929" s="480"/>
      <c r="AX1929" s="480"/>
      <c r="AY1929" s="480"/>
      <c r="AZ1929" s="480"/>
      <c r="BA1929" s="480"/>
      <c r="BB1929" s="480"/>
      <c r="BC1929" s="480"/>
      <c r="BD1929" s="480"/>
      <c r="BE1929" s="480"/>
      <c r="BF1929" s="480"/>
      <c r="BG1929" s="480"/>
      <c r="BH1929" s="480"/>
      <c r="BI1929" s="481"/>
    </row>
    <row r="1930" spans="4:72">
      <c r="D1930" s="432" t="s">
        <v>87</v>
      </c>
      <c r="E1930" s="432"/>
      <c r="G1930" s="426">
        <v>-2425</v>
      </c>
      <c r="H1930" s="426">
        <v>-2223</v>
      </c>
      <c r="I1930" s="426">
        <v>-1104</v>
      </c>
      <c r="J1930" s="426">
        <v>-1837</v>
      </c>
      <c r="K1930" s="426">
        <v>-2482</v>
      </c>
      <c r="L1930" s="426"/>
      <c r="M1930" s="426"/>
      <c r="N1930" s="426"/>
      <c r="O1930" s="426"/>
      <c r="P1930" s="427">
        <v>-1605</v>
      </c>
      <c r="Q1930" s="427"/>
      <c r="R1930" s="427"/>
      <c r="S1930" s="427"/>
      <c r="T1930" s="427"/>
      <c r="U1930" s="322"/>
      <c r="V1930" s="322"/>
      <c r="W1930" s="322"/>
      <c r="X1930" s="322"/>
      <c r="Y1930" s="322"/>
      <c r="Z1930" s="322"/>
      <c r="AA1930" s="322"/>
      <c r="AB1930" s="322"/>
      <c r="AC1930" s="322"/>
      <c r="AD1930" s="322"/>
      <c r="AE1930" s="322"/>
      <c r="AF1930" s="322"/>
      <c r="AG1930" s="322"/>
      <c r="AH1930" s="322"/>
      <c r="AI1930" s="322"/>
      <c r="AJ1930" s="322"/>
      <c r="AK1930" s="322"/>
      <c r="AL1930" s="322"/>
      <c r="AM1930" s="322"/>
      <c r="AN1930" s="322"/>
      <c r="AO1930" s="322"/>
      <c r="AP1930" s="322"/>
      <c r="AQ1930" s="322"/>
      <c r="AR1930" s="322"/>
      <c r="AS1930" s="322"/>
      <c r="AT1930" s="322"/>
    </row>
    <row r="1931" spans="4:72">
      <c r="D1931" s="423" t="s">
        <v>88</v>
      </c>
      <c r="E1931" s="423"/>
      <c r="G1931" s="424" t="s">
        <v>0</v>
      </c>
      <c r="H1931" s="424" t="s">
        <v>0</v>
      </c>
      <c r="I1931" s="424" t="s">
        <v>0</v>
      </c>
      <c r="J1931" s="424" t="s">
        <v>0</v>
      </c>
      <c r="K1931" s="424" t="s">
        <v>0</v>
      </c>
      <c r="L1931" s="424"/>
      <c r="M1931" s="424"/>
      <c r="N1931" s="424"/>
      <c r="O1931" s="424"/>
      <c r="P1931" s="419" t="s">
        <v>0</v>
      </c>
      <c r="Q1931" s="419"/>
      <c r="R1931" s="419"/>
      <c r="S1931" s="419"/>
      <c r="T1931" s="419"/>
      <c r="U1931" s="322"/>
      <c r="V1931" s="322"/>
      <c r="W1931" s="322"/>
      <c r="X1931" s="322"/>
      <c r="Y1931" s="322"/>
      <c r="Z1931" s="322"/>
      <c r="AA1931" s="322"/>
      <c r="AB1931" s="322"/>
      <c r="AC1931" s="322"/>
      <c r="AD1931" s="322"/>
      <c r="AE1931" s="322"/>
      <c r="AF1931" s="322"/>
      <c r="AG1931" s="322"/>
      <c r="AH1931" s="322"/>
      <c r="AI1931" s="322"/>
      <c r="AJ1931" s="322"/>
      <c r="AK1931" s="322"/>
      <c r="AL1931" s="322"/>
      <c r="AM1931" s="322"/>
      <c r="AN1931" s="322"/>
      <c r="AO1931" s="322"/>
      <c r="AP1931" s="322"/>
      <c r="AQ1931" s="322"/>
      <c r="AR1931" s="322"/>
      <c r="AS1931" s="322"/>
      <c r="AT1931" s="322"/>
    </row>
    <row r="1932" spans="4:72">
      <c r="D1932" s="425" t="s">
        <v>89</v>
      </c>
      <c r="E1932" s="425"/>
      <c r="G1932" s="421">
        <v>0</v>
      </c>
      <c r="H1932" s="421">
        <v>12</v>
      </c>
      <c r="I1932" s="421">
        <v>28</v>
      </c>
      <c r="J1932" s="421">
        <v>1567</v>
      </c>
      <c r="K1932" s="421">
        <v>0</v>
      </c>
      <c r="L1932" s="421"/>
      <c r="M1932" s="421"/>
      <c r="N1932" s="421"/>
      <c r="O1932" s="421"/>
      <c r="P1932" s="422" t="s">
        <v>0</v>
      </c>
      <c r="Q1932" s="422"/>
      <c r="R1932" s="422"/>
      <c r="S1932" s="422"/>
      <c r="T1932" s="422"/>
      <c r="U1932" s="322"/>
      <c r="V1932" s="322"/>
      <c r="W1932" s="322"/>
      <c r="X1932" s="322"/>
      <c r="Y1932" s="322"/>
      <c r="Z1932" s="322"/>
      <c r="AA1932" s="322"/>
      <c r="AB1932" s="322"/>
      <c r="AC1932" s="322"/>
      <c r="AD1932" s="322"/>
      <c r="AE1932" s="322"/>
      <c r="AF1932" s="322"/>
      <c r="AG1932" s="322"/>
      <c r="AH1932" s="322"/>
      <c r="AI1932" s="322"/>
      <c r="AJ1932" s="322"/>
      <c r="AK1932" s="322"/>
      <c r="AL1932" s="322"/>
      <c r="AM1932" s="322"/>
      <c r="AN1932" s="322"/>
      <c r="AO1932" s="322"/>
      <c r="AP1932" s="322"/>
      <c r="AQ1932" s="322"/>
      <c r="AR1932" s="322"/>
      <c r="AS1932" s="322"/>
      <c r="AT1932" s="322"/>
    </row>
    <row r="1933" spans="4:72">
      <c r="D1933" s="425" t="s">
        <v>90</v>
      </c>
      <c r="E1933" s="425"/>
      <c r="G1933" s="421">
        <v>-39</v>
      </c>
      <c r="H1933" s="421">
        <v>-70</v>
      </c>
      <c r="I1933" s="421">
        <v>-476</v>
      </c>
      <c r="J1933" s="421">
        <v>-2560</v>
      </c>
      <c r="K1933" s="421">
        <v>-1929</v>
      </c>
      <c r="L1933" s="421"/>
      <c r="M1933" s="421"/>
      <c r="N1933" s="421"/>
      <c r="O1933" s="421"/>
      <c r="P1933" s="422">
        <v>-1410</v>
      </c>
      <c r="Q1933" s="422"/>
      <c r="R1933" s="422"/>
      <c r="S1933" s="422"/>
      <c r="T1933" s="422"/>
      <c r="U1933" s="322"/>
      <c r="V1933" s="322"/>
      <c r="W1933" s="322"/>
      <c r="X1933" s="322"/>
      <c r="Y1933" s="322"/>
      <c r="Z1933" s="322"/>
      <c r="AA1933" s="322"/>
      <c r="AB1933" s="322"/>
      <c r="AC1933" s="322"/>
      <c r="AD1933" s="322"/>
      <c r="AE1933" s="322"/>
      <c r="AF1933" s="322"/>
      <c r="AG1933" s="322"/>
      <c r="AH1933" s="322"/>
      <c r="AI1933" s="322"/>
      <c r="AJ1933" s="322"/>
      <c r="AK1933" s="322"/>
      <c r="AL1933" s="322"/>
      <c r="AM1933" s="322"/>
      <c r="AN1933" s="322"/>
      <c r="AO1933" s="322"/>
      <c r="AP1933" s="322"/>
      <c r="AQ1933" s="322"/>
      <c r="AR1933" s="322"/>
      <c r="AS1933" s="322"/>
      <c r="AT1933" s="322"/>
    </row>
    <row r="1934" spans="4:72">
      <c r="D1934" s="425" t="s">
        <v>91</v>
      </c>
      <c r="E1934" s="425"/>
      <c r="G1934" s="421">
        <v>-355</v>
      </c>
      <c r="H1934" s="421">
        <v>-381</v>
      </c>
      <c r="I1934" s="421">
        <v>-455</v>
      </c>
      <c r="J1934" s="421">
        <v>-571</v>
      </c>
      <c r="K1934" s="421">
        <v>-495</v>
      </c>
      <c r="L1934" s="421"/>
      <c r="M1934" s="421"/>
      <c r="N1934" s="421"/>
      <c r="O1934" s="421"/>
      <c r="P1934" s="422">
        <v>-407</v>
      </c>
      <c r="Q1934" s="422"/>
      <c r="R1934" s="422"/>
      <c r="S1934" s="422"/>
      <c r="T1934" s="422"/>
      <c r="U1934" s="322"/>
      <c r="V1934" s="322"/>
      <c r="W1934" s="322"/>
      <c r="X1934" s="322"/>
      <c r="Y1934" s="322"/>
      <c r="Z1934" s="322"/>
      <c r="AA1934" s="322"/>
      <c r="AB1934" s="322"/>
      <c r="AC1934" s="322"/>
      <c r="AD1934" s="322"/>
      <c r="AE1934" s="322"/>
      <c r="AF1934" s="322"/>
      <c r="AG1934" s="322"/>
      <c r="AH1934" s="322"/>
      <c r="AI1934" s="322"/>
      <c r="AJ1934" s="322"/>
      <c r="AK1934" s="322"/>
      <c r="AL1934" s="322"/>
      <c r="AM1934" s="322"/>
      <c r="AN1934" s="322"/>
      <c r="AO1934" s="322"/>
      <c r="AP1934" s="322"/>
      <c r="AQ1934" s="322"/>
      <c r="AR1934" s="322"/>
      <c r="AS1934" s="322"/>
      <c r="AT1934" s="322"/>
    </row>
    <row r="1935" spans="4:72">
      <c r="D1935" s="425" t="s">
        <v>92</v>
      </c>
      <c r="E1935" s="425"/>
      <c r="G1935" s="421">
        <v>1</v>
      </c>
      <c r="H1935" s="421">
        <v>0</v>
      </c>
      <c r="I1935" s="421">
        <v>0</v>
      </c>
      <c r="J1935" s="421">
        <v>8</v>
      </c>
      <c r="K1935" s="421">
        <v>26</v>
      </c>
      <c r="L1935" s="421"/>
      <c r="M1935" s="421"/>
      <c r="N1935" s="421"/>
      <c r="O1935" s="421"/>
      <c r="P1935" s="422">
        <v>54</v>
      </c>
      <c r="Q1935" s="422"/>
      <c r="R1935" s="422"/>
      <c r="S1935" s="422"/>
      <c r="T1935" s="422"/>
      <c r="U1935" s="322"/>
      <c r="V1935" s="322"/>
      <c r="W1935" s="322"/>
      <c r="X1935" s="322"/>
      <c r="Y1935" s="322"/>
      <c r="Z1935" s="322"/>
      <c r="AA1935" s="322"/>
      <c r="AB1935" s="322"/>
      <c r="AC1935" s="322"/>
      <c r="AD1935" s="322"/>
      <c r="AE1935" s="322"/>
      <c r="AF1935" s="322"/>
      <c r="AG1935" s="322"/>
      <c r="AH1935" s="322"/>
      <c r="AI1935" s="322"/>
      <c r="AJ1935" s="322"/>
      <c r="AK1935" s="322"/>
      <c r="AL1935" s="322"/>
      <c r="AM1935" s="322"/>
      <c r="AN1935" s="322"/>
      <c r="AO1935" s="322"/>
      <c r="AP1935" s="322"/>
      <c r="AQ1935" s="322"/>
      <c r="AR1935" s="322"/>
      <c r="AS1935" s="322"/>
      <c r="AT1935" s="322"/>
    </row>
    <row r="1936" spans="4:72">
      <c r="D1936" s="425" t="s">
        <v>93</v>
      </c>
      <c r="E1936" s="425"/>
      <c r="G1936" s="421">
        <v>-176</v>
      </c>
      <c r="H1936" s="421">
        <v>-5</v>
      </c>
      <c r="I1936" s="421">
        <v>0</v>
      </c>
      <c r="J1936" s="421">
        <v>0</v>
      </c>
      <c r="K1936" s="421">
        <v>-175</v>
      </c>
      <c r="L1936" s="421"/>
      <c r="M1936" s="421"/>
      <c r="N1936" s="421"/>
      <c r="O1936" s="421"/>
      <c r="P1936" s="422">
        <v>-189</v>
      </c>
      <c r="Q1936" s="422"/>
      <c r="R1936" s="422"/>
      <c r="S1936" s="422"/>
      <c r="T1936" s="422"/>
      <c r="U1936" s="322"/>
      <c r="V1936" s="322"/>
      <c r="W1936" s="322"/>
      <c r="X1936" s="322"/>
      <c r="Y1936" s="322"/>
      <c r="Z1936" s="322"/>
      <c r="AA1936" s="322"/>
      <c r="AB1936" s="322"/>
      <c r="AC1936" s="322"/>
      <c r="AD1936" s="322"/>
      <c r="AE1936" s="322"/>
      <c r="AF1936" s="322"/>
      <c r="AG1936" s="322"/>
      <c r="AH1936" s="322"/>
      <c r="AI1936" s="322"/>
      <c r="AJ1936" s="322"/>
      <c r="AK1936" s="322"/>
      <c r="AL1936" s="322"/>
      <c r="AM1936" s="322"/>
      <c r="AN1936" s="322"/>
      <c r="AO1936" s="322"/>
      <c r="AP1936" s="322"/>
      <c r="AQ1936" s="322"/>
      <c r="AR1936" s="322"/>
      <c r="AS1936" s="322"/>
      <c r="AT1936" s="322"/>
    </row>
    <row r="1937" spans="4:77">
      <c r="D1937" s="425" t="s">
        <v>94</v>
      </c>
      <c r="E1937" s="425"/>
      <c r="G1937" s="421">
        <v>-521</v>
      </c>
      <c r="H1937" s="421">
        <v>-518</v>
      </c>
      <c r="I1937" s="421">
        <v>-374</v>
      </c>
      <c r="J1937" s="421">
        <v>-58</v>
      </c>
      <c r="K1937" s="421">
        <v>-344</v>
      </c>
      <c r="L1937" s="421"/>
      <c r="M1937" s="421"/>
      <c r="N1937" s="421"/>
      <c r="O1937" s="421"/>
      <c r="P1937" s="422">
        <v>-172</v>
      </c>
      <c r="Q1937" s="422"/>
      <c r="R1937" s="422"/>
      <c r="S1937" s="422"/>
      <c r="T1937" s="422"/>
      <c r="U1937" s="322"/>
      <c r="V1937" s="322"/>
      <c r="W1937" s="322"/>
      <c r="X1937" s="322"/>
      <c r="Y1937" s="322"/>
      <c r="Z1937" s="322"/>
      <c r="AA1937" s="322"/>
      <c r="AB1937" s="322"/>
      <c r="AC1937" s="322"/>
      <c r="AD1937" s="322"/>
      <c r="AE1937" s="322"/>
      <c r="AF1937" s="322"/>
      <c r="AG1937" s="322"/>
      <c r="AH1937" s="322"/>
      <c r="AI1937" s="322"/>
      <c r="AJ1937" s="322"/>
      <c r="AK1937" s="322"/>
      <c r="AL1937" s="322"/>
      <c r="AM1937" s="322"/>
      <c r="AN1937" s="322"/>
      <c r="AO1937" s="322"/>
      <c r="AP1937" s="322"/>
      <c r="AQ1937" s="322"/>
      <c r="AR1937" s="322"/>
      <c r="AS1937" s="322"/>
      <c r="AT1937" s="322"/>
    </row>
    <row r="1938" spans="4:77">
      <c r="D1938" s="425" t="s">
        <v>95</v>
      </c>
      <c r="E1938" s="425"/>
      <c r="G1938" s="421">
        <v>-38</v>
      </c>
      <c r="H1938" s="421">
        <v>-23</v>
      </c>
      <c r="I1938" s="421">
        <v>-27</v>
      </c>
      <c r="J1938" s="421">
        <v>-21</v>
      </c>
      <c r="K1938" s="421">
        <v>-56</v>
      </c>
      <c r="L1938" s="421"/>
      <c r="M1938" s="421"/>
      <c r="N1938" s="421"/>
      <c r="O1938" s="421"/>
      <c r="P1938" s="421">
        <v>-40</v>
      </c>
      <c r="Q1938" s="421"/>
      <c r="R1938" s="421"/>
      <c r="S1938" s="421"/>
      <c r="T1938" s="421"/>
      <c r="AZ1938" s="502"/>
      <c r="BA1938" s="502"/>
      <c r="BB1938" s="502"/>
      <c r="BC1938" s="502"/>
      <c r="BD1938" s="502"/>
      <c r="BE1938" s="502"/>
      <c r="BF1938" s="502"/>
      <c r="BG1938" s="502"/>
      <c r="BH1938" s="502"/>
      <c r="BI1938" s="502"/>
      <c r="BJ1938" s="502"/>
      <c r="BK1938" s="502"/>
      <c r="BL1938" s="502"/>
      <c r="BM1938" s="502"/>
      <c r="BN1938" s="502"/>
      <c r="BO1938" s="502"/>
      <c r="BP1938" s="502"/>
      <c r="BQ1938" s="502"/>
      <c r="BR1938" s="502"/>
      <c r="BS1938" s="502"/>
      <c r="BT1938" s="502"/>
      <c r="BU1938" s="502"/>
      <c r="BV1938" s="502"/>
      <c r="BW1938" s="502"/>
      <c r="BX1938" s="502"/>
      <c r="BY1938" s="502"/>
    </row>
    <row r="1939" spans="4:77">
      <c r="D1939" s="423" t="s">
        <v>96</v>
      </c>
      <c r="E1939" s="423"/>
      <c r="G1939" s="426">
        <v>-1128</v>
      </c>
      <c r="H1939" s="426">
        <v>-985</v>
      </c>
      <c r="I1939" s="426">
        <v>-1304</v>
      </c>
      <c r="J1939" s="426">
        <v>-1635</v>
      </c>
      <c r="K1939" s="426">
        <v>-2973</v>
      </c>
      <c r="L1939" s="426"/>
      <c r="M1939" s="426"/>
      <c r="N1939" s="426"/>
      <c r="O1939" s="426"/>
      <c r="P1939" s="426">
        <v>-2164</v>
      </c>
      <c r="Q1939" s="426"/>
      <c r="R1939" s="426"/>
      <c r="S1939" s="426"/>
      <c r="T1939" s="426"/>
      <c r="AZ1939" s="502"/>
      <c r="BA1939" s="505"/>
      <c r="BB1939" s="505"/>
      <c r="BC1939" s="505"/>
      <c r="BD1939" s="505"/>
      <c r="BE1939" s="505"/>
      <c r="BF1939" s="505"/>
      <c r="BG1939" s="505"/>
      <c r="BH1939" s="505"/>
      <c r="BI1939" s="505"/>
      <c r="BJ1939" s="505"/>
      <c r="BK1939" s="505"/>
      <c r="BL1939" s="505"/>
      <c r="BM1939" s="505"/>
      <c r="BN1939" s="505"/>
      <c r="BO1939" s="505"/>
      <c r="BP1939" s="505"/>
      <c r="BQ1939" s="505"/>
      <c r="BR1939" s="505"/>
      <c r="BS1939" s="505"/>
      <c r="BT1939" s="505"/>
      <c r="BU1939" s="505"/>
      <c r="BV1939" s="505"/>
      <c r="BW1939" s="505"/>
      <c r="BX1939" s="502"/>
      <c r="BY1939" s="502"/>
    </row>
    <row r="1940" spans="4:77">
      <c r="D1940" s="425" t="s">
        <v>97</v>
      </c>
      <c r="E1940" s="425"/>
      <c r="G1940" s="421">
        <v>180</v>
      </c>
      <c r="H1940" s="421">
        <v>187</v>
      </c>
      <c r="I1940" s="421">
        <v>304</v>
      </c>
      <c r="J1940" s="421">
        <v>-64</v>
      </c>
      <c r="K1940" s="421">
        <v>-49</v>
      </c>
      <c r="L1940" s="421"/>
      <c r="M1940" s="421"/>
      <c r="N1940" s="421"/>
      <c r="O1940" s="421"/>
      <c r="P1940" s="421">
        <v>113</v>
      </c>
      <c r="Q1940" s="421"/>
      <c r="R1940" s="421"/>
      <c r="S1940" s="421"/>
      <c r="T1940" s="421"/>
      <c r="AZ1940" s="502"/>
      <c r="BA1940" s="505"/>
      <c r="BB1940" s="505"/>
      <c r="BC1940" s="505"/>
      <c r="BD1940" s="505"/>
      <c r="BE1940" s="505"/>
      <c r="BF1940" s="505"/>
      <c r="BG1940" s="505"/>
      <c r="BH1940" s="505"/>
      <c r="BI1940" s="505"/>
      <c r="BJ1940" s="505"/>
      <c r="BK1940" s="505"/>
      <c r="BL1940" s="505"/>
      <c r="BM1940" s="505"/>
      <c r="BN1940" s="505"/>
      <c r="BO1940" s="505"/>
      <c r="BP1940" s="505"/>
      <c r="BQ1940" s="505"/>
      <c r="BR1940" s="505"/>
      <c r="BS1940" s="505"/>
      <c r="BT1940" s="505"/>
      <c r="BU1940" s="505"/>
      <c r="BV1940" s="505"/>
      <c r="BW1940" s="505"/>
      <c r="BX1940" s="502"/>
      <c r="BY1940" s="502"/>
    </row>
    <row r="1941" spans="4:77">
      <c r="D1941" s="423" t="s">
        <v>98</v>
      </c>
      <c r="E1941" s="423"/>
      <c r="G1941" s="426">
        <v>-495</v>
      </c>
      <c r="H1941" s="426">
        <v>-743</v>
      </c>
      <c r="I1941" s="426">
        <v>-142</v>
      </c>
      <c r="J1941" s="426">
        <v>-480</v>
      </c>
      <c r="K1941" s="426">
        <v>-455</v>
      </c>
      <c r="L1941" s="426"/>
      <c r="M1941" s="426"/>
      <c r="N1941" s="426"/>
      <c r="O1941" s="426"/>
      <c r="P1941" s="426">
        <v>782</v>
      </c>
      <c r="Q1941" s="426"/>
      <c r="R1941" s="426"/>
      <c r="S1941" s="426"/>
      <c r="T1941" s="426"/>
      <c r="AZ1941" s="502"/>
      <c r="BA1941" s="505"/>
      <c r="BB1941" s="505"/>
      <c r="BC1941" s="505"/>
      <c r="BD1941" s="505"/>
      <c r="BE1941" s="505"/>
      <c r="BF1941" s="505"/>
      <c r="BG1941" s="505"/>
      <c r="BH1941" s="505"/>
      <c r="BI1941" s="505"/>
      <c r="BJ1941" s="505"/>
      <c r="BK1941" s="505"/>
      <c r="BL1941" s="505"/>
      <c r="BM1941" s="505"/>
      <c r="BN1941" s="505"/>
      <c r="BO1941" s="505"/>
      <c r="BP1941" s="505"/>
      <c r="BQ1941" s="505"/>
      <c r="BR1941" s="505"/>
      <c r="BS1941" s="505"/>
      <c r="BT1941" s="505"/>
      <c r="BU1941" s="505"/>
      <c r="BV1941" s="505"/>
      <c r="BW1941" s="505"/>
      <c r="BX1941" s="502"/>
      <c r="BY1941" s="502"/>
    </row>
    <row r="1942" spans="4:77">
      <c r="D1942" s="423" t="s">
        <v>99</v>
      </c>
      <c r="E1942" s="423"/>
      <c r="G1942" s="426">
        <v>3267</v>
      </c>
      <c r="H1942" s="426">
        <v>2772</v>
      </c>
      <c r="I1942" s="426">
        <v>2029</v>
      </c>
      <c r="J1942" s="426">
        <v>1887</v>
      </c>
      <c r="K1942" s="426">
        <v>1407</v>
      </c>
      <c r="L1942" s="426"/>
      <c r="M1942" s="426"/>
      <c r="N1942" s="426"/>
      <c r="O1942" s="426"/>
      <c r="P1942" s="426">
        <v>952</v>
      </c>
      <c r="Q1942" s="426"/>
      <c r="R1942" s="426"/>
      <c r="S1942" s="426"/>
      <c r="T1942" s="426"/>
      <c r="AZ1942" s="502"/>
      <c r="BA1942" s="505"/>
      <c r="BB1942" s="505"/>
      <c r="BC1942" s="505"/>
      <c r="BD1942" s="505"/>
      <c r="BE1942" s="505"/>
      <c r="BF1942" s="505"/>
      <c r="BG1942" s="505"/>
      <c r="BH1942" s="505"/>
      <c r="BI1942" s="505"/>
      <c r="BJ1942" s="505"/>
      <c r="BK1942" s="505"/>
      <c r="BL1942" s="505"/>
      <c r="BM1942" s="505"/>
      <c r="BN1942" s="505"/>
      <c r="BO1942" s="505"/>
      <c r="BP1942" s="505"/>
      <c r="BQ1942" s="505"/>
      <c r="BR1942" s="505"/>
      <c r="BS1942" s="505"/>
      <c r="BT1942" s="505"/>
      <c r="BU1942" s="505"/>
      <c r="BV1942" s="505"/>
      <c r="BW1942" s="505"/>
      <c r="BX1942" s="502"/>
      <c r="BY1942" s="502"/>
    </row>
    <row r="1943" spans="4:77">
      <c r="D1943" s="423" t="s">
        <v>100</v>
      </c>
      <c r="E1943" s="423"/>
      <c r="G1943" s="426">
        <v>2772</v>
      </c>
      <c r="H1943" s="426">
        <v>2029</v>
      </c>
      <c r="I1943" s="426">
        <v>1887</v>
      </c>
      <c r="J1943" s="426">
        <v>1407</v>
      </c>
      <c r="K1943" s="426">
        <v>952</v>
      </c>
      <c r="L1943" s="426"/>
      <c r="M1943" s="426"/>
      <c r="N1943" s="426"/>
      <c r="O1943" s="426"/>
      <c r="P1943" s="426">
        <v>1734</v>
      </c>
      <c r="Q1943" s="426"/>
      <c r="R1943" s="426"/>
      <c r="S1943" s="426"/>
      <c r="T1943" s="426"/>
      <c r="AZ1943" s="502"/>
      <c r="BA1943" s="505"/>
      <c r="BB1943" s="505"/>
      <c r="BC1943" s="505"/>
      <c r="BD1943" s="505"/>
      <c r="BE1943" s="505"/>
      <c r="BF1943" s="505"/>
      <c r="BG1943" s="505"/>
      <c r="BH1943" s="505"/>
      <c r="BI1943" s="505"/>
      <c r="BJ1943" s="505"/>
      <c r="BK1943" s="505"/>
      <c r="BL1943" s="505"/>
      <c r="BM1943" s="505"/>
      <c r="BN1943" s="505"/>
      <c r="BO1943" s="505"/>
      <c r="BP1943" s="505"/>
      <c r="BQ1943" s="505"/>
      <c r="BR1943" s="505"/>
      <c r="BS1943" s="505"/>
      <c r="BT1943" s="505"/>
      <c r="BU1943" s="505"/>
      <c r="BV1943" s="505"/>
      <c r="BW1943" s="505"/>
      <c r="BX1943" s="502"/>
      <c r="BY1943" s="502"/>
    </row>
    <row r="1944" spans="4:77">
      <c r="AZ1944" s="502"/>
      <c r="BA1944" s="505"/>
      <c r="BB1944" s="505"/>
      <c r="BC1944" s="505"/>
      <c r="BD1944" s="505"/>
      <c r="BE1944" s="505"/>
      <c r="BF1944" s="505"/>
      <c r="BG1944" s="505"/>
      <c r="BH1944" s="505"/>
      <c r="BI1944" s="505"/>
      <c r="BJ1944" s="505"/>
      <c r="BK1944" s="505"/>
      <c r="BL1944" s="505"/>
      <c r="BM1944" s="505"/>
      <c r="BN1944" s="505"/>
      <c r="BO1944" s="505"/>
      <c r="BP1944" s="505"/>
      <c r="BQ1944" s="505"/>
      <c r="BR1944" s="505"/>
      <c r="BS1944" s="505"/>
      <c r="BT1944" s="505"/>
      <c r="BU1944" s="505"/>
      <c r="BV1944" s="505"/>
      <c r="BW1944" s="505"/>
      <c r="BX1944" s="502"/>
      <c r="BY1944" s="502"/>
    </row>
    <row r="1945" spans="4:77">
      <c r="AZ1945" s="502"/>
      <c r="BA1945" s="505"/>
      <c r="BB1945" s="505"/>
      <c r="BC1945" s="505"/>
      <c r="BD1945" s="505"/>
      <c r="BE1945" s="505"/>
      <c r="BF1945" s="505"/>
      <c r="BG1945" s="505"/>
      <c r="BH1945" s="505"/>
      <c r="BI1945" s="505"/>
      <c r="BJ1945" s="505"/>
      <c r="BK1945" s="505"/>
      <c r="BL1945" s="505"/>
      <c r="BM1945" s="505"/>
      <c r="BN1945" s="505"/>
      <c r="BO1945" s="505"/>
      <c r="BP1945" s="505"/>
      <c r="BQ1945" s="505"/>
      <c r="BR1945" s="505"/>
      <c r="BS1945" s="505"/>
      <c r="BT1945" s="505"/>
      <c r="BU1945" s="505"/>
      <c r="BV1945" s="505"/>
      <c r="BW1945" s="505"/>
      <c r="BX1945" s="502"/>
      <c r="BY1945" s="502"/>
    </row>
    <row r="1946" spans="4:77">
      <c r="AZ1946" s="502"/>
      <c r="BA1946" s="505"/>
      <c r="BB1946" s="505"/>
      <c r="BC1946" s="505"/>
      <c r="BD1946" s="505"/>
      <c r="BE1946" s="505"/>
      <c r="BF1946" s="505"/>
      <c r="BG1946" s="505"/>
      <c r="BH1946" s="505"/>
      <c r="BI1946" s="505"/>
      <c r="BJ1946" s="505"/>
      <c r="BK1946" s="505"/>
      <c r="BL1946" s="505"/>
      <c r="BM1946" s="505"/>
      <c r="BN1946" s="505"/>
      <c r="BO1946" s="505"/>
      <c r="BP1946" s="505"/>
      <c r="BQ1946" s="505"/>
      <c r="BR1946" s="505"/>
      <c r="BS1946" s="505"/>
      <c r="BT1946" s="505"/>
      <c r="BU1946" s="505"/>
      <c r="BV1946" s="505"/>
      <c r="BW1946" s="505"/>
      <c r="BX1946" s="502"/>
      <c r="BY1946" s="502"/>
    </row>
    <row r="1947" spans="4:77">
      <c r="AZ1947" s="502"/>
      <c r="BA1947" s="505"/>
      <c r="BB1947" s="505"/>
      <c r="BC1947" s="505"/>
      <c r="BD1947" s="505"/>
      <c r="BE1947" s="505"/>
      <c r="BF1947" s="505"/>
      <c r="BG1947" s="505"/>
      <c r="BH1947" s="505"/>
      <c r="BI1947" s="505"/>
      <c r="BJ1947" s="505"/>
      <c r="BK1947" s="505"/>
      <c r="BL1947" s="505"/>
      <c r="BM1947" s="505"/>
      <c r="BN1947" s="505"/>
      <c r="BO1947" s="505"/>
      <c r="BP1947" s="505"/>
      <c r="BQ1947" s="505"/>
      <c r="BR1947" s="505"/>
      <c r="BS1947" s="505"/>
      <c r="BT1947" s="505"/>
      <c r="BU1947" s="505"/>
      <c r="BV1947" s="505"/>
      <c r="BW1947" s="505"/>
      <c r="BX1947" s="502"/>
      <c r="BY1947" s="502"/>
    </row>
    <row r="1948" spans="4:77">
      <c r="AZ1948" s="502"/>
      <c r="BA1948" s="505"/>
      <c r="BB1948" s="505"/>
      <c r="BC1948" s="505"/>
      <c r="BD1948" s="505"/>
      <c r="BE1948" s="505"/>
      <c r="BF1948" s="505"/>
      <c r="BG1948" s="505"/>
      <c r="BH1948" s="505"/>
      <c r="BI1948" s="505"/>
      <c r="BJ1948" s="505"/>
      <c r="BK1948" s="505"/>
      <c r="BL1948" s="505"/>
      <c r="BM1948" s="505"/>
      <c r="BN1948" s="505"/>
      <c r="BO1948" s="505"/>
      <c r="BP1948" s="505"/>
      <c r="BQ1948" s="505"/>
      <c r="BR1948" s="505"/>
      <c r="BS1948" s="505"/>
      <c r="BT1948" s="505"/>
      <c r="BU1948" s="505"/>
      <c r="BV1948" s="505"/>
      <c r="BW1948" s="505"/>
      <c r="BX1948" s="502"/>
      <c r="BY1948" s="502"/>
    </row>
    <row r="1949" spans="4:77">
      <c r="AZ1949" s="502"/>
      <c r="BA1949" s="505"/>
      <c r="BB1949" s="505"/>
      <c r="BC1949" s="505"/>
      <c r="BD1949" s="505"/>
      <c r="BE1949" s="505"/>
      <c r="BF1949" s="505"/>
      <c r="BG1949" s="505"/>
      <c r="BH1949" s="505"/>
      <c r="BI1949" s="505"/>
      <c r="BJ1949" s="505"/>
      <c r="BK1949" s="505"/>
      <c r="BL1949" s="505"/>
      <c r="BM1949" s="505"/>
      <c r="BN1949" s="505"/>
      <c r="BO1949" s="505"/>
      <c r="BP1949" s="505"/>
      <c r="BQ1949" s="505"/>
      <c r="BR1949" s="505"/>
      <c r="BS1949" s="505"/>
      <c r="BT1949" s="505"/>
      <c r="BU1949" s="505"/>
      <c r="BV1949" s="505"/>
      <c r="BW1949" s="505"/>
      <c r="BX1949" s="502"/>
      <c r="BY1949" s="502"/>
    </row>
    <row r="1950" spans="4:77">
      <c r="AZ1950" s="502"/>
      <c r="BA1950" s="505"/>
      <c r="BB1950" s="505"/>
      <c r="BC1950" s="505"/>
      <c r="BD1950" s="505"/>
      <c r="BE1950" s="505"/>
      <c r="BF1950" s="505"/>
      <c r="BG1950" s="505"/>
      <c r="BH1950" s="505"/>
      <c r="BI1950" s="505"/>
      <c r="BJ1950" s="505"/>
      <c r="BK1950" s="505"/>
      <c r="BL1950" s="505"/>
      <c r="BM1950" s="505"/>
      <c r="BN1950" s="505"/>
      <c r="BO1950" s="505"/>
      <c r="BP1950" s="505"/>
      <c r="BQ1950" s="505"/>
      <c r="BR1950" s="505"/>
      <c r="BS1950" s="505"/>
      <c r="BT1950" s="505"/>
      <c r="BU1950" s="505"/>
      <c r="BV1950" s="505"/>
      <c r="BW1950" s="505"/>
      <c r="BX1950" s="502"/>
      <c r="BY1950" s="502"/>
    </row>
    <row r="1951" spans="4:77">
      <c r="AZ1951" s="502"/>
      <c r="BA1951" s="505"/>
      <c r="BB1951" s="505"/>
      <c r="BC1951" s="505"/>
      <c r="BD1951" s="505"/>
      <c r="BE1951" s="505"/>
      <c r="BF1951" s="505"/>
      <c r="BG1951" s="505"/>
      <c r="BH1951" s="505"/>
      <c r="BI1951" s="505"/>
      <c r="BJ1951" s="505"/>
      <c r="BK1951" s="505"/>
      <c r="BL1951" s="505"/>
      <c r="BM1951" s="505"/>
      <c r="BN1951" s="505"/>
      <c r="BO1951" s="505"/>
      <c r="BP1951" s="505"/>
      <c r="BQ1951" s="505"/>
      <c r="BR1951" s="505"/>
      <c r="BS1951" s="505"/>
      <c r="BT1951" s="505"/>
      <c r="BU1951" s="505"/>
      <c r="BV1951" s="505"/>
      <c r="BW1951" s="505"/>
      <c r="BX1951" s="502"/>
      <c r="BY1951" s="502"/>
    </row>
    <row r="1952" spans="4:77">
      <c r="AZ1952" s="502"/>
      <c r="BA1952" s="505"/>
      <c r="BB1952" s="505"/>
      <c r="BC1952" s="505"/>
      <c r="BD1952" s="505"/>
      <c r="BE1952" s="505"/>
      <c r="BF1952" s="505"/>
      <c r="BG1952" s="505"/>
      <c r="BH1952" s="505"/>
      <c r="BI1952" s="505"/>
      <c r="BJ1952" s="505"/>
      <c r="BK1952" s="505"/>
      <c r="BL1952" s="505"/>
      <c r="BM1952" s="505"/>
      <c r="BN1952" s="505"/>
      <c r="BO1952" s="505"/>
      <c r="BP1952" s="505"/>
      <c r="BQ1952" s="505"/>
      <c r="BR1952" s="505"/>
      <c r="BS1952" s="505"/>
      <c r="BT1952" s="505"/>
      <c r="BU1952" s="505"/>
      <c r="BV1952" s="505"/>
      <c r="BW1952" s="505"/>
      <c r="BX1952" s="502"/>
      <c r="BY1952" s="502"/>
    </row>
    <row r="1953" spans="52:77">
      <c r="AZ1953" s="502"/>
      <c r="BA1953" s="505"/>
      <c r="BB1953" s="505"/>
      <c r="BC1953" s="505"/>
      <c r="BD1953" s="505"/>
      <c r="BE1953" s="505"/>
      <c r="BF1953" s="505"/>
      <c r="BG1953" s="505"/>
      <c r="BH1953" s="505"/>
      <c r="BI1953" s="505"/>
      <c r="BJ1953" s="505"/>
      <c r="BK1953" s="505"/>
      <c r="BL1953" s="505"/>
      <c r="BM1953" s="505"/>
      <c r="BN1953" s="505"/>
      <c r="BO1953" s="505"/>
      <c r="BP1953" s="505"/>
      <c r="BQ1953" s="505"/>
      <c r="BR1953" s="505"/>
      <c r="BS1953" s="505"/>
      <c r="BT1953" s="505"/>
      <c r="BU1953" s="505"/>
      <c r="BV1953" s="505"/>
      <c r="BW1953" s="505"/>
      <c r="BX1953" s="502"/>
      <c r="BY1953" s="502"/>
    </row>
    <row r="1954" spans="52:77">
      <c r="AZ1954" s="502"/>
      <c r="BA1954" s="505"/>
      <c r="BB1954" s="505"/>
      <c r="BC1954" s="505"/>
      <c r="BD1954" s="505"/>
      <c r="BE1954" s="505"/>
      <c r="BF1954" s="505"/>
      <c r="BG1954" s="505"/>
      <c r="BH1954" s="505"/>
      <c r="BI1954" s="505"/>
      <c r="BJ1954" s="505"/>
      <c r="BK1954" s="505"/>
      <c r="BL1954" s="505"/>
      <c r="BM1954" s="505"/>
      <c r="BN1954" s="505"/>
      <c r="BO1954" s="505"/>
      <c r="BP1954" s="505"/>
      <c r="BQ1954" s="505"/>
      <c r="BR1954" s="505"/>
      <c r="BS1954" s="505"/>
      <c r="BT1954" s="505"/>
      <c r="BU1954" s="505"/>
      <c r="BV1954" s="505"/>
      <c r="BW1954" s="505"/>
      <c r="BX1954" s="502"/>
      <c r="BY1954" s="502"/>
    </row>
    <row r="1955" spans="52:77">
      <c r="AZ1955" s="502"/>
      <c r="BA1955" s="505"/>
      <c r="BB1955" s="505"/>
      <c r="BC1955" s="505"/>
      <c r="BD1955" s="505"/>
      <c r="BE1955" s="505"/>
      <c r="BF1955" s="505"/>
      <c r="BG1955" s="505"/>
      <c r="BH1955" s="505"/>
      <c r="BI1955" s="505"/>
      <c r="BJ1955" s="505"/>
      <c r="BK1955" s="505"/>
      <c r="BL1955" s="505"/>
      <c r="BM1955" s="505"/>
      <c r="BN1955" s="505"/>
      <c r="BO1955" s="505"/>
      <c r="BP1955" s="505"/>
      <c r="BQ1955" s="505"/>
      <c r="BR1955" s="505"/>
      <c r="BS1955" s="505"/>
      <c r="BT1955" s="505"/>
      <c r="BU1955" s="505"/>
      <c r="BV1955" s="505"/>
      <c r="BW1955" s="505"/>
      <c r="BX1955" s="502"/>
      <c r="BY1955" s="502"/>
    </row>
    <row r="1956" spans="52:77">
      <c r="AZ1956" s="502"/>
      <c r="BA1956" s="505"/>
      <c r="BB1956" s="505"/>
      <c r="BC1956" s="505"/>
      <c r="BD1956" s="505"/>
      <c r="BE1956" s="505"/>
      <c r="BF1956" s="505"/>
      <c r="BG1956" s="505"/>
      <c r="BH1956" s="505"/>
      <c r="BI1956" s="505"/>
      <c r="BJ1956" s="505"/>
      <c r="BK1956" s="505"/>
      <c r="BL1956" s="505"/>
      <c r="BM1956" s="505"/>
      <c r="BN1956" s="505"/>
      <c r="BO1956" s="505"/>
      <c r="BP1956" s="505"/>
      <c r="BQ1956" s="505"/>
      <c r="BR1956" s="505"/>
      <c r="BS1956" s="505"/>
      <c r="BT1956" s="505"/>
      <c r="BU1956" s="505"/>
      <c r="BV1956" s="505"/>
      <c r="BW1956" s="505"/>
      <c r="BX1956" s="502"/>
      <c r="BY1956" s="502"/>
    </row>
    <row r="1957" spans="52:77">
      <c r="AZ1957" s="502"/>
      <c r="BA1957" s="505"/>
      <c r="BB1957" s="505"/>
      <c r="BC1957" s="505"/>
      <c r="BD1957" s="505"/>
      <c r="BE1957" s="505"/>
      <c r="BF1957" s="505"/>
      <c r="BG1957" s="505"/>
      <c r="BH1957" s="505"/>
      <c r="BI1957" s="505"/>
      <c r="BJ1957" s="505"/>
      <c r="BK1957" s="505"/>
      <c r="BL1957" s="505"/>
      <c r="BM1957" s="505"/>
      <c r="BN1957" s="505"/>
      <c r="BO1957" s="505"/>
      <c r="BP1957" s="505"/>
      <c r="BQ1957" s="505"/>
      <c r="BR1957" s="505"/>
      <c r="BS1957" s="505"/>
      <c r="BT1957" s="505"/>
      <c r="BU1957" s="505"/>
      <c r="BV1957" s="505"/>
      <c r="BW1957" s="505"/>
      <c r="BX1957" s="502"/>
      <c r="BY1957" s="502"/>
    </row>
    <row r="1958" spans="52:77">
      <c r="AZ1958" s="502"/>
      <c r="BA1958" s="505"/>
      <c r="BB1958" s="505"/>
      <c r="BC1958" s="505"/>
      <c r="BD1958" s="505"/>
      <c r="BE1958" s="505"/>
      <c r="BF1958" s="505"/>
      <c r="BG1958" s="505"/>
      <c r="BH1958" s="505"/>
      <c r="BI1958" s="505"/>
      <c r="BJ1958" s="505"/>
      <c r="BK1958" s="505"/>
      <c r="BL1958" s="505"/>
      <c r="BM1958" s="505"/>
      <c r="BN1958" s="505"/>
      <c r="BO1958" s="505"/>
      <c r="BP1958" s="505"/>
      <c r="BQ1958" s="505"/>
      <c r="BR1958" s="505"/>
      <c r="BS1958" s="505"/>
      <c r="BT1958" s="505"/>
      <c r="BU1958" s="505"/>
      <c r="BV1958" s="505"/>
      <c r="BW1958" s="505"/>
      <c r="BX1958" s="502"/>
      <c r="BY1958" s="502"/>
    </row>
    <row r="1959" spans="52:77">
      <c r="AZ1959" s="502"/>
      <c r="BA1959" s="505"/>
      <c r="BB1959" s="505"/>
      <c r="BC1959" s="505"/>
      <c r="BD1959" s="505"/>
      <c r="BE1959" s="505"/>
      <c r="BF1959" s="505"/>
      <c r="BG1959" s="505"/>
      <c r="BH1959" s="505"/>
      <c r="BI1959" s="505"/>
      <c r="BJ1959" s="505"/>
      <c r="BK1959" s="505"/>
      <c r="BL1959" s="505"/>
      <c r="BM1959" s="505"/>
      <c r="BN1959" s="505"/>
      <c r="BO1959" s="505"/>
      <c r="BP1959" s="505"/>
      <c r="BQ1959" s="505"/>
      <c r="BR1959" s="505"/>
      <c r="BS1959" s="505"/>
      <c r="BT1959" s="505"/>
      <c r="BU1959" s="505"/>
      <c r="BV1959" s="505"/>
      <c r="BW1959" s="505"/>
      <c r="BX1959" s="502"/>
      <c r="BY1959" s="502"/>
    </row>
    <row r="1960" spans="52:77">
      <c r="AZ1960" s="502"/>
      <c r="BA1960" s="505"/>
      <c r="BB1960" s="505"/>
      <c r="BC1960" s="505"/>
      <c r="BD1960" s="505"/>
      <c r="BE1960" s="505"/>
      <c r="BF1960" s="505"/>
      <c r="BG1960" s="505"/>
      <c r="BH1960" s="505"/>
      <c r="BI1960" s="505"/>
      <c r="BJ1960" s="505"/>
      <c r="BK1960" s="505"/>
      <c r="BL1960" s="505"/>
      <c r="BM1960" s="505"/>
      <c r="BN1960" s="505"/>
      <c r="BO1960" s="505"/>
      <c r="BP1960" s="505"/>
      <c r="BQ1960" s="505"/>
      <c r="BR1960" s="505"/>
      <c r="BS1960" s="505"/>
      <c r="BT1960" s="505"/>
      <c r="BU1960" s="505"/>
      <c r="BV1960" s="505"/>
      <c r="BW1960" s="505"/>
      <c r="BX1960" s="502"/>
      <c r="BY1960" s="502"/>
    </row>
    <row r="1961" spans="52:77">
      <c r="AZ1961" s="502"/>
      <c r="BA1961" s="505"/>
      <c r="BB1961" s="505"/>
      <c r="BC1961" s="505"/>
      <c r="BD1961" s="505"/>
      <c r="BE1961" s="505"/>
      <c r="BF1961" s="505"/>
      <c r="BG1961" s="505"/>
      <c r="BH1961" s="505"/>
      <c r="BI1961" s="505"/>
      <c r="BJ1961" s="505"/>
      <c r="BK1961" s="505"/>
      <c r="BL1961" s="505"/>
      <c r="BM1961" s="505"/>
      <c r="BN1961" s="505"/>
      <c r="BO1961" s="505"/>
      <c r="BP1961" s="505"/>
      <c r="BQ1961" s="505"/>
      <c r="BR1961" s="505"/>
      <c r="BS1961" s="505"/>
      <c r="BT1961" s="505"/>
      <c r="BU1961" s="505"/>
      <c r="BV1961" s="505"/>
      <c r="BW1961" s="505"/>
      <c r="BX1961" s="502"/>
      <c r="BY1961" s="502"/>
    </row>
    <row r="1962" spans="52:77">
      <c r="AZ1962" s="502"/>
      <c r="BA1962" s="505"/>
      <c r="BB1962" s="505"/>
      <c r="BC1962" s="505"/>
      <c r="BD1962" s="505"/>
      <c r="BE1962" s="505"/>
      <c r="BF1962" s="505"/>
      <c r="BG1962" s="505"/>
      <c r="BH1962" s="505"/>
      <c r="BI1962" s="505"/>
      <c r="BJ1962" s="505"/>
      <c r="BK1962" s="505"/>
      <c r="BL1962" s="505"/>
      <c r="BM1962" s="505"/>
      <c r="BN1962" s="505"/>
      <c r="BO1962" s="505"/>
      <c r="BP1962" s="505"/>
      <c r="BQ1962" s="505"/>
      <c r="BR1962" s="505"/>
      <c r="BS1962" s="505"/>
      <c r="BT1962" s="505"/>
      <c r="BU1962" s="505"/>
      <c r="BV1962" s="505"/>
      <c r="BW1962" s="505"/>
      <c r="BX1962" s="502"/>
      <c r="BY1962" s="502"/>
    </row>
    <row r="1963" spans="52:77">
      <c r="AZ1963" s="502"/>
      <c r="BA1963" s="505"/>
      <c r="BB1963" s="505"/>
      <c r="BC1963" s="505"/>
      <c r="BD1963" s="505"/>
      <c r="BE1963" s="505"/>
      <c r="BF1963" s="505"/>
      <c r="BG1963" s="505"/>
      <c r="BH1963" s="505"/>
      <c r="BI1963" s="505"/>
      <c r="BJ1963" s="505"/>
      <c r="BK1963" s="505"/>
      <c r="BL1963" s="505"/>
      <c r="BM1963" s="505"/>
      <c r="BN1963" s="505"/>
      <c r="BO1963" s="505"/>
      <c r="BP1963" s="505"/>
      <c r="BQ1963" s="505"/>
      <c r="BR1963" s="505"/>
      <c r="BS1963" s="505"/>
      <c r="BT1963" s="505"/>
      <c r="BU1963" s="505"/>
      <c r="BV1963" s="505"/>
      <c r="BW1963" s="505"/>
      <c r="BX1963" s="502"/>
      <c r="BY1963" s="502"/>
    </row>
    <row r="1964" spans="52:77">
      <c r="AZ1964" s="502"/>
      <c r="BA1964" s="505"/>
      <c r="BB1964" s="505"/>
      <c r="BC1964" s="505"/>
      <c r="BD1964" s="505"/>
      <c r="BE1964" s="505"/>
      <c r="BF1964" s="505"/>
      <c r="BG1964" s="505"/>
      <c r="BH1964" s="505"/>
      <c r="BI1964" s="505"/>
      <c r="BJ1964" s="505"/>
      <c r="BK1964" s="505"/>
      <c r="BL1964" s="505"/>
      <c r="BM1964" s="505"/>
      <c r="BN1964" s="505"/>
      <c r="BO1964" s="505"/>
      <c r="BP1964" s="505"/>
      <c r="BQ1964" s="505"/>
      <c r="BR1964" s="505"/>
      <c r="BS1964" s="505"/>
      <c r="BT1964" s="505"/>
      <c r="BU1964" s="505"/>
      <c r="BV1964" s="505"/>
      <c r="BW1964" s="505"/>
      <c r="BX1964" s="502"/>
      <c r="BY1964" s="502"/>
    </row>
    <row r="1965" spans="52:77">
      <c r="AZ1965" s="502"/>
      <c r="BA1965" s="505"/>
      <c r="BB1965" s="505"/>
      <c r="BC1965" s="505"/>
      <c r="BD1965" s="505"/>
      <c r="BE1965" s="505"/>
      <c r="BF1965" s="505"/>
      <c r="BG1965" s="505"/>
      <c r="BH1965" s="505"/>
      <c r="BI1965" s="505"/>
      <c r="BJ1965" s="505"/>
      <c r="BK1965" s="505"/>
      <c r="BL1965" s="505"/>
      <c r="BM1965" s="505"/>
      <c r="BN1965" s="505"/>
      <c r="BO1965" s="505"/>
      <c r="BP1965" s="505"/>
      <c r="BQ1965" s="505"/>
      <c r="BR1965" s="505"/>
      <c r="BS1965" s="505"/>
      <c r="BT1965" s="505"/>
      <c r="BU1965" s="505"/>
      <c r="BV1965" s="505"/>
      <c r="BW1965" s="505"/>
      <c r="BX1965" s="502"/>
      <c r="BY1965" s="502"/>
    </row>
    <row r="1966" spans="52:77">
      <c r="AZ1966" s="502"/>
      <c r="BA1966" s="505"/>
      <c r="BB1966" s="505"/>
      <c r="BC1966" s="505"/>
      <c r="BD1966" s="505"/>
      <c r="BE1966" s="505"/>
      <c r="BF1966" s="505"/>
      <c r="BG1966" s="505"/>
      <c r="BH1966" s="505"/>
      <c r="BI1966" s="505"/>
      <c r="BJ1966" s="505"/>
      <c r="BK1966" s="505"/>
      <c r="BL1966" s="505"/>
      <c r="BM1966" s="505"/>
      <c r="BN1966" s="505"/>
      <c r="BO1966" s="505"/>
      <c r="BP1966" s="505"/>
      <c r="BQ1966" s="505"/>
      <c r="BR1966" s="505"/>
      <c r="BS1966" s="505"/>
      <c r="BT1966" s="505"/>
      <c r="BU1966" s="505"/>
      <c r="BV1966" s="505"/>
      <c r="BW1966" s="505"/>
      <c r="BX1966" s="502"/>
      <c r="BY1966" s="502"/>
    </row>
    <row r="1967" spans="52:77">
      <c r="AZ1967" s="502"/>
      <c r="BA1967" s="505"/>
      <c r="BB1967" s="505"/>
      <c r="BC1967" s="505"/>
      <c r="BD1967" s="505"/>
      <c r="BE1967" s="505"/>
      <c r="BF1967" s="505"/>
      <c r="BG1967" s="505"/>
      <c r="BH1967" s="505"/>
      <c r="BI1967" s="505"/>
      <c r="BJ1967" s="505"/>
      <c r="BK1967" s="505"/>
      <c r="BL1967" s="505"/>
      <c r="BM1967" s="505"/>
      <c r="BN1967" s="505"/>
      <c r="BO1967" s="505"/>
      <c r="BP1967" s="505"/>
      <c r="BQ1967" s="505"/>
      <c r="BR1967" s="505"/>
      <c r="BS1967" s="505"/>
      <c r="BT1967" s="505"/>
      <c r="BU1967" s="505"/>
      <c r="BV1967" s="505"/>
      <c r="BW1967" s="505"/>
      <c r="BX1967" s="502"/>
      <c r="BY1967" s="502"/>
    </row>
    <row r="1968" spans="52:77">
      <c r="AZ1968" s="502"/>
      <c r="BA1968" s="505"/>
      <c r="BB1968" s="505"/>
      <c r="BC1968" s="505"/>
      <c r="BD1968" s="505"/>
      <c r="BE1968" s="505"/>
      <c r="BF1968" s="505"/>
      <c r="BG1968" s="505"/>
      <c r="BH1968" s="505"/>
      <c r="BI1968" s="505"/>
      <c r="BJ1968" s="505"/>
      <c r="BK1968" s="505"/>
      <c r="BL1968" s="505"/>
      <c r="BM1968" s="505"/>
      <c r="BN1968" s="505"/>
      <c r="BO1968" s="505"/>
      <c r="BP1968" s="505"/>
      <c r="BQ1968" s="505"/>
      <c r="BR1968" s="505"/>
      <c r="BS1968" s="505"/>
      <c r="BT1968" s="505"/>
      <c r="BU1968" s="505"/>
      <c r="BV1968" s="505"/>
      <c r="BW1968" s="505"/>
      <c r="BX1968" s="502"/>
      <c r="BY1968" s="502"/>
    </row>
    <row r="1969" spans="52:77">
      <c r="AZ1969" s="502"/>
      <c r="BA1969" s="505"/>
      <c r="BB1969" s="505"/>
      <c r="BC1969" s="505"/>
      <c r="BD1969" s="505"/>
      <c r="BE1969" s="505"/>
      <c r="BF1969" s="505"/>
      <c r="BG1969" s="505"/>
      <c r="BH1969" s="505"/>
      <c r="BI1969" s="505"/>
      <c r="BJ1969" s="505"/>
      <c r="BK1969" s="505"/>
      <c r="BL1969" s="505"/>
      <c r="BM1969" s="505"/>
      <c r="BN1969" s="505"/>
      <c r="BO1969" s="505"/>
      <c r="BP1969" s="505"/>
      <c r="BQ1969" s="505"/>
      <c r="BR1969" s="505"/>
      <c r="BS1969" s="505"/>
      <c r="BT1969" s="505"/>
      <c r="BU1969" s="505"/>
      <c r="BV1969" s="505"/>
      <c r="BW1969" s="505"/>
      <c r="BX1969" s="502"/>
      <c r="BY1969" s="502"/>
    </row>
    <row r="1970" spans="52:77">
      <c r="AZ1970" s="502"/>
      <c r="BA1970" s="505"/>
      <c r="BB1970" s="505"/>
      <c r="BC1970" s="505"/>
      <c r="BD1970" s="505"/>
      <c r="BE1970" s="505"/>
      <c r="BF1970" s="505"/>
      <c r="BG1970" s="505"/>
      <c r="BH1970" s="505"/>
      <c r="BI1970" s="505"/>
      <c r="BJ1970" s="505"/>
      <c r="BK1970" s="505"/>
      <c r="BL1970" s="505"/>
      <c r="BM1970" s="505"/>
      <c r="BN1970" s="505"/>
      <c r="BO1970" s="505"/>
      <c r="BP1970" s="505"/>
      <c r="BQ1970" s="505"/>
      <c r="BR1970" s="505"/>
      <c r="BS1970" s="505"/>
      <c r="BT1970" s="505"/>
      <c r="BU1970" s="505"/>
      <c r="BV1970" s="505"/>
      <c r="BW1970" s="505"/>
      <c r="BX1970" s="502"/>
      <c r="BY1970" s="502"/>
    </row>
    <row r="1971" spans="52:77">
      <c r="AZ1971" s="502"/>
      <c r="BA1971" s="505"/>
      <c r="BB1971" s="505"/>
      <c r="BC1971" s="505"/>
      <c r="BD1971" s="505"/>
      <c r="BE1971" s="505"/>
      <c r="BF1971" s="505"/>
      <c r="BG1971" s="505"/>
      <c r="BH1971" s="505"/>
      <c r="BI1971" s="505"/>
      <c r="BJ1971" s="505"/>
      <c r="BK1971" s="505"/>
      <c r="BL1971" s="505"/>
      <c r="BM1971" s="505"/>
      <c r="BN1971" s="505"/>
      <c r="BO1971" s="505"/>
      <c r="BP1971" s="505"/>
      <c r="BQ1971" s="505"/>
      <c r="BR1971" s="505"/>
      <c r="BS1971" s="505"/>
      <c r="BT1971" s="505"/>
      <c r="BU1971" s="505"/>
      <c r="BV1971" s="505"/>
      <c r="BW1971" s="505"/>
      <c r="BX1971" s="502"/>
      <c r="BY1971" s="502"/>
    </row>
    <row r="1972" spans="52:77">
      <c r="AZ1972" s="502"/>
      <c r="BA1972" s="505"/>
      <c r="BB1972" s="505"/>
      <c r="BC1972" s="505"/>
      <c r="BD1972" s="505"/>
      <c r="BE1972" s="505"/>
      <c r="BF1972" s="505"/>
      <c r="BG1972" s="505"/>
      <c r="BH1972" s="505"/>
      <c r="BI1972" s="505"/>
      <c r="BJ1972" s="505"/>
      <c r="BK1972" s="505"/>
      <c r="BL1972" s="505"/>
      <c r="BM1972" s="505"/>
      <c r="BN1972" s="505"/>
      <c r="BO1972" s="505"/>
      <c r="BP1972" s="505"/>
      <c r="BQ1972" s="505"/>
      <c r="BR1972" s="505"/>
      <c r="BS1972" s="505"/>
      <c r="BT1972" s="505"/>
      <c r="BU1972" s="505"/>
      <c r="BV1972" s="505"/>
      <c r="BW1972" s="505"/>
      <c r="BX1972" s="502"/>
      <c r="BY1972" s="502"/>
    </row>
    <row r="1973" spans="52:77">
      <c r="AZ1973" s="502"/>
      <c r="BA1973" s="505"/>
      <c r="BB1973" s="505"/>
      <c r="BC1973" s="505"/>
      <c r="BD1973" s="505"/>
      <c r="BE1973" s="505"/>
      <c r="BF1973" s="505"/>
      <c r="BG1973" s="505"/>
      <c r="BH1973" s="505"/>
      <c r="BI1973" s="505"/>
      <c r="BJ1973" s="505"/>
      <c r="BK1973" s="505"/>
      <c r="BL1973" s="505"/>
      <c r="BM1973" s="505"/>
      <c r="BN1973" s="505"/>
      <c r="BO1973" s="505"/>
      <c r="BP1973" s="505"/>
      <c r="BQ1973" s="505"/>
      <c r="BR1973" s="505"/>
      <c r="BS1973" s="505"/>
      <c r="BT1973" s="505"/>
      <c r="BU1973" s="505"/>
      <c r="BV1973" s="505"/>
      <c r="BW1973" s="505"/>
      <c r="BX1973" s="502"/>
      <c r="BY1973" s="502"/>
    </row>
    <row r="1974" spans="52:77">
      <c r="AZ1974" s="502"/>
      <c r="BA1974" s="505"/>
      <c r="BB1974" s="505"/>
      <c r="BC1974" s="505"/>
      <c r="BD1974" s="505"/>
      <c r="BE1974" s="505"/>
      <c r="BF1974" s="505"/>
      <c r="BG1974" s="505"/>
      <c r="BH1974" s="505"/>
      <c r="BI1974" s="505"/>
      <c r="BJ1974" s="505"/>
      <c r="BK1974" s="505"/>
      <c r="BL1974" s="505"/>
      <c r="BM1974" s="505"/>
      <c r="BN1974" s="505"/>
      <c r="BO1974" s="505"/>
      <c r="BP1974" s="505"/>
      <c r="BQ1974" s="505"/>
      <c r="BR1974" s="505"/>
      <c r="BS1974" s="505"/>
      <c r="BT1974" s="505"/>
      <c r="BU1974" s="505"/>
      <c r="BV1974" s="505"/>
      <c r="BW1974" s="505"/>
      <c r="BX1974" s="502"/>
      <c r="BY1974" s="502"/>
    </row>
    <row r="1975" spans="52:77">
      <c r="AZ1975" s="502"/>
      <c r="BA1975" s="505"/>
      <c r="BB1975" s="505"/>
      <c r="BC1975" s="505"/>
      <c r="BD1975" s="505"/>
      <c r="BE1975" s="505"/>
      <c r="BF1975" s="505"/>
      <c r="BG1975" s="505"/>
      <c r="BH1975" s="505"/>
      <c r="BI1975" s="505"/>
      <c r="BJ1975" s="505"/>
      <c r="BK1975" s="505"/>
      <c r="BL1975" s="505"/>
      <c r="BM1975" s="505"/>
      <c r="BN1975" s="505"/>
      <c r="BO1975" s="505"/>
      <c r="BP1975" s="505"/>
      <c r="BQ1975" s="505"/>
      <c r="BR1975" s="505"/>
      <c r="BS1975" s="505"/>
      <c r="BT1975" s="505"/>
      <c r="BU1975" s="505"/>
      <c r="BV1975" s="505"/>
      <c r="BW1975" s="505"/>
      <c r="BX1975" s="502"/>
      <c r="BY1975" s="502"/>
    </row>
    <row r="1976" spans="52:77">
      <c r="AZ1976" s="502"/>
      <c r="BA1976" s="505"/>
      <c r="BB1976" s="505"/>
      <c r="BC1976" s="505"/>
      <c r="BD1976" s="505"/>
      <c r="BE1976" s="505"/>
      <c r="BF1976" s="505"/>
      <c r="BG1976" s="505"/>
      <c r="BH1976" s="505"/>
      <c r="BI1976" s="505"/>
      <c r="BJ1976" s="505"/>
      <c r="BK1976" s="505"/>
      <c r="BL1976" s="505"/>
      <c r="BM1976" s="505"/>
      <c r="BN1976" s="505"/>
      <c r="BO1976" s="505"/>
      <c r="BP1976" s="505"/>
      <c r="BQ1976" s="505"/>
      <c r="BR1976" s="505"/>
      <c r="BS1976" s="505"/>
      <c r="BT1976" s="505"/>
      <c r="BU1976" s="505"/>
      <c r="BV1976" s="505"/>
      <c r="BW1976" s="505"/>
      <c r="BX1976" s="502"/>
      <c r="BY1976" s="502"/>
    </row>
    <row r="1977" spans="52:77">
      <c r="AZ1977" s="502"/>
      <c r="BA1977" s="505"/>
      <c r="BB1977" s="505"/>
      <c r="BC1977" s="505"/>
      <c r="BD1977" s="505"/>
      <c r="BE1977" s="505"/>
      <c r="BF1977" s="505"/>
      <c r="BG1977" s="505"/>
      <c r="BH1977" s="505"/>
      <c r="BI1977" s="505"/>
      <c r="BJ1977" s="505"/>
      <c r="BK1977" s="505"/>
      <c r="BL1977" s="505"/>
      <c r="BM1977" s="505"/>
      <c r="BN1977" s="505"/>
      <c r="BO1977" s="505"/>
      <c r="BP1977" s="505"/>
      <c r="BQ1977" s="505"/>
      <c r="BR1977" s="505"/>
      <c r="BS1977" s="505"/>
      <c r="BT1977" s="505"/>
      <c r="BU1977" s="505"/>
      <c r="BV1977" s="505"/>
      <c r="BW1977" s="505"/>
      <c r="BX1977" s="502"/>
      <c r="BY1977" s="502"/>
    </row>
    <row r="1978" spans="52:77">
      <c r="AZ1978" s="502"/>
      <c r="BA1978" s="505"/>
      <c r="BB1978" s="505"/>
      <c r="BC1978" s="505"/>
      <c r="BD1978" s="505"/>
      <c r="BE1978" s="505"/>
      <c r="BF1978" s="505"/>
      <c r="BG1978" s="505"/>
      <c r="BH1978" s="505"/>
      <c r="BI1978" s="505"/>
      <c r="BJ1978" s="505"/>
      <c r="BK1978" s="505"/>
      <c r="BL1978" s="505"/>
      <c r="BM1978" s="505"/>
      <c r="BN1978" s="505"/>
      <c r="BO1978" s="505"/>
      <c r="BP1978" s="505"/>
      <c r="BQ1978" s="505"/>
      <c r="BR1978" s="505"/>
      <c r="BS1978" s="505"/>
      <c r="BT1978" s="505"/>
      <c r="BU1978" s="505"/>
      <c r="BV1978" s="505"/>
      <c r="BW1978" s="505"/>
      <c r="BX1978" s="502"/>
      <c r="BY1978" s="502"/>
    </row>
    <row r="1979" spans="52:77">
      <c r="AZ1979" s="502"/>
      <c r="BA1979" s="502"/>
      <c r="BB1979" s="502"/>
      <c r="BC1979" s="502"/>
      <c r="BD1979" s="502"/>
      <c r="BE1979" s="502"/>
      <c r="BF1979" s="502"/>
      <c r="BG1979" s="502"/>
      <c r="BH1979" s="502"/>
      <c r="BI1979" s="502"/>
      <c r="BJ1979" s="502"/>
      <c r="BK1979" s="502"/>
      <c r="BL1979" s="502"/>
      <c r="BM1979" s="502"/>
      <c r="BN1979" s="502"/>
      <c r="BO1979" s="502"/>
      <c r="BP1979" s="502"/>
      <c r="BQ1979" s="502"/>
      <c r="BR1979" s="502"/>
      <c r="BS1979" s="502"/>
      <c r="BT1979" s="502"/>
      <c r="BU1979" s="502"/>
      <c r="BV1979" s="502"/>
      <c r="BW1979" s="502"/>
      <c r="BX1979" s="502"/>
      <c r="BY1979" s="502"/>
    </row>
    <row r="1980" spans="52:77">
      <c r="AZ1980" s="502"/>
      <c r="BA1980" s="502"/>
      <c r="BB1980" s="502"/>
      <c r="BC1980" s="502"/>
      <c r="BD1980" s="502"/>
      <c r="BE1980" s="502"/>
      <c r="BF1980" s="502"/>
      <c r="BG1980" s="502"/>
      <c r="BH1980" s="502"/>
      <c r="BI1980" s="502"/>
      <c r="BJ1980" s="502"/>
      <c r="BK1980" s="502"/>
      <c r="BL1980" s="502"/>
      <c r="BM1980" s="502"/>
      <c r="BN1980" s="502"/>
      <c r="BO1980" s="502"/>
      <c r="BP1980" s="502"/>
      <c r="BQ1980" s="502"/>
      <c r="BR1980" s="502"/>
      <c r="BS1980" s="502"/>
      <c r="BT1980" s="502"/>
      <c r="BU1980" s="502"/>
      <c r="BV1980" s="502"/>
      <c r="BW1980" s="502"/>
      <c r="BX1980" s="502"/>
      <c r="BY1980" s="502"/>
    </row>
    <row r="1981" spans="52:77">
      <c r="AZ1981" s="505"/>
      <c r="BA1981" s="505"/>
      <c r="BB1981" s="505"/>
      <c r="BC1981" s="505"/>
      <c r="BD1981" s="505"/>
      <c r="BE1981" s="505"/>
      <c r="BF1981" s="505"/>
      <c r="BG1981" s="505"/>
      <c r="BH1981" s="505"/>
      <c r="BI1981" s="505"/>
      <c r="BJ1981" s="505"/>
      <c r="BK1981" s="505"/>
      <c r="BL1981" s="505"/>
      <c r="BM1981" s="505"/>
      <c r="BN1981" s="502"/>
      <c r="BO1981" s="502"/>
      <c r="BP1981" s="502"/>
      <c r="BQ1981" s="502"/>
      <c r="BR1981" s="502"/>
      <c r="BS1981" s="502"/>
      <c r="BT1981" s="502"/>
      <c r="BU1981" s="502"/>
      <c r="BV1981" s="502"/>
      <c r="BW1981" s="502"/>
      <c r="BX1981" s="502"/>
      <c r="BY1981" s="502"/>
    </row>
    <row r="1982" spans="52:77">
      <c r="AZ1982" s="505"/>
      <c r="BA1982" s="505"/>
      <c r="BB1982" s="505"/>
      <c r="BC1982" s="505"/>
      <c r="BD1982" s="505"/>
      <c r="BE1982" s="505"/>
      <c r="BF1982" s="505"/>
      <c r="BG1982" s="505"/>
      <c r="BH1982" s="505"/>
      <c r="BI1982" s="505"/>
      <c r="BJ1982" s="505"/>
      <c r="BK1982" s="505"/>
      <c r="BL1982" s="505"/>
      <c r="BM1982" s="505"/>
      <c r="BN1982" s="508"/>
      <c r="BO1982" s="508"/>
      <c r="BP1982" s="508"/>
      <c r="BQ1982" s="508"/>
      <c r="BR1982" s="508"/>
      <c r="BS1982" s="508"/>
      <c r="BT1982" s="508"/>
      <c r="BU1982" s="508"/>
      <c r="BV1982" s="508"/>
      <c r="BW1982" s="508"/>
      <c r="BX1982" s="508"/>
      <c r="BY1982" s="508"/>
    </row>
    <row r="1983" spans="52:77">
      <c r="AZ1983" s="505"/>
      <c r="BA1983" s="505"/>
      <c r="BB1983" s="505"/>
      <c r="BC1983" s="505"/>
      <c r="BD1983" s="505"/>
      <c r="BE1983" s="505"/>
      <c r="BF1983" s="505"/>
      <c r="BG1983" s="505"/>
      <c r="BH1983" s="505"/>
      <c r="BI1983" s="505"/>
      <c r="BJ1983" s="505"/>
      <c r="BK1983" s="505"/>
      <c r="BL1983" s="505"/>
      <c r="BM1983" s="524"/>
      <c r="BN1983" s="508"/>
      <c r="BO1983" s="508"/>
      <c r="BP1983" s="508"/>
      <c r="BQ1983" s="508"/>
      <c r="BR1983" s="508"/>
      <c r="BS1983" s="508"/>
      <c r="BT1983" s="508"/>
      <c r="BU1983" s="508"/>
      <c r="BV1983" s="508"/>
      <c r="BW1983" s="508"/>
      <c r="BX1983" s="508"/>
      <c r="BY1983" s="508"/>
    </row>
    <row r="1984" spans="52:77">
      <c r="AZ1984" s="505"/>
      <c r="BA1984" s="505"/>
      <c r="BB1984" s="505"/>
      <c r="BC1984" s="505"/>
      <c r="BD1984" s="505"/>
      <c r="BE1984" s="505"/>
      <c r="BF1984" s="505"/>
      <c r="BG1984" s="505"/>
      <c r="BH1984" s="505"/>
      <c r="BI1984" s="505"/>
      <c r="BJ1984" s="505"/>
      <c r="BK1984" s="505"/>
      <c r="BL1984" s="505"/>
      <c r="BM1984" s="505"/>
      <c r="BN1984" s="508"/>
      <c r="BO1984" s="508"/>
      <c r="BP1984" s="508"/>
      <c r="BQ1984" s="508"/>
      <c r="BR1984" s="508"/>
      <c r="BS1984" s="508"/>
      <c r="BT1984" s="508"/>
      <c r="BU1984" s="508"/>
      <c r="BV1984" s="508"/>
      <c r="BW1984" s="508"/>
      <c r="BX1984" s="508"/>
      <c r="BY1984" s="508"/>
    </row>
    <row r="1985" spans="47:77">
      <c r="AZ1985" s="505"/>
      <c r="BA1985" s="505"/>
      <c r="BB1985" s="505"/>
      <c r="BC1985" s="505"/>
      <c r="BD1985" s="505"/>
      <c r="BE1985" s="505"/>
      <c r="BF1985" s="505"/>
      <c r="BG1985" s="505"/>
      <c r="BH1985" s="505"/>
      <c r="BI1985" s="505"/>
      <c r="BJ1985" s="505"/>
      <c r="BK1985" s="505"/>
      <c r="BL1985" s="505"/>
      <c r="BM1985" s="505"/>
      <c r="BN1985" s="508"/>
      <c r="BO1985" s="508"/>
      <c r="BP1985" s="508"/>
      <c r="BQ1985" s="508"/>
      <c r="BR1985" s="508"/>
      <c r="BS1985" s="508"/>
      <c r="BT1985" s="508"/>
      <c r="BU1985" s="508"/>
      <c r="BV1985" s="508"/>
      <c r="BW1985" s="508"/>
      <c r="BX1985" s="508"/>
      <c r="BY1985" s="508"/>
    </row>
    <row r="1986" spans="47:77">
      <c r="AZ1986" s="505"/>
      <c r="BA1986" s="505"/>
      <c r="BB1986" s="505"/>
      <c r="BC1986" s="505"/>
      <c r="BD1986" s="505"/>
      <c r="BE1986" s="505"/>
      <c r="BF1986" s="505"/>
      <c r="BG1986" s="505"/>
      <c r="BH1986" s="505"/>
      <c r="BI1986" s="505"/>
      <c r="BJ1986" s="505"/>
      <c r="BK1986" s="505"/>
      <c r="BL1986" s="505"/>
      <c r="BM1986" s="505"/>
      <c r="BN1986" s="508"/>
      <c r="BO1986" s="508"/>
      <c r="BP1986" s="508"/>
      <c r="BQ1986" s="508"/>
      <c r="BR1986" s="508"/>
      <c r="BS1986" s="508"/>
      <c r="BT1986" s="508"/>
      <c r="BU1986" s="508"/>
      <c r="BV1986" s="508"/>
      <c r="BW1986" s="508"/>
      <c r="BX1986" s="508"/>
      <c r="BY1986" s="508"/>
    </row>
    <row r="1987" spans="47:77">
      <c r="AU1987" s="83"/>
      <c r="AV1987" s="83"/>
      <c r="AW1987" s="83"/>
      <c r="AX1987" s="83"/>
      <c r="AY1987" s="83"/>
      <c r="AZ1987" s="525"/>
      <c r="BA1987" s="525"/>
      <c r="BB1987" s="525"/>
      <c r="BC1987" s="525"/>
      <c r="BD1987" s="525"/>
      <c r="BE1987" s="525"/>
      <c r="BF1987" s="525"/>
      <c r="BG1987" s="525"/>
      <c r="BH1987" s="525"/>
      <c r="BI1987" s="525"/>
      <c r="BJ1987" s="525"/>
      <c r="BK1987" s="525"/>
      <c r="BL1987" s="525"/>
      <c r="BM1987" s="525"/>
      <c r="BN1987" s="509"/>
      <c r="BO1987" s="509"/>
      <c r="BP1987" s="509"/>
      <c r="BQ1987" s="509"/>
      <c r="BR1987" s="509"/>
      <c r="BS1987" s="509"/>
      <c r="BT1987" s="509"/>
      <c r="BU1987" s="509"/>
      <c r="BV1987" s="509"/>
      <c r="BW1987" s="509"/>
      <c r="BX1987" s="509"/>
      <c r="BY1987" s="509"/>
    </row>
    <row r="1988" spans="47:77">
      <c r="AU1988" s="83"/>
      <c r="AV1988" s="83"/>
      <c r="AW1988" s="83"/>
      <c r="AX1988" s="83"/>
      <c r="AY1988" s="83"/>
      <c r="AZ1988" s="525"/>
      <c r="BA1988" s="525"/>
      <c r="BB1988" s="525"/>
      <c r="BC1988" s="525"/>
      <c r="BD1988" s="525"/>
      <c r="BE1988" s="525"/>
      <c r="BF1988" s="525"/>
      <c r="BG1988" s="525"/>
      <c r="BH1988" s="525"/>
      <c r="BI1988" s="525"/>
      <c r="BJ1988" s="525"/>
      <c r="BK1988" s="525"/>
      <c r="BL1988" s="525"/>
      <c r="BM1988" s="525"/>
      <c r="BN1988" s="509"/>
      <c r="BO1988" s="509"/>
      <c r="BP1988" s="509"/>
      <c r="BQ1988" s="509"/>
      <c r="BR1988" s="509"/>
      <c r="BS1988" s="509"/>
      <c r="BT1988" s="509"/>
      <c r="BU1988" s="509"/>
      <c r="BV1988" s="509"/>
      <c r="BW1988" s="509"/>
      <c r="BX1988" s="509"/>
      <c r="BY1988" s="509"/>
    </row>
    <row r="1989" spans="47:77">
      <c r="AU1989" s="83"/>
      <c r="AV1989" s="83"/>
      <c r="AW1989" s="83"/>
      <c r="AX1989" s="83"/>
      <c r="AY1989" s="83"/>
      <c r="AZ1989" s="525"/>
      <c r="BA1989" s="525"/>
      <c r="BB1989" s="525"/>
      <c r="BC1989" s="525"/>
      <c r="BD1989" s="525"/>
      <c r="BE1989" s="525"/>
      <c r="BF1989" s="525"/>
      <c r="BG1989" s="525"/>
      <c r="BH1989" s="525"/>
      <c r="BI1989" s="525"/>
      <c r="BJ1989" s="525"/>
      <c r="BK1989" s="525"/>
      <c r="BL1989" s="525"/>
      <c r="BM1989" s="525"/>
      <c r="BN1989" s="509"/>
      <c r="BO1989" s="509"/>
      <c r="BP1989" s="509"/>
      <c r="BQ1989" s="509"/>
      <c r="BR1989" s="509"/>
      <c r="BS1989" s="509"/>
      <c r="BT1989" s="509"/>
      <c r="BU1989" s="509"/>
      <c r="BV1989" s="509"/>
      <c r="BW1989" s="509"/>
      <c r="BX1989" s="509"/>
      <c r="BY1989" s="509"/>
    </row>
    <row r="1990" spans="47:77">
      <c r="AU1990" s="83"/>
      <c r="AV1990" s="83"/>
      <c r="AW1990" s="83"/>
      <c r="AX1990" s="83"/>
      <c r="AY1990" s="83"/>
      <c r="AZ1990" s="525"/>
      <c r="BA1990" s="525"/>
      <c r="BB1990" s="525"/>
      <c r="BC1990" s="525"/>
      <c r="BD1990" s="525"/>
      <c r="BE1990" s="525"/>
      <c r="BF1990" s="525"/>
      <c r="BG1990" s="525"/>
      <c r="BH1990" s="525"/>
      <c r="BI1990" s="525"/>
      <c r="BJ1990" s="525"/>
      <c r="BK1990" s="525"/>
      <c r="BL1990" s="525"/>
      <c r="BM1990" s="525"/>
      <c r="BN1990" s="509"/>
      <c r="BO1990" s="509"/>
      <c r="BP1990" s="509"/>
      <c r="BQ1990" s="509"/>
      <c r="BR1990" s="509"/>
      <c r="BS1990" s="509"/>
      <c r="BT1990" s="509"/>
      <c r="BU1990" s="509"/>
      <c r="BV1990" s="509"/>
      <c r="BW1990" s="509"/>
      <c r="BX1990" s="509"/>
      <c r="BY1990" s="509"/>
    </row>
    <row r="1991" spans="47:77">
      <c r="AU1991" s="83"/>
      <c r="AV1991" s="83"/>
      <c r="AW1991" s="83"/>
      <c r="AX1991" s="83"/>
      <c r="AY1991" s="83"/>
      <c r="AZ1991" s="525"/>
      <c r="BA1991" s="525"/>
      <c r="BB1991" s="525"/>
      <c r="BC1991" s="525"/>
      <c r="BD1991" s="525"/>
      <c r="BE1991" s="525"/>
      <c r="BF1991" s="525"/>
      <c r="BG1991" s="525"/>
      <c r="BH1991" s="525"/>
      <c r="BI1991" s="525"/>
      <c r="BJ1991" s="525"/>
      <c r="BK1991" s="525"/>
      <c r="BL1991" s="525"/>
      <c r="BM1991" s="525"/>
      <c r="BN1991" s="509"/>
      <c r="BO1991" s="509"/>
      <c r="BP1991" s="509"/>
      <c r="BQ1991" s="509"/>
      <c r="BR1991" s="509"/>
      <c r="BS1991" s="509"/>
      <c r="BT1991" s="509"/>
      <c r="BU1991" s="509"/>
      <c r="BV1991" s="509"/>
      <c r="BW1991" s="509"/>
      <c r="BX1991" s="509"/>
      <c r="BY1991" s="509"/>
    </row>
    <row r="1992" spans="47:77">
      <c r="AU1992" s="83"/>
      <c r="AV1992" s="83"/>
      <c r="AW1992" s="83"/>
      <c r="AX1992" s="83"/>
      <c r="AY1992" s="83"/>
      <c r="AZ1992" s="525"/>
      <c r="BA1992" s="525"/>
      <c r="BB1992" s="525"/>
      <c r="BC1992" s="525"/>
      <c r="BD1992" s="525"/>
      <c r="BE1992" s="525"/>
      <c r="BF1992" s="525"/>
      <c r="BG1992" s="525"/>
      <c r="BH1992" s="525"/>
      <c r="BI1992" s="525"/>
      <c r="BJ1992" s="525"/>
      <c r="BK1992" s="525"/>
      <c r="BL1992" s="525"/>
      <c r="BM1992" s="525"/>
      <c r="BN1992" s="509"/>
      <c r="BO1992" s="509"/>
      <c r="BP1992" s="509"/>
      <c r="BQ1992" s="509"/>
      <c r="BR1992" s="509"/>
      <c r="BS1992" s="509"/>
      <c r="BT1992" s="509"/>
      <c r="BU1992" s="509"/>
      <c r="BV1992" s="509"/>
      <c r="BW1992" s="509"/>
      <c r="BX1992" s="509"/>
      <c r="BY1992" s="509"/>
    </row>
    <row r="1993" spans="47:77">
      <c r="AU1993" s="83"/>
      <c r="AV1993" s="83"/>
      <c r="AW1993" s="83"/>
      <c r="AX1993" s="83"/>
      <c r="AY1993" s="83"/>
      <c r="AZ1993" s="525"/>
      <c r="BA1993" s="525"/>
      <c r="BB1993" s="525"/>
      <c r="BC1993" s="525"/>
      <c r="BD1993" s="525"/>
      <c r="BE1993" s="525"/>
      <c r="BF1993" s="525"/>
      <c r="BG1993" s="525"/>
      <c r="BH1993" s="525"/>
      <c r="BI1993" s="525"/>
      <c r="BJ1993" s="525"/>
      <c r="BK1993" s="525"/>
      <c r="BL1993" s="525"/>
      <c r="BM1993" s="525"/>
      <c r="BN1993" s="509"/>
      <c r="BO1993" s="509"/>
      <c r="BP1993" s="509"/>
      <c r="BQ1993" s="509"/>
      <c r="BR1993" s="509"/>
      <c r="BS1993" s="509"/>
      <c r="BT1993" s="509"/>
      <c r="BU1993" s="509"/>
      <c r="BV1993" s="509"/>
      <c r="BW1993" s="509"/>
      <c r="BX1993" s="509"/>
      <c r="BY1993" s="509"/>
    </row>
    <row r="1994" spans="47:77">
      <c r="AU1994" s="83"/>
      <c r="AV1994" s="83"/>
      <c r="AW1994" s="83"/>
      <c r="AX1994" s="83"/>
      <c r="AY1994" s="83"/>
      <c r="AZ1994" s="525"/>
      <c r="BA1994" s="525"/>
      <c r="BB1994" s="525"/>
      <c r="BC1994" s="525"/>
      <c r="BD1994" s="525"/>
      <c r="BE1994" s="525"/>
      <c r="BF1994" s="525"/>
      <c r="BG1994" s="525"/>
      <c r="BH1994" s="525"/>
      <c r="BI1994" s="525"/>
      <c r="BJ1994" s="525"/>
      <c r="BK1994" s="525"/>
      <c r="BL1994" s="525"/>
      <c r="BM1994" s="525"/>
      <c r="BN1994" s="509"/>
      <c r="BO1994" s="509"/>
      <c r="BP1994" s="509"/>
      <c r="BQ1994" s="509"/>
      <c r="BR1994" s="509"/>
      <c r="BS1994" s="509"/>
      <c r="BT1994" s="509"/>
      <c r="BU1994" s="509"/>
      <c r="BV1994" s="509"/>
      <c r="BW1994" s="509"/>
      <c r="BX1994" s="509"/>
      <c r="BY1994" s="509"/>
    </row>
    <row r="1995" spans="47:77">
      <c r="AU1995" s="83"/>
      <c r="AV1995" s="83"/>
      <c r="AW1995" s="83"/>
      <c r="AX1995" s="83"/>
      <c r="AY1995" s="83"/>
      <c r="AZ1995" s="525"/>
      <c r="BA1995" s="525"/>
      <c r="BB1995" s="525"/>
      <c r="BC1995" s="525"/>
      <c r="BD1995" s="525"/>
      <c r="BE1995" s="525"/>
      <c r="BF1995" s="525"/>
      <c r="BG1995" s="525"/>
      <c r="BH1995" s="525"/>
      <c r="BI1995" s="525"/>
      <c r="BJ1995" s="525"/>
      <c r="BK1995" s="525"/>
      <c r="BL1995" s="525"/>
      <c r="BM1995" s="525"/>
      <c r="BN1995" s="509"/>
      <c r="BO1995" s="509"/>
      <c r="BP1995" s="509"/>
      <c r="BQ1995" s="509"/>
      <c r="BR1995" s="509"/>
      <c r="BS1995" s="509"/>
      <c r="BT1995" s="509"/>
      <c r="BU1995" s="509"/>
      <c r="BV1995" s="509"/>
      <c r="BW1995" s="509"/>
      <c r="BX1995" s="509"/>
      <c r="BY1995" s="509"/>
    </row>
    <row r="1996" spans="47:77">
      <c r="AU1996" s="83"/>
      <c r="AV1996" s="83"/>
      <c r="AW1996" s="83"/>
      <c r="AX1996" s="83"/>
      <c r="AY1996" s="83"/>
      <c r="AZ1996" s="525"/>
      <c r="BA1996" s="525"/>
      <c r="BB1996" s="525"/>
      <c r="BC1996" s="525"/>
      <c r="BD1996" s="525"/>
      <c r="BE1996" s="525"/>
      <c r="BF1996" s="525"/>
      <c r="BG1996" s="525"/>
      <c r="BH1996" s="525"/>
      <c r="BI1996" s="525"/>
      <c r="BJ1996" s="525"/>
      <c r="BK1996" s="525"/>
      <c r="BL1996" s="525"/>
      <c r="BM1996" s="525"/>
      <c r="BN1996" s="509"/>
      <c r="BO1996" s="509"/>
      <c r="BP1996" s="509"/>
      <c r="BQ1996" s="509"/>
      <c r="BR1996" s="509"/>
      <c r="BS1996" s="509"/>
      <c r="BT1996" s="509"/>
      <c r="BU1996" s="509"/>
      <c r="BV1996" s="509"/>
      <c r="BW1996" s="509"/>
      <c r="BX1996" s="509"/>
      <c r="BY1996" s="509"/>
    </row>
    <row r="1997" spans="47:77">
      <c r="AU1997" s="83"/>
      <c r="AV1997" s="83"/>
      <c r="AW1997" s="83"/>
      <c r="AX1997" s="83"/>
      <c r="AY1997" s="83"/>
      <c r="AZ1997" s="525"/>
      <c r="BA1997" s="525"/>
      <c r="BB1997" s="525"/>
      <c r="BC1997" s="525"/>
      <c r="BD1997" s="525"/>
      <c r="BE1997" s="525"/>
      <c r="BF1997" s="525"/>
      <c r="BG1997" s="525"/>
      <c r="BH1997" s="525"/>
      <c r="BI1997" s="525"/>
      <c r="BJ1997" s="525"/>
      <c r="BK1997" s="525"/>
      <c r="BL1997" s="525"/>
      <c r="BM1997" s="525"/>
      <c r="BN1997" s="509"/>
      <c r="BO1997" s="509"/>
      <c r="BP1997" s="509"/>
      <c r="BQ1997" s="509"/>
      <c r="BR1997" s="509"/>
      <c r="BS1997" s="509"/>
      <c r="BT1997" s="509"/>
      <c r="BU1997" s="509"/>
      <c r="BV1997" s="509"/>
      <c r="BW1997" s="509"/>
      <c r="BX1997" s="509"/>
      <c r="BY1997" s="509"/>
    </row>
    <row r="1998" spans="47:77">
      <c r="AU1998" s="83"/>
      <c r="AV1998" s="83"/>
      <c r="AW1998" s="83"/>
      <c r="AX1998" s="83"/>
      <c r="AY1998" s="83"/>
      <c r="AZ1998" s="525"/>
      <c r="BA1998" s="525"/>
      <c r="BB1998" s="525"/>
      <c r="BC1998" s="525"/>
      <c r="BD1998" s="525"/>
      <c r="BE1998" s="525"/>
      <c r="BF1998" s="525"/>
      <c r="BG1998" s="525"/>
      <c r="BH1998" s="525"/>
      <c r="BI1998" s="525"/>
      <c r="BJ1998" s="525"/>
      <c r="BK1998" s="525"/>
      <c r="BL1998" s="525"/>
      <c r="BM1998" s="525"/>
      <c r="BN1998" s="509"/>
      <c r="BO1998" s="509"/>
      <c r="BP1998" s="509"/>
      <c r="BQ1998" s="509"/>
      <c r="BR1998" s="509"/>
      <c r="BS1998" s="509"/>
      <c r="BT1998" s="509"/>
      <c r="BU1998" s="509"/>
      <c r="BV1998" s="509"/>
      <c r="BW1998" s="509"/>
      <c r="BX1998" s="509"/>
      <c r="BY1998" s="509"/>
    </row>
    <row r="1999" spans="47:77">
      <c r="AU1999" s="83"/>
      <c r="AV1999" s="83"/>
      <c r="AW1999" s="83"/>
      <c r="AX1999" s="83"/>
      <c r="AY1999" s="83"/>
      <c r="AZ1999" s="525"/>
      <c r="BA1999" s="525"/>
      <c r="BB1999" s="525"/>
      <c r="BC1999" s="525"/>
      <c r="BD1999" s="525"/>
      <c r="BE1999" s="525"/>
      <c r="BF1999" s="525"/>
      <c r="BG1999" s="525"/>
      <c r="BH1999" s="525"/>
      <c r="BI1999" s="525"/>
      <c r="BJ1999" s="525"/>
      <c r="BK1999" s="525"/>
      <c r="BL1999" s="525"/>
      <c r="BM1999" s="525"/>
      <c r="BN1999" s="509"/>
      <c r="BO1999" s="509"/>
      <c r="BP1999" s="509"/>
      <c r="BQ1999" s="509"/>
      <c r="BR1999" s="509"/>
      <c r="BS1999" s="509"/>
      <c r="BT1999" s="509"/>
      <c r="BU1999" s="509"/>
      <c r="BV1999" s="509"/>
      <c r="BW1999" s="509"/>
      <c r="BX1999" s="509"/>
      <c r="BY1999" s="509"/>
    </row>
    <row r="2000" spans="47:77">
      <c r="AU2000" s="83"/>
      <c r="AV2000" s="83"/>
      <c r="AW2000" s="83"/>
      <c r="AX2000" s="83"/>
      <c r="AY2000" s="83"/>
      <c r="AZ2000" s="525"/>
      <c r="BA2000" s="525"/>
      <c r="BB2000" s="525"/>
      <c r="BC2000" s="525"/>
      <c r="BD2000" s="525"/>
      <c r="BE2000" s="525"/>
      <c r="BF2000" s="525"/>
      <c r="BG2000" s="525"/>
      <c r="BH2000" s="525"/>
      <c r="BI2000" s="525"/>
      <c r="BJ2000" s="525"/>
      <c r="BK2000" s="525"/>
      <c r="BL2000" s="525"/>
      <c r="BM2000" s="525"/>
      <c r="BN2000" s="509"/>
      <c r="BO2000" s="509"/>
      <c r="BP2000" s="509"/>
      <c r="BQ2000" s="509"/>
      <c r="BR2000" s="509"/>
      <c r="BS2000" s="509"/>
      <c r="BT2000" s="509"/>
      <c r="BU2000" s="509"/>
      <c r="BV2000" s="509"/>
      <c r="BW2000" s="509"/>
      <c r="BX2000" s="509"/>
      <c r="BY2000" s="509"/>
    </row>
    <row r="2001" spans="47:77">
      <c r="AU2001" s="83"/>
      <c r="AV2001" s="83"/>
      <c r="AW2001" s="83"/>
      <c r="AX2001" s="83"/>
      <c r="AY2001" s="83"/>
      <c r="AZ2001" s="525"/>
      <c r="BA2001" s="525"/>
      <c r="BB2001" s="525"/>
      <c r="BC2001" s="525"/>
      <c r="BD2001" s="525"/>
      <c r="BE2001" s="525"/>
      <c r="BF2001" s="525"/>
      <c r="BG2001" s="525"/>
      <c r="BH2001" s="525"/>
      <c r="BI2001" s="525"/>
      <c r="BJ2001" s="525"/>
      <c r="BK2001" s="525"/>
      <c r="BL2001" s="525"/>
      <c r="BM2001" s="525"/>
      <c r="BN2001" s="509"/>
      <c r="BO2001" s="509"/>
      <c r="BP2001" s="509"/>
      <c r="BQ2001" s="509"/>
      <c r="BR2001" s="509"/>
      <c r="BS2001" s="509"/>
      <c r="BT2001" s="509"/>
      <c r="BU2001" s="509"/>
      <c r="BV2001" s="509"/>
      <c r="BW2001" s="509"/>
      <c r="BX2001" s="509"/>
      <c r="BY2001" s="509"/>
    </row>
    <row r="2002" spans="47:77">
      <c r="AU2002" s="83"/>
      <c r="AV2002" s="83"/>
      <c r="AW2002" s="83"/>
      <c r="AX2002" s="83"/>
      <c r="AY2002" s="83"/>
      <c r="AZ2002" s="525"/>
      <c r="BA2002" s="525"/>
      <c r="BB2002" s="525"/>
      <c r="BC2002" s="525"/>
      <c r="BD2002" s="525"/>
      <c r="BE2002" s="525"/>
      <c r="BF2002" s="525"/>
      <c r="BG2002" s="525"/>
      <c r="BH2002" s="525"/>
      <c r="BI2002" s="525"/>
      <c r="BJ2002" s="525"/>
      <c r="BK2002" s="525"/>
      <c r="BL2002" s="525"/>
      <c r="BM2002" s="525"/>
      <c r="BN2002" s="509"/>
      <c r="BO2002" s="509"/>
      <c r="BP2002" s="509"/>
      <c r="BQ2002" s="509"/>
      <c r="BR2002" s="509"/>
      <c r="BS2002" s="509"/>
      <c r="BT2002" s="509"/>
      <c r="BU2002" s="509"/>
      <c r="BV2002" s="509"/>
      <c r="BW2002" s="509"/>
      <c r="BX2002" s="509"/>
      <c r="BY2002" s="509"/>
    </row>
    <row r="2003" spans="47:77">
      <c r="AU2003" s="83"/>
      <c r="AV2003" s="83"/>
      <c r="AW2003" s="83"/>
      <c r="AX2003" s="83"/>
      <c r="AY2003" s="83"/>
      <c r="AZ2003" s="525"/>
      <c r="BA2003" s="525"/>
      <c r="BB2003" s="525"/>
      <c r="BC2003" s="525"/>
      <c r="BD2003" s="525"/>
      <c r="BE2003" s="525"/>
      <c r="BF2003" s="525"/>
      <c r="BG2003" s="525"/>
      <c r="BH2003" s="525"/>
      <c r="BI2003" s="525"/>
      <c r="BJ2003" s="525"/>
      <c r="BK2003" s="525"/>
      <c r="BL2003" s="525"/>
      <c r="BM2003" s="525"/>
      <c r="BN2003" s="509"/>
      <c r="BO2003" s="509"/>
      <c r="BP2003" s="509"/>
      <c r="BQ2003" s="509"/>
      <c r="BR2003" s="509"/>
      <c r="BS2003" s="509"/>
      <c r="BT2003" s="509"/>
      <c r="BU2003" s="509"/>
      <c r="BV2003" s="509"/>
      <c r="BW2003" s="509"/>
      <c r="BX2003" s="509"/>
      <c r="BY2003" s="509"/>
    </row>
    <row r="2004" spans="47:77">
      <c r="AU2004" s="83"/>
      <c r="AV2004" s="83"/>
      <c r="AW2004" s="83"/>
      <c r="AX2004" s="83"/>
      <c r="AY2004" s="83"/>
      <c r="AZ2004" s="525"/>
      <c r="BA2004" s="525"/>
      <c r="BB2004" s="525"/>
      <c r="BC2004" s="525"/>
      <c r="BD2004" s="525"/>
      <c r="BE2004" s="525"/>
      <c r="BF2004" s="525"/>
      <c r="BG2004" s="525"/>
      <c r="BH2004" s="525"/>
      <c r="BI2004" s="525"/>
      <c r="BJ2004" s="525"/>
      <c r="BK2004" s="525"/>
      <c r="BL2004" s="525"/>
      <c r="BM2004" s="525"/>
      <c r="BN2004" s="509"/>
      <c r="BO2004" s="509"/>
      <c r="BP2004" s="509"/>
      <c r="BQ2004" s="509"/>
      <c r="BR2004" s="509"/>
      <c r="BS2004" s="509"/>
      <c r="BT2004" s="509"/>
      <c r="BU2004" s="509"/>
      <c r="BV2004" s="509"/>
      <c r="BW2004" s="509"/>
      <c r="BX2004" s="509"/>
      <c r="BY2004" s="509"/>
    </row>
    <row r="2005" spans="47:77">
      <c r="AU2005" s="83"/>
      <c r="AV2005" s="83"/>
      <c r="AW2005" s="83"/>
      <c r="AX2005" s="83"/>
      <c r="AY2005" s="83"/>
      <c r="AZ2005" s="525"/>
      <c r="BA2005" s="525"/>
      <c r="BB2005" s="525"/>
      <c r="BC2005" s="525"/>
      <c r="BD2005" s="525"/>
      <c r="BE2005" s="525"/>
      <c r="BF2005" s="525"/>
      <c r="BG2005" s="525"/>
      <c r="BH2005" s="525"/>
      <c r="BI2005" s="525"/>
      <c r="BJ2005" s="525"/>
      <c r="BK2005" s="525"/>
      <c r="BL2005" s="525"/>
      <c r="BM2005" s="525"/>
      <c r="BN2005" s="509"/>
      <c r="BO2005" s="509"/>
      <c r="BP2005" s="509"/>
      <c r="BQ2005" s="509"/>
      <c r="BR2005" s="509"/>
      <c r="BS2005" s="509"/>
      <c r="BT2005" s="509"/>
      <c r="BU2005" s="509"/>
      <c r="BV2005" s="509"/>
      <c r="BW2005" s="509"/>
      <c r="BX2005" s="509"/>
      <c r="BY2005" s="509"/>
    </row>
    <row r="2006" spans="47:77">
      <c r="AU2006" s="83"/>
      <c r="AV2006" s="83"/>
      <c r="AW2006" s="83"/>
      <c r="AX2006" s="83"/>
      <c r="AY2006" s="83"/>
      <c r="AZ2006" s="525"/>
      <c r="BA2006" s="525"/>
      <c r="BB2006" s="525"/>
      <c r="BC2006" s="525"/>
      <c r="BD2006" s="525"/>
      <c r="BE2006" s="525"/>
      <c r="BF2006" s="525"/>
      <c r="BG2006" s="525"/>
      <c r="BH2006" s="525"/>
      <c r="BI2006" s="525"/>
      <c r="BJ2006" s="525"/>
      <c r="BK2006" s="525"/>
      <c r="BL2006" s="525"/>
      <c r="BM2006" s="525"/>
      <c r="BN2006" s="509"/>
      <c r="BO2006" s="509"/>
      <c r="BP2006" s="509"/>
      <c r="BQ2006" s="509"/>
      <c r="BR2006" s="509"/>
      <c r="BS2006" s="509"/>
      <c r="BT2006" s="509"/>
      <c r="BU2006" s="509"/>
      <c r="BV2006" s="509"/>
      <c r="BW2006" s="509"/>
      <c r="BX2006" s="509"/>
      <c r="BY2006" s="509"/>
    </row>
    <row r="2007" spans="47:77">
      <c r="AU2007" s="83"/>
      <c r="AV2007" s="83"/>
      <c r="AW2007" s="83"/>
      <c r="AX2007" s="83"/>
      <c r="AY2007" s="83"/>
      <c r="AZ2007" s="525"/>
      <c r="BA2007" s="525"/>
      <c r="BB2007" s="525"/>
      <c r="BC2007" s="525"/>
      <c r="BD2007" s="525"/>
      <c r="BE2007" s="525"/>
      <c r="BF2007" s="525"/>
      <c r="BG2007" s="525"/>
      <c r="BH2007" s="525"/>
      <c r="BI2007" s="525"/>
      <c r="BJ2007" s="525"/>
      <c r="BK2007" s="525"/>
      <c r="BL2007" s="525"/>
      <c r="BM2007" s="525"/>
      <c r="BN2007" s="509"/>
      <c r="BO2007" s="509"/>
      <c r="BP2007" s="509"/>
      <c r="BQ2007" s="509"/>
      <c r="BR2007" s="509"/>
      <c r="BS2007" s="509"/>
      <c r="BT2007" s="509"/>
      <c r="BU2007" s="509"/>
      <c r="BV2007" s="509"/>
      <c r="BW2007" s="509"/>
      <c r="BX2007" s="509"/>
      <c r="BY2007" s="509"/>
    </row>
    <row r="2008" spans="47:77">
      <c r="AU2008" s="83"/>
      <c r="AV2008" s="83"/>
      <c r="AW2008" s="83"/>
      <c r="AX2008" s="83"/>
      <c r="AY2008" s="83"/>
      <c r="AZ2008" s="525"/>
      <c r="BA2008" s="525"/>
      <c r="BB2008" s="525"/>
      <c r="BC2008" s="525"/>
      <c r="BD2008" s="525"/>
      <c r="BE2008" s="525"/>
      <c r="BF2008" s="525"/>
      <c r="BG2008" s="525"/>
      <c r="BH2008" s="525"/>
      <c r="BI2008" s="525"/>
      <c r="BJ2008" s="525"/>
      <c r="BK2008" s="525"/>
      <c r="BL2008" s="525"/>
      <c r="BM2008" s="525"/>
      <c r="BN2008" s="509"/>
      <c r="BO2008" s="509"/>
      <c r="BP2008" s="509"/>
      <c r="BQ2008" s="509"/>
      <c r="BR2008" s="509"/>
      <c r="BS2008" s="509"/>
      <c r="BT2008" s="509"/>
      <c r="BU2008" s="509"/>
      <c r="BV2008" s="509"/>
      <c r="BW2008" s="509"/>
      <c r="BX2008" s="509"/>
      <c r="BY2008" s="509"/>
    </row>
    <row r="2009" spans="47:77">
      <c r="AU2009" s="83"/>
      <c r="AV2009" s="83"/>
      <c r="AW2009" s="83"/>
      <c r="AX2009" s="83"/>
      <c r="AY2009" s="83"/>
      <c r="AZ2009" s="525"/>
      <c r="BA2009" s="525"/>
      <c r="BB2009" s="525"/>
      <c r="BC2009" s="525"/>
      <c r="BD2009" s="525"/>
      <c r="BE2009" s="525"/>
      <c r="BF2009" s="525"/>
      <c r="BG2009" s="525"/>
      <c r="BH2009" s="525"/>
      <c r="BI2009" s="525"/>
      <c r="BJ2009" s="525"/>
      <c r="BK2009" s="525"/>
      <c r="BL2009" s="525"/>
      <c r="BM2009" s="525"/>
      <c r="BN2009" s="509"/>
      <c r="BO2009" s="509"/>
      <c r="BP2009" s="509"/>
      <c r="BQ2009" s="509"/>
      <c r="BR2009" s="509"/>
      <c r="BS2009" s="509"/>
      <c r="BT2009" s="509"/>
      <c r="BU2009" s="509"/>
      <c r="BV2009" s="509"/>
      <c r="BW2009" s="509"/>
      <c r="BX2009" s="509"/>
      <c r="BY2009" s="509"/>
    </row>
    <row r="2010" spans="47:77">
      <c r="AU2010" s="83"/>
      <c r="AV2010" s="83"/>
      <c r="AW2010" s="83"/>
      <c r="AX2010" s="83"/>
      <c r="AY2010" s="83"/>
      <c r="AZ2010" s="525"/>
      <c r="BA2010" s="525"/>
      <c r="BB2010" s="525"/>
      <c r="BC2010" s="525"/>
      <c r="BD2010" s="525"/>
      <c r="BE2010" s="525"/>
      <c r="BF2010" s="525"/>
      <c r="BG2010" s="525"/>
      <c r="BH2010" s="525"/>
      <c r="BI2010" s="525"/>
      <c r="BJ2010" s="525"/>
      <c r="BK2010" s="525"/>
      <c r="BL2010" s="525"/>
      <c r="BM2010" s="525"/>
      <c r="BN2010" s="509"/>
      <c r="BO2010" s="509"/>
      <c r="BP2010" s="509"/>
      <c r="BQ2010" s="509"/>
      <c r="BR2010" s="509"/>
      <c r="BS2010" s="509"/>
      <c r="BT2010" s="509"/>
      <c r="BU2010" s="509"/>
      <c r="BV2010" s="509"/>
      <c r="BW2010" s="509"/>
      <c r="BX2010" s="509"/>
      <c r="BY2010" s="509"/>
    </row>
    <row r="2011" spans="47:77">
      <c r="AU2011" s="83"/>
      <c r="AV2011" s="83"/>
      <c r="AW2011" s="83"/>
      <c r="AX2011" s="83"/>
      <c r="AY2011" s="83"/>
      <c r="AZ2011" s="525"/>
      <c r="BA2011" s="525"/>
      <c r="BB2011" s="525"/>
      <c r="BC2011" s="525"/>
      <c r="BD2011" s="525"/>
      <c r="BE2011" s="525"/>
      <c r="BF2011" s="525"/>
      <c r="BG2011" s="525"/>
      <c r="BH2011" s="525"/>
      <c r="BI2011" s="525"/>
      <c r="BJ2011" s="525"/>
      <c r="BK2011" s="525"/>
      <c r="BL2011" s="525"/>
      <c r="BM2011" s="525"/>
      <c r="BN2011" s="509"/>
      <c r="BO2011" s="509"/>
      <c r="BP2011" s="509"/>
      <c r="BQ2011" s="509"/>
      <c r="BR2011" s="509"/>
      <c r="BS2011" s="509"/>
      <c r="BT2011" s="509"/>
      <c r="BU2011" s="509"/>
      <c r="BV2011" s="509"/>
      <c r="BW2011" s="509"/>
      <c r="BX2011" s="509"/>
      <c r="BY2011" s="509"/>
    </row>
    <row r="2012" spans="47:77">
      <c r="AU2012" s="83"/>
      <c r="AV2012" s="83"/>
      <c r="AW2012" s="83"/>
      <c r="AX2012" s="83"/>
      <c r="AY2012" s="83"/>
      <c r="AZ2012" s="525"/>
      <c r="BA2012" s="525"/>
      <c r="BB2012" s="525"/>
      <c r="BC2012" s="525"/>
      <c r="BD2012" s="525"/>
      <c r="BE2012" s="525"/>
      <c r="BF2012" s="525"/>
      <c r="BG2012" s="525"/>
      <c r="BH2012" s="525"/>
      <c r="BI2012" s="525"/>
      <c r="BJ2012" s="525"/>
      <c r="BK2012" s="525"/>
      <c r="BL2012" s="525"/>
      <c r="BM2012" s="525"/>
      <c r="BN2012" s="509"/>
      <c r="BO2012" s="509"/>
      <c r="BP2012" s="509"/>
      <c r="BQ2012" s="509"/>
      <c r="BR2012" s="509"/>
      <c r="BS2012" s="509"/>
      <c r="BT2012" s="509"/>
      <c r="BU2012" s="509"/>
      <c r="BV2012" s="509"/>
      <c r="BW2012" s="509"/>
      <c r="BX2012" s="509"/>
      <c r="BY2012" s="509"/>
    </row>
    <row r="2013" spans="47:77">
      <c r="AU2013" s="83"/>
      <c r="AV2013" s="83"/>
      <c r="AW2013" s="83"/>
      <c r="AX2013" s="83"/>
      <c r="AY2013" s="83"/>
      <c r="AZ2013" s="525"/>
      <c r="BA2013" s="525"/>
      <c r="BB2013" s="525"/>
      <c r="BC2013" s="525"/>
      <c r="BD2013" s="525"/>
      <c r="BE2013" s="525"/>
      <c r="BF2013" s="525"/>
      <c r="BG2013" s="525"/>
      <c r="BH2013" s="525"/>
      <c r="BI2013" s="525"/>
      <c r="BJ2013" s="525"/>
      <c r="BK2013" s="525"/>
      <c r="BL2013" s="525"/>
      <c r="BM2013" s="525"/>
      <c r="BN2013" s="509"/>
      <c r="BO2013" s="509"/>
      <c r="BP2013" s="509"/>
      <c r="BQ2013" s="509"/>
      <c r="BR2013" s="509"/>
      <c r="BS2013" s="509"/>
      <c r="BT2013" s="509"/>
      <c r="BU2013" s="509"/>
      <c r="BV2013" s="509"/>
      <c r="BW2013" s="509"/>
      <c r="BX2013" s="509"/>
      <c r="BY2013" s="509"/>
    </row>
    <row r="2014" spans="47:77">
      <c r="AU2014" s="83"/>
      <c r="AV2014" s="83"/>
      <c r="AW2014" s="83"/>
      <c r="AX2014" s="83"/>
      <c r="AY2014" s="83"/>
      <c r="AZ2014" s="525"/>
      <c r="BA2014" s="525"/>
      <c r="BB2014" s="525"/>
      <c r="BC2014" s="525"/>
      <c r="BD2014" s="525"/>
      <c r="BE2014" s="525"/>
      <c r="BF2014" s="525"/>
      <c r="BG2014" s="525"/>
      <c r="BH2014" s="525"/>
      <c r="BI2014" s="525"/>
      <c r="BJ2014" s="525"/>
      <c r="BK2014" s="525"/>
      <c r="BL2014" s="525"/>
      <c r="BM2014" s="525"/>
      <c r="BN2014" s="509"/>
      <c r="BO2014" s="509"/>
      <c r="BP2014" s="509"/>
      <c r="BQ2014" s="509"/>
      <c r="BR2014" s="509"/>
      <c r="BS2014" s="509"/>
      <c r="BT2014" s="509"/>
      <c r="BU2014" s="509"/>
      <c r="BV2014" s="509"/>
      <c r="BW2014" s="509"/>
      <c r="BX2014" s="509"/>
      <c r="BY2014" s="509"/>
    </row>
    <row r="2015" spans="47:77">
      <c r="AU2015" s="83"/>
      <c r="AV2015" s="83"/>
      <c r="AW2015" s="83"/>
      <c r="AX2015" s="83"/>
      <c r="AY2015" s="83"/>
      <c r="AZ2015" s="525"/>
      <c r="BA2015" s="525"/>
      <c r="BB2015" s="525"/>
      <c r="BC2015" s="525"/>
      <c r="BD2015" s="525"/>
      <c r="BE2015" s="525"/>
      <c r="BF2015" s="525"/>
      <c r="BG2015" s="525"/>
      <c r="BH2015" s="525"/>
      <c r="BI2015" s="525"/>
      <c r="BJ2015" s="525"/>
      <c r="BK2015" s="525"/>
      <c r="BL2015" s="525"/>
      <c r="BM2015" s="525"/>
      <c r="BN2015" s="509"/>
      <c r="BO2015" s="509"/>
      <c r="BP2015" s="509"/>
      <c r="BQ2015" s="509"/>
      <c r="BR2015" s="509"/>
      <c r="BS2015" s="509"/>
      <c r="BT2015" s="509"/>
      <c r="BU2015" s="509"/>
      <c r="BV2015" s="509"/>
      <c r="BW2015" s="509"/>
      <c r="BX2015" s="509"/>
      <c r="BY2015" s="509"/>
    </row>
    <row r="2016" spans="47:77">
      <c r="AU2016" s="83"/>
      <c r="AV2016" s="83"/>
      <c r="AW2016" s="83"/>
      <c r="AX2016" s="83"/>
      <c r="AY2016" s="83"/>
      <c r="AZ2016" s="525"/>
      <c r="BA2016" s="525"/>
      <c r="BB2016" s="525"/>
      <c r="BC2016" s="525"/>
      <c r="BD2016" s="525"/>
      <c r="BE2016" s="525"/>
      <c r="BF2016" s="525"/>
      <c r="BG2016" s="525"/>
      <c r="BH2016" s="525"/>
      <c r="BI2016" s="525"/>
      <c r="BJ2016" s="525"/>
      <c r="BK2016" s="525"/>
      <c r="BL2016" s="525"/>
      <c r="BM2016" s="525"/>
      <c r="BN2016" s="509"/>
      <c r="BO2016" s="509"/>
      <c r="BP2016" s="509"/>
      <c r="BQ2016" s="509"/>
      <c r="BR2016" s="509"/>
      <c r="BS2016" s="509"/>
      <c r="BT2016" s="509"/>
      <c r="BU2016" s="509"/>
      <c r="BV2016" s="509"/>
      <c r="BW2016" s="509"/>
      <c r="BX2016" s="509"/>
      <c r="BY2016" s="509"/>
    </row>
    <row r="2017" spans="47:77">
      <c r="AU2017" s="83"/>
      <c r="AV2017" s="83"/>
      <c r="AW2017" s="83"/>
      <c r="AX2017" s="83"/>
      <c r="AY2017" s="83"/>
      <c r="AZ2017" s="525"/>
      <c r="BA2017" s="525"/>
      <c r="BB2017" s="525"/>
      <c r="BC2017" s="525"/>
      <c r="BD2017" s="525"/>
      <c r="BE2017" s="525"/>
      <c r="BF2017" s="525"/>
      <c r="BG2017" s="525"/>
      <c r="BH2017" s="525"/>
      <c r="BI2017" s="525"/>
      <c r="BJ2017" s="525"/>
      <c r="BK2017" s="525"/>
      <c r="BL2017" s="525"/>
      <c r="BM2017" s="525"/>
      <c r="BN2017" s="509"/>
      <c r="BO2017" s="509"/>
      <c r="BP2017" s="509"/>
      <c r="BQ2017" s="509"/>
      <c r="BR2017" s="509"/>
      <c r="BS2017" s="509"/>
      <c r="BT2017" s="509"/>
      <c r="BU2017" s="509"/>
      <c r="BV2017" s="509"/>
      <c r="BW2017" s="509"/>
      <c r="BX2017" s="509"/>
      <c r="BY2017" s="509"/>
    </row>
    <row r="2018" spans="47:77">
      <c r="AU2018" s="83"/>
      <c r="AV2018" s="83"/>
      <c r="AW2018" s="83"/>
      <c r="AX2018" s="83"/>
      <c r="AY2018" s="83"/>
      <c r="AZ2018" s="525"/>
      <c r="BA2018" s="525"/>
      <c r="BB2018" s="525"/>
      <c r="BC2018" s="525"/>
      <c r="BD2018" s="525"/>
      <c r="BE2018" s="525"/>
      <c r="BF2018" s="525"/>
      <c r="BG2018" s="525"/>
      <c r="BH2018" s="525"/>
      <c r="BI2018" s="525"/>
      <c r="BJ2018" s="525"/>
      <c r="BK2018" s="525"/>
      <c r="BL2018" s="525"/>
      <c r="BM2018" s="525"/>
      <c r="BN2018" s="509"/>
      <c r="BO2018" s="509"/>
      <c r="BP2018" s="509"/>
      <c r="BQ2018" s="509"/>
      <c r="BR2018" s="509"/>
      <c r="BS2018" s="509"/>
      <c r="BT2018" s="509"/>
      <c r="BU2018" s="509"/>
      <c r="BV2018" s="509"/>
      <c r="BW2018" s="509"/>
      <c r="BX2018" s="509"/>
      <c r="BY2018" s="509"/>
    </row>
    <row r="2019" spans="47:77">
      <c r="AU2019" s="83"/>
      <c r="AV2019" s="83"/>
      <c r="AW2019" s="83"/>
      <c r="AX2019" s="83"/>
      <c r="AY2019" s="83"/>
      <c r="AZ2019" s="525"/>
      <c r="BA2019" s="525"/>
      <c r="BB2019" s="525"/>
      <c r="BC2019" s="525"/>
      <c r="BD2019" s="525"/>
      <c r="BE2019" s="525"/>
      <c r="BF2019" s="525"/>
      <c r="BG2019" s="525"/>
      <c r="BH2019" s="525"/>
      <c r="BI2019" s="525"/>
      <c r="BJ2019" s="525"/>
      <c r="BK2019" s="525"/>
      <c r="BL2019" s="525"/>
      <c r="BM2019" s="525"/>
      <c r="BN2019" s="509"/>
      <c r="BO2019" s="509"/>
      <c r="BP2019" s="509"/>
      <c r="BQ2019" s="509"/>
      <c r="BR2019" s="509"/>
      <c r="BS2019" s="509"/>
      <c r="BT2019" s="509"/>
      <c r="BU2019" s="509"/>
      <c r="BV2019" s="509"/>
      <c r="BW2019" s="509"/>
      <c r="BX2019" s="509"/>
      <c r="BY2019" s="509"/>
    </row>
    <row r="2020" spans="47:77">
      <c r="AU2020" s="83"/>
      <c r="AV2020" s="83"/>
      <c r="AW2020" s="83"/>
      <c r="AX2020" s="83"/>
      <c r="AY2020" s="83"/>
      <c r="AZ2020" s="525"/>
      <c r="BA2020" s="525"/>
      <c r="BB2020" s="525"/>
      <c r="BC2020" s="525"/>
      <c r="BD2020" s="525"/>
      <c r="BE2020" s="525"/>
      <c r="BF2020" s="525"/>
      <c r="BG2020" s="525"/>
      <c r="BH2020" s="525"/>
      <c r="BI2020" s="525"/>
      <c r="BJ2020" s="525"/>
      <c r="BK2020" s="525"/>
      <c r="BL2020" s="525"/>
      <c r="BM2020" s="525"/>
      <c r="BN2020" s="509"/>
      <c r="BO2020" s="509"/>
      <c r="BP2020" s="509"/>
      <c r="BQ2020" s="509"/>
      <c r="BR2020" s="509"/>
      <c r="BS2020" s="509"/>
      <c r="BT2020" s="509"/>
      <c r="BU2020" s="509"/>
      <c r="BV2020" s="509"/>
      <c r="BW2020" s="509"/>
      <c r="BX2020" s="509"/>
      <c r="BY2020" s="509"/>
    </row>
    <row r="2021" spans="47:77">
      <c r="AU2021" s="83"/>
      <c r="AV2021" s="83"/>
      <c r="AW2021" s="83"/>
      <c r="AX2021" s="83"/>
      <c r="AY2021" s="83"/>
      <c r="AZ2021" s="525"/>
      <c r="BA2021" s="525"/>
      <c r="BB2021" s="525"/>
      <c r="BC2021" s="525"/>
      <c r="BD2021" s="525"/>
      <c r="BE2021" s="525"/>
      <c r="BF2021" s="525"/>
      <c r="BG2021" s="525"/>
      <c r="BH2021" s="525"/>
      <c r="BI2021" s="525"/>
      <c r="BJ2021" s="525"/>
      <c r="BK2021" s="525"/>
      <c r="BL2021" s="525"/>
      <c r="BM2021" s="525"/>
      <c r="BN2021" s="509"/>
      <c r="BO2021" s="509"/>
      <c r="BP2021" s="509"/>
      <c r="BQ2021" s="509"/>
      <c r="BR2021" s="509"/>
      <c r="BS2021" s="509"/>
      <c r="BT2021" s="509"/>
      <c r="BU2021" s="509"/>
      <c r="BV2021" s="509"/>
      <c r="BW2021" s="509"/>
      <c r="BX2021" s="509"/>
      <c r="BY2021" s="509"/>
    </row>
    <row r="2022" spans="47:77">
      <c r="AU2022" s="83"/>
      <c r="AV2022" s="83"/>
      <c r="AW2022" s="83"/>
      <c r="AX2022" s="83"/>
      <c r="AY2022" s="83"/>
      <c r="AZ2022" s="525"/>
      <c r="BA2022" s="525"/>
      <c r="BB2022" s="525"/>
      <c r="BC2022" s="525"/>
      <c r="BD2022" s="525"/>
      <c r="BE2022" s="525"/>
      <c r="BF2022" s="525"/>
      <c r="BG2022" s="525"/>
      <c r="BH2022" s="525"/>
      <c r="BI2022" s="525"/>
      <c r="BJ2022" s="525"/>
      <c r="BK2022" s="525"/>
      <c r="BL2022" s="525"/>
      <c r="BM2022" s="525"/>
      <c r="BN2022" s="509"/>
      <c r="BO2022" s="509"/>
      <c r="BP2022" s="509"/>
      <c r="BQ2022" s="509"/>
      <c r="BR2022" s="509"/>
      <c r="BS2022" s="509"/>
      <c r="BT2022" s="509"/>
      <c r="BU2022" s="509"/>
      <c r="BV2022" s="509"/>
      <c r="BW2022" s="509"/>
      <c r="BX2022" s="509"/>
      <c r="BY2022" s="509"/>
    </row>
    <row r="2023" spans="47:77">
      <c r="AU2023" s="83"/>
      <c r="AV2023" s="83"/>
      <c r="AW2023" s="83"/>
      <c r="AX2023" s="83"/>
      <c r="AY2023" s="83"/>
      <c r="AZ2023" s="525"/>
      <c r="BA2023" s="525"/>
      <c r="BB2023" s="525"/>
      <c r="BC2023" s="525"/>
      <c r="BD2023" s="525"/>
      <c r="BE2023" s="525"/>
      <c r="BF2023" s="525"/>
      <c r="BG2023" s="525"/>
      <c r="BH2023" s="525"/>
      <c r="BI2023" s="525"/>
      <c r="BJ2023" s="525"/>
      <c r="BK2023" s="525"/>
      <c r="BL2023" s="525"/>
      <c r="BM2023" s="525"/>
      <c r="BN2023" s="509"/>
      <c r="BO2023" s="509"/>
      <c r="BP2023" s="509"/>
      <c r="BQ2023" s="509"/>
      <c r="BR2023" s="509"/>
      <c r="BS2023" s="509"/>
      <c r="BT2023" s="509"/>
      <c r="BU2023" s="509"/>
      <c r="BV2023" s="509"/>
      <c r="BW2023" s="509"/>
      <c r="BX2023" s="509"/>
      <c r="BY2023" s="509"/>
    </row>
    <row r="2024" spans="47:77">
      <c r="AU2024" s="83"/>
      <c r="AV2024" s="83"/>
      <c r="AW2024" s="83"/>
      <c r="AX2024" s="83"/>
      <c r="AY2024" s="83"/>
      <c r="AZ2024" s="525"/>
      <c r="BA2024" s="525"/>
      <c r="BB2024" s="525"/>
      <c r="BC2024" s="525"/>
      <c r="BD2024" s="525"/>
      <c r="BE2024" s="525"/>
      <c r="BF2024" s="525"/>
      <c r="BG2024" s="525"/>
      <c r="BH2024" s="525"/>
      <c r="BI2024" s="525"/>
      <c r="BJ2024" s="525"/>
      <c r="BK2024" s="525"/>
      <c r="BL2024" s="525"/>
      <c r="BM2024" s="525"/>
      <c r="BN2024" s="509"/>
      <c r="BO2024" s="509"/>
      <c r="BP2024" s="509"/>
      <c r="BQ2024" s="509"/>
      <c r="BR2024" s="509"/>
      <c r="BS2024" s="509"/>
      <c r="BT2024" s="509"/>
      <c r="BU2024" s="509"/>
      <c r="BV2024" s="509"/>
      <c r="BW2024" s="509"/>
      <c r="BX2024" s="509"/>
      <c r="BY2024" s="509"/>
    </row>
    <row r="2025" spans="47:77">
      <c r="AU2025" s="83"/>
      <c r="AV2025" s="83"/>
      <c r="AW2025" s="83"/>
      <c r="AX2025" s="83"/>
      <c r="AY2025" s="83"/>
      <c r="AZ2025" s="525"/>
      <c r="BA2025" s="525"/>
      <c r="BB2025" s="525"/>
      <c r="BC2025" s="525"/>
      <c r="BD2025" s="525"/>
      <c r="BE2025" s="525"/>
      <c r="BF2025" s="525"/>
      <c r="BG2025" s="525"/>
      <c r="BH2025" s="525"/>
      <c r="BI2025" s="525"/>
      <c r="BJ2025" s="525"/>
      <c r="BK2025" s="525"/>
      <c r="BL2025" s="525"/>
      <c r="BM2025" s="525"/>
      <c r="BN2025" s="509"/>
      <c r="BO2025" s="509"/>
      <c r="BP2025" s="509"/>
      <c r="BQ2025" s="509"/>
      <c r="BR2025" s="509"/>
      <c r="BS2025" s="509"/>
      <c r="BT2025" s="509"/>
      <c r="BU2025" s="509"/>
      <c r="BV2025" s="509"/>
      <c r="BW2025" s="509"/>
      <c r="BX2025" s="509"/>
      <c r="BY2025" s="509"/>
    </row>
    <row r="2026" spans="47:77">
      <c r="AU2026" s="83"/>
      <c r="AV2026" s="83"/>
      <c r="AW2026" s="83"/>
      <c r="AX2026" s="83"/>
      <c r="AY2026" s="83"/>
      <c r="AZ2026" s="509"/>
      <c r="BA2026" s="509"/>
      <c r="BB2026" s="509"/>
      <c r="BC2026" s="509"/>
      <c r="BD2026" s="509"/>
      <c r="BE2026" s="509"/>
      <c r="BF2026" s="509"/>
      <c r="BG2026" s="509"/>
      <c r="BH2026" s="509"/>
      <c r="BI2026" s="509"/>
      <c r="BJ2026" s="509"/>
      <c r="BK2026" s="509"/>
      <c r="BL2026" s="509"/>
      <c r="BM2026" s="509"/>
      <c r="BN2026" s="509"/>
      <c r="BO2026" s="509"/>
      <c r="BP2026" s="509"/>
      <c r="BQ2026" s="509"/>
      <c r="BR2026" s="509"/>
      <c r="BS2026" s="509"/>
      <c r="BT2026" s="509"/>
      <c r="BU2026" s="509"/>
      <c r="BV2026" s="509"/>
      <c r="BW2026" s="509"/>
      <c r="BX2026" s="509"/>
      <c r="BY2026" s="509"/>
    </row>
    <row r="2027" spans="47:77">
      <c r="AU2027" s="83"/>
      <c r="AV2027" s="83"/>
      <c r="AW2027" s="83"/>
      <c r="AX2027" s="83"/>
      <c r="AY2027" s="83"/>
      <c r="AZ2027" s="83"/>
      <c r="BA2027" s="83"/>
      <c r="BB2027" s="83"/>
      <c r="BC2027" s="83"/>
      <c r="BD2027" s="83"/>
      <c r="BE2027" s="83"/>
      <c r="BF2027" s="83"/>
      <c r="BG2027" s="83"/>
      <c r="BH2027" s="83"/>
      <c r="BI2027" s="83"/>
      <c r="BJ2027" s="83"/>
      <c r="BK2027" s="83"/>
      <c r="BL2027" s="83"/>
      <c r="BM2027" s="83"/>
      <c r="BN2027" s="83"/>
      <c r="BO2027" s="83"/>
      <c r="BP2027" s="83"/>
      <c r="BQ2027" s="83"/>
      <c r="BR2027" s="83"/>
      <c r="BS2027" s="83"/>
      <c r="BT2027" s="83"/>
      <c r="BU2027" s="83"/>
      <c r="BV2027" s="83"/>
      <c r="BW2027" s="83"/>
      <c r="BX2027" s="83"/>
      <c r="BY2027" s="83"/>
    </row>
    <row r="2028" spans="47:77">
      <c r="AU2028" s="83"/>
      <c r="AV2028" s="83"/>
      <c r="AW2028" s="83"/>
      <c r="AX2028" s="83"/>
      <c r="AY2028" s="83"/>
      <c r="AZ2028" s="83"/>
      <c r="BA2028" s="83"/>
      <c r="BB2028" s="83"/>
      <c r="BC2028" s="83"/>
      <c r="BD2028" s="83"/>
      <c r="BE2028" s="83"/>
      <c r="BF2028" s="83"/>
      <c r="BG2028" s="83"/>
      <c r="BH2028" s="83"/>
      <c r="BI2028" s="83"/>
      <c r="BJ2028" s="83"/>
      <c r="BK2028" s="83"/>
      <c r="BL2028" s="83"/>
      <c r="BM2028" s="83"/>
      <c r="BN2028" s="83"/>
      <c r="BO2028" s="83"/>
      <c r="BP2028" s="83"/>
      <c r="BQ2028" s="83"/>
      <c r="BR2028" s="83"/>
      <c r="BS2028" s="83"/>
      <c r="BT2028" s="83"/>
      <c r="BU2028" s="83"/>
      <c r="BV2028" s="83"/>
      <c r="BW2028" s="83"/>
      <c r="BX2028" s="83"/>
      <c r="BY2028" s="83"/>
    </row>
    <row r="2029" spans="47:77">
      <c r="AU2029" s="83"/>
      <c r="AV2029" s="83"/>
      <c r="AW2029" s="83"/>
      <c r="AX2029" s="83"/>
      <c r="AY2029" s="83"/>
      <c r="AZ2029" s="83"/>
      <c r="BA2029" s="83"/>
      <c r="BB2029" s="83"/>
      <c r="BC2029" s="83"/>
      <c r="BD2029" s="83"/>
      <c r="BE2029" s="83"/>
      <c r="BF2029" s="83"/>
      <c r="BG2029" s="83"/>
      <c r="BH2029" s="83"/>
      <c r="BI2029" s="83"/>
      <c r="BJ2029" s="83"/>
      <c r="BK2029" s="83"/>
      <c r="BL2029" s="83"/>
      <c r="BM2029" s="83"/>
      <c r="BN2029" s="83"/>
      <c r="BO2029" s="83"/>
      <c r="BP2029" s="83"/>
      <c r="BQ2029" s="83"/>
      <c r="BR2029" s="83"/>
      <c r="BS2029" s="83"/>
      <c r="BT2029" s="83"/>
      <c r="BU2029" s="83"/>
      <c r="BV2029" s="83"/>
      <c r="BW2029" s="83"/>
      <c r="BX2029" s="83"/>
      <c r="BY2029" s="83"/>
    </row>
    <row r="2030" spans="47:77">
      <c r="AU2030" s="83"/>
      <c r="AV2030" s="83"/>
      <c r="AW2030" s="83"/>
      <c r="AX2030" s="83"/>
      <c r="AY2030" s="83"/>
      <c r="AZ2030" s="83"/>
      <c r="BA2030" s="83"/>
      <c r="BB2030" s="83"/>
      <c r="BC2030" s="83"/>
      <c r="BD2030" s="83"/>
      <c r="BE2030" s="83"/>
      <c r="BF2030" s="83"/>
      <c r="BG2030" s="83"/>
      <c r="BH2030" s="83"/>
      <c r="BI2030" s="83"/>
      <c r="BJ2030" s="83"/>
      <c r="BK2030" s="83"/>
      <c r="BL2030" s="83"/>
      <c r="BM2030" s="83"/>
      <c r="BN2030" s="83"/>
      <c r="BO2030" s="83"/>
      <c r="BP2030" s="83"/>
      <c r="BQ2030" s="83"/>
      <c r="BR2030" s="83"/>
      <c r="BS2030" s="83"/>
      <c r="BT2030" s="83"/>
      <c r="BU2030" s="83"/>
      <c r="BV2030" s="83"/>
      <c r="BW2030" s="83"/>
      <c r="BX2030" s="83"/>
      <c r="BY2030" s="83"/>
    </row>
    <row r="2031" spans="47:77">
      <c r="AU2031" s="83"/>
      <c r="AV2031" s="83"/>
      <c r="AW2031" s="83"/>
      <c r="AX2031" s="83"/>
      <c r="AY2031" s="83"/>
      <c r="AZ2031" s="83"/>
      <c r="BA2031" s="83"/>
      <c r="BB2031" s="83"/>
      <c r="BC2031" s="83"/>
      <c r="BD2031" s="83"/>
      <c r="BE2031" s="83"/>
      <c r="BF2031" s="83"/>
      <c r="BG2031" s="83"/>
      <c r="BH2031" s="83"/>
      <c r="BI2031" s="83"/>
      <c r="BJ2031" s="83"/>
      <c r="BK2031" s="83"/>
      <c r="BL2031" s="83"/>
      <c r="BM2031" s="83"/>
      <c r="BN2031" s="83"/>
      <c r="BO2031" s="83"/>
      <c r="BP2031" s="83"/>
      <c r="BQ2031" s="83"/>
      <c r="BR2031" s="83"/>
      <c r="BS2031" s="83"/>
      <c r="BT2031" s="83"/>
      <c r="BU2031" s="83"/>
      <c r="BV2031" s="83"/>
      <c r="BW2031" s="83"/>
      <c r="BX2031" s="83"/>
      <c r="BY2031" s="83"/>
    </row>
    <row r="2032" spans="47:77">
      <c r="AU2032" s="83"/>
      <c r="AV2032" s="83"/>
      <c r="AW2032" s="83"/>
      <c r="AX2032" s="83"/>
      <c r="AY2032" s="83"/>
      <c r="AZ2032" s="83"/>
      <c r="BA2032" s="83"/>
      <c r="BB2032" s="83"/>
      <c r="BC2032" s="83"/>
      <c r="BD2032" s="83"/>
      <c r="BE2032" s="83"/>
      <c r="BF2032" s="83"/>
      <c r="BG2032" s="83"/>
      <c r="BH2032" s="83"/>
      <c r="BI2032" s="83"/>
      <c r="BJ2032" s="83"/>
      <c r="BK2032" s="83"/>
      <c r="BL2032" s="83"/>
      <c r="BM2032" s="83"/>
      <c r="BN2032" s="83"/>
      <c r="BO2032" s="83"/>
      <c r="BP2032" s="83"/>
      <c r="BQ2032" s="83"/>
      <c r="BR2032" s="83"/>
      <c r="BS2032" s="83"/>
      <c r="BT2032" s="83"/>
      <c r="BU2032" s="83"/>
      <c r="BV2032" s="83"/>
      <c r="BW2032" s="83"/>
      <c r="BX2032" s="83"/>
      <c r="BY2032" s="83"/>
    </row>
    <row r="2033" spans="47:77">
      <c r="AU2033" s="83"/>
      <c r="AV2033" s="83"/>
      <c r="AW2033" s="83"/>
      <c r="AX2033" s="83"/>
      <c r="AY2033" s="83"/>
      <c r="AZ2033" s="83"/>
      <c r="BA2033" s="83"/>
      <c r="BB2033" s="83"/>
      <c r="BC2033" s="83"/>
      <c r="BD2033" s="83"/>
      <c r="BE2033" s="83"/>
      <c r="BF2033" s="83"/>
      <c r="BG2033" s="83"/>
      <c r="BH2033" s="83"/>
      <c r="BI2033" s="83"/>
      <c r="BJ2033" s="83"/>
      <c r="BK2033" s="83"/>
      <c r="BL2033" s="83"/>
      <c r="BM2033" s="83"/>
      <c r="BN2033" s="83"/>
      <c r="BO2033" s="83"/>
      <c r="BP2033" s="83"/>
      <c r="BQ2033" s="83"/>
      <c r="BR2033" s="83"/>
      <c r="BS2033" s="83"/>
      <c r="BT2033" s="83"/>
      <c r="BU2033" s="83"/>
      <c r="BV2033" s="83"/>
      <c r="BW2033" s="83"/>
      <c r="BX2033" s="83"/>
      <c r="BY2033" s="83"/>
    </row>
    <row r="2034" spans="47:77">
      <c r="AU2034" s="83"/>
      <c r="AV2034" s="83"/>
      <c r="AW2034" s="83"/>
      <c r="AX2034" s="83"/>
      <c r="AY2034" s="83"/>
      <c r="AZ2034" s="83"/>
      <c r="BA2034" s="83"/>
      <c r="BB2034" s="83"/>
      <c r="BC2034" s="83"/>
      <c r="BD2034" s="83"/>
      <c r="BE2034" s="83"/>
      <c r="BF2034" s="83"/>
      <c r="BG2034" s="83"/>
      <c r="BH2034" s="83"/>
      <c r="BI2034" s="83"/>
      <c r="BJ2034" s="83"/>
      <c r="BK2034" s="83"/>
      <c r="BL2034" s="83"/>
      <c r="BM2034" s="83"/>
      <c r="BN2034" s="83"/>
      <c r="BO2034" s="83"/>
      <c r="BP2034" s="83"/>
      <c r="BQ2034" s="83"/>
      <c r="BR2034" s="83"/>
      <c r="BS2034" s="83"/>
      <c r="BT2034" s="83"/>
      <c r="BU2034" s="83"/>
      <c r="BV2034" s="83"/>
      <c r="BW2034" s="83"/>
      <c r="BX2034" s="83"/>
      <c r="BY2034" s="83"/>
    </row>
    <row r="2035" spans="47:77">
      <c r="AU2035" s="83"/>
      <c r="AV2035" s="83"/>
      <c r="AW2035" s="83"/>
      <c r="AX2035" s="83"/>
      <c r="AY2035" s="83"/>
      <c r="AZ2035" s="83"/>
      <c r="BA2035" s="83"/>
      <c r="BB2035" s="83"/>
      <c r="BC2035" s="83"/>
      <c r="BD2035" s="83"/>
      <c r="BE2035" s="83"/>
      <c r="BF2035" s="83"/>
      <c r="BG2035" s="83"/>
      <c r="BH2035" s="83"/>
      <c r="BI2035" s="83"/>
      <c r="BJ2035" s="83"/>
      <c r="BK2035" s="83"/>
      <c r="BL2035" s="83"/>
      <c r="BM2035" s="83"/>
      <c r="BN2035" s="83"/>
      <c r="BO2035" s="83"/>
      <c r="BP2035" s="83"/>
      <c r="BQ2035" s="83"/>
      <c r="BR2035" s="83"/>
      <c r="BS2035" s="83"/>
      <c r="BT2035" s="83"/>
      <c r="BU2035" s="83"/>
      <c r="BV2035" s="83"/>
      <c r="BW2035" s="83"/>
      <c r="BX2035" s="83"/>
      <c r="BY2035" s="83"/>
    </row>
    <row r="2036" spans="47:77">
      <c r="AU2036" s="83"/>
      <c r="AV2036" s="83"/>
      <c r="AW2036" s="83"/>
      <c r="AX2036" s="83"/>
      <c r="AY2036" s="83"/>
      <c r="AZ2036" s="83"/>
      <c r="BA2036" s="83"/>
      <c r="BB2036" s="83"/>
      <c r="BC2036" s="83"/>
      <c r="BD2036" s="83"/>
      <c r="BE2036" s="83"/>
      <c r="BF2036" s="83"/>
      <c r="BG2036" s="83"/>
      <c r="BH2036" s="83"/>
      <c r="BI2036" s="83"/>
      <c r="BJ2036" s="83"/>
      <c r="BK2036" s="83"/>
      <c r="BL2036" s="83"/>
      <c r="BM2036" s="83"/>
      <c r="BN2036" s="83"/>
      <c r="BO2036" s="83"/>
      <c r="BP2036" s="83"/>
      <c r="BQ2036" s="83"/>
      <c r="BR2036" s="83"/>
      <c r="BS2036" s="83"/>
      <c r="BT2036" s="83"/>
      <c r="BU2036" s="83"/>
      <c r="BV2036" s="83"/>
      <c r="BW2036" s="83"/>
      <c r="BX2036" s="83"/>
      <c r="BY2036" s="83"/>
    </row>
    <row r="2037" spans="47:77">
      <c r="AU2037" s="83"/>
      <c r="AV2037" s="83"/>
      <c r="AW2037" s="83"/>
      <c r="AX2037" s="83"/>
      <c r="AY2037" s="83"/>
      <c r="AZ2037" s="83"/>
      <c r="BA2037" s="83"/>
      <c r="BB2037" s="83"/>
      <c r="BC2037" s="83"/>
      <c r="BD2037" s="83"/>
      <c r="BE2037" s="83"/>
      <c r="BF2037" s="83"/>
      <c r="BG2037" s="83"/>
      <c r="BH2037" s="83"/>
      <c r="BI2037" s="83"/>
      <c r="BJ2037" s="83"/>
      <c r="BK2037" s="83"/>
      <c r="BL2037" s="83"/>
      <c r="BM2037" s="83"/>
      <c r="BN2037" s="83"/>
      <c r="BO2037" s="83"/>
      <c r="BP2037" s="83"/>
      <c r="BQ2037" s="83"/>
      <c r="BR2037" s="83"/>
      <c r="BS2037" s="83"/>
      <c r="BT2037" s="83"/>
      <c r="BU2037" s="83"/>
      <c r="BV2037" s="83"/>
      <c r="BW2037" s="83"/>
      <c r="BX2037" s="83"/>
      <c r="BY2037" s="83"/>
    </row>
    <row r="2038" spans="47:77">
      <c r="AU2038" s="83"/>
      <c r="AV2038" s="83"/>
      <c r="AW2038" s="83"/>
      <c r="AX2038" s="83"/>
      <c r="AY2038" s="83"/>
      <c r="AZ2038" s="83"/>
      <c r="BA2038" s="83"/>
      <c r="BB2038" s="83"/>
      <c r="BC2038" s="83"/>
      <c r="BD2038" s="83"/>
      <c r="BE2038" s="83"/>
      <c r="BF2038" s="83"/>
      <c r="BG2038" s="83"/>
      <c r="BH2038" s="83"/>
      <c r="BI2038" s="83"/>
      <c r="BJ2038" s="83"/>
      <c r="BK2038" s="83"/>
      <c r="BL2038" s="83"/>
      <c r="BM2038" s="83"/>
      <c r="BN2038" s="83"/>
      <c r="BO2038" s="83"/>
      <c r="BP2038" s="83"/>
      <c r="BQ2038" s="83"/>
      <c r="BR2038" s="83"/>
      <c r="BS2038" s="83"/>
      <c r="BT2038" s="83"/>
      <c r="BU2038" s="83"/>
      <c r="BV2038" s="83"/>
      <c r="BW2038" s="83"/>
      <c r="BX2038" s="83"/>
      <c r="BY2038" s="83"/>
    </row>
    <row r="2039" spans="47:77">
      <c r="AU2039" s="83"/>
      <c r="AV2039" s="83"/>
      <c r="AW2039" s="83"/>
      <c r="AX2039" s="83"/>
      <c r="AY2039" s="83"/>
      <c r="AZ2039" s="83"/>
      <c r="BA2039" s="83"/>
      <c r="BB2039" s="83"/>
      <c r="BC2039" s="83"/>
      <c r="BD2039" s="83"/>
      <c r="BE2039" s="83"/>
      <c r="BF2039" s="83"/>
      <c r="BG2039" s="83"/>
      <c r="BH2039" s="83"/>
      <c r="BI2039" s="83"/>
      <c r="BJ2039" s="83"/>
      <c r="BK2039" s="83"/>
      <c r="BL2039" s="83"/>
      <c r="BM2039" s="83"/>
      <c r="BN2039" s="83"/>
      <c r="BO2039" s="83"/>
      <c r="BP2039" s="83"/>
      <c r="BQ2039" s="83"/>
      <c r="BR2039" s="83"/>
      <c r="BS2039" s="83"/>
      <c r="BT2039" s="83"/>
      <c r="BU2039" s="83"/>
      <c r="BV2039" s="83"/>
      <c r="BW2039" s="83"/>
      <c r="BX2039" s="83"/>
      <c r="BY2039" s="83"/>
    </row>
    <row r="2040" spans="47:77">
      <c r="AU2040" s="83"/>
      <c r="AV2040" s="83"/>
      <c r="AW2040" s="83"/>
      <c r="AX2040" s="83"/>
      <c r="AY2040" s="83"/>
      <c r="AZ2040" s="83"/>
      <c r="BA2040" s="83"/>
      <c r="BB2040" s="83"/>
      <c r="BC2040" s="83"/>
      <c r="BD2040" s="83"/>
      <c r="BE2040" s="83"/>
      <c r="BF2040" s="83"/>
      <c r="BG2040" s="83"/>
      <c r="BH2040" s="83"/>
      <c r="BI2040" s="83"/>
      <c r="BJ2040" s="83"/>
      <c r="BK2040" s="83"/>
      <c r="BL2040" s="83"/>
      <c r="BM2040" s="83"/>
      <c r="BN2040" s="83"/>
      <c r="BO2040" s="83"/>
      <c r="BP2040" s="83"/>
      <c r="BQ2040" s="83"/>
      <c r="BR2040" s="83"/>
      <c r="BS2040" s="83"/>
      <c r="BT2040" s="83"/>
      <c r="BU2040" s="83"/>
      <c r="BV2040" s="83"/>
      <c r="BW2040" s="83"/>
      <c r="BX2040" s="83"/>
      <c r="BY2040" s="83"/>
    </row>
    <row r="2041" spans="47:77">
      <c r="AU2041" s="83"/>
      <c r="AV2041" s="83"/>
      <c r="AW2041" s="83"/>
      <c r="AX2041" s="83"/>
      <c r="AY2041" s="83"/>
      <c r="AZ2041" s="83"/>
      <c r="BA2041" s="83"/>
      <c r="BB2041" s="83"/>
      <c r="BC2041" s="83"/>
      <c r="BD2041" s="83"/>
      <c r="BE2041" s="83"/>
      <c r="BF2041" s="83"/>
      <c r="BG2041" s="83"/>
      <c r="BH2041" s="83"/>
      <c r="BI2041" s="83"/>
      <c r="BJ2041" s="83"/>
      <c r="BK2041" s="83"/>
      <c r="BL2041" s="83"/>
      <c r="BM2041" s="83"/>
      <c r="BN2041" s="83"/>
      <c r="BO2041" s="83"/>
      <c r="BP2041" s="83"/>
      <c r="BQ2041" s="83"/>
      <c r="BR2041" s="83"/>
      <c r="BS2041" s="83"/>
      <c r="BT2041" s="83"/>
      <c r="BU2041" s="83"/>
      <c r="BV2041" s="83"/>
      <c r="BW2041" s="83"/>
      <c r="BX2041" s="83"/>
      <c r="BY2041" s="83"/>
    </row>
    <row r="2042" spans="47:77">
      <c r="AU2042" s="83"/>
      <c r="AV2042" s="83"/>
      <c r="AW2042" s="83"/>
      <c r="AX2042" s="83"/>
      <c r="AY2042" s="83"/>
      <c r="AZ2042" s="83"/>
      <c r="BA2042" s="83"/>
      <c r="BB2042" s="83"/>
      <c r="BC2042" s="83"/>
      <c r="BD2042" s="83"/>
      <c r="BE2042" s="83"/>
      <c r="BF2042" s="83"/>
      <c r="BG2042" s="83"/>
      <c r="BH2042" s="83"/>
      <c r="BI2042" s="83"/>
      <c r="BJ2042" s="83"/>
      <c r="BK2042" s="83"/>
      <c r="BL2042" s="83"/>
      <c r="BM2042" s="83"/>
      <c r="BN2042" s="83"/>
      <c r="BO2042" s="83"/>
      <c r="BP2042" s="83"/>
      <c r="BQ2042" s="83"/>
      <c r="BR2042" s="83"/>
      <c r="BS2042" s="83"/>
      <c r="BT2042" s="83"/>
      <c r="BU2042" s="83"/>
      <c r="BV2042" s="83"/>
      <c r="BW2042" s="83"/>
      <c r="BX2042" s="83"/>
      <c r="BY2042" s="83"/>
    </row>
    <row r="2043" spans="47:77">
      <c r="AU2043" s="83"/>
      <c r="AV2043" s="83"/>
      <c r="AW2043" s="83"/>
      <c r="AX2043" s="83"/>
      <c r="AY2043" s="83"/>
      <c r="AZ2043" s="83"/>
      <c r="BA2043" s="83"/>
      <c r="BB2043" s="83"/>
      <c r="BC2043" s="83"/>
      <c r="BD2043" s="83"/>
      <c r="BE2043" s="83"/>
      <c r="BF2043" s="83"/>
      <c r="BG2043" s="83"/>
      <c r="BH2043" s="83"/>
      <c r="BI2043" s="83"/>
      <c r="BJ2043" s="83"/>
      <c r="BK2043" s="83"/>
      <c r="BL2043" s="83"/>
      <c r="BM2043" s="83"/>
      <c r="BN2043" s="83"/>
      <c r="BO2043" s="83"/>
      <c r="BP2043" s="83"/>
      <c r="BQ2043" s="83"/>
      <c r="BR2043" s="83"/>
      <c r="BS2043" s="83"/>
      <c r="BT2043" s="83"/>
      <c r="BU2043" s="83"/>
      <c r="BV2043" s="83"/>
      <c r="BW2043" s="83"/>
      <c r="BX2043" s="83"/>
      <c r="BY2043" s="83"/>
    </row>
    <row r="2044" spans="47:77">
      <c r="AU2044" s="83"/>
      <c r="AV2044" s="83"/>
      <c r="AW2044" s="83"/>
      <c r="AX2044" s="83"/>
      <c r="AY2044" s="83"/>
      <c r="AZ2044" s="83"/>
      <c r="BA2044" s="83"/>
      <c r="BB2044" s="83"/>
      <c r="BC2044" s="83"/>
      <c r="BD2044" s="83"/>
      <c r="BE2044" s="83"/>
      <c r="BF2044" s="83"/>
      <c r="BG2044" s="83"/>
      <c r="BH2044" s="83"/>
      <c r="BI2044" s="83"/>
      <c r="BJ2044" s="83"/>
      <c r="BK2044" s="83"/>
      <c r="BL2044" s="83"/>
      <c r="BM2044" s="83"/>
      <c r="BN2044" s="83"/>
      <c r="BO2044" s="83"/>
      <c r="BP2044" s="83"/>
      <c r="BQ2044" s="83"/>
      <c r="BR2044" s="83"/>
      <c r="BS2044" s="83"/>
      <c r="BT2044" s="83"/>
      <c r="BU2044" s="83"/>
      <c r="BV2044" s="83"/>
      <c r="BW2044" s="83"/>
      <c r="BX2044" s="83"/>
      <c r="BY2044" s="83"/>
    </row>
    <row r="2045" spans="47:77">
      <c r="AU2045" s="83"/>
      <c r="AV2045" s="83"/>
      <c r="AW2045" s="83"/>
      <c r="AX2045" s="83"/>
      <c r="AY2045" s="83"/>
      <c r="AZ2045" s="83"/>
      <c r="BA2045" s="83"/>
      <c r="BB2045" s="83"/>
      <c r="BC2045" s="83"/>
      <c r="BD2045" s="83"/>
      <c r="BE2045" s="83"/>
      <c r="BF2045" s="83"/>
      <c r="BG2045" s="83"/>
      <c r="BH2045" s="83"/>
      <c r="BI2045" s="83"/>
      <c r="BJ2045" s="83"/>
      <c r="BK2045" s="83"/>
      <c r="BL2045" s="83"/>
      <c r="BM2045" s="83"/>
      <c r="BN2045" s="83"/>
      <c r="BO2045" s="83"/>
      <c r="BP2045" s="83"/>
      <c r="BQ2045" s="83"/>
      <c r="BR2045" s="83"/>
      <c r="BS2045" s="83"/>
      <c r="BT2045" s="83"/>
      <c r="BU2045" s="83"/>
      <c r="BV2045" s="83"/>
      <c r="BW2045" s="83"/>
      <c r="BX2045" s="83"/>
      <c r="BY2045" s="83"/>
    </row>
    <row r="2046" spans="47:77">
      <c r="AU2046" s="83"/>
      <c r="AV2046" s="83"/>
      <c r="AW2046" s="83"/>
      <c r="AX2046" s="83"/>
      <c r="AY2046" s="83"/>
      <c r="AZ2046" s="83"/>
      <c r="BA2046" s="83"/>
      <c r="BB2046" s="83"/>
      <c r="BC2046" s="83"/>
      <c r="BD2046" s="83"/>
      <c r="BE2046" s="83"/>
      <c r="BF2046" s="83"/>
      <c r="BG2046" s="83"/>
      <c r="BH2046" s="83"/>
      <c r="BI2046" s="83"/>
      <c r="BJ2046" s="83"/>
      <c r="BK2046" s="83"/>
      <c r="BL2046" s="83"/>
      <c r="BM2046" s="83"/>
      <c r="BN2046" s="83"/>
      <c r="BO2046" s="83"/>
      <c r="BP2046" s="83"/>
      <c r="BQ2046" s="83"/>
      <c r="BR2046" s="83"/>
      <c r="BS2046" s="83"/>
      <c r="BT2046" s="83"/>
      <c r="BU2046" s="83"/>
      <c r="BV2046" s="83"/>
      <c r="BW2046" s="83"/>
      <c r="BX2046" s="83"/>
      <c r="BY2046" s="83"/>
    </row>
    <row r="2047" spans="47:77">
      <c r="AU2047" s="83"/>
      <c r="AV2047" s="83"/>
      <c r="AW2047" s="83"/>
      <c r="AX2047" s="83"/>
      <c r="AY2047" s="83"/>
      <c r="AZ2047" s="83"/>
      <c r="BA2047" s="83"/>
      <c r="BB2047" s="83"/>
      <c r="BC2047" s="83"/>
      <c r="BD2047" s="83"/>
      <c r="BE2047" s="83"/>
      <c r="BF2047" s="83"/>
      <c r="BG2047" s="83"/>
      <c r="BH2047" s="83"/>
      <c r="BI2047" s="83"/>
      <c r="BJ2047" s="83"/>
      <c r="BK2047" s="83"/>
      <c r="BL2047" s="83"/>
      <c r="BM2047" s="83"/>
      <c r="BN2047" s="83"/>
      <c r="BO2047" s="83"/>
      <c r="BP2047" s="83"/>
      <c r="BQ2047" s="83"/>
      <c r="BR2047" s="83"/>
      <c r="BS2047" s="83"/>
      <c r="BT2047" s="83"/>
      <c r="BU2047" s="83"/>
      <c r="BV2047" s="83"/>
      <c r="BW2047" s="83"/>
      <c r="BX2047" s="83"/>
      <c r="BY2047" s="83"/>
    </row>
    <row r="2048" spans="47:77">
      <c r="AU2048" s="83"/>
      <c r="AV2048" s="83"/>
      <c r="AW2048" s="83"/>
      <c r="AX2048" s="83"/>
      <c r="AY2048" s="83"/>
      <c r="AZ2048" s="83"/>
      <c r="BA2048" s="83"/>
      <c r="BB2048" s="83"/>
      <c r="BC2048" s="83"/>
      <c r="BD2048" s="83"/>
      <c r="BE2048" s="83"/>
      <c r="BF2048" s="83"/>
      <c r="BG2048" s="83"/>
      <c r="BH2048" s="83"/>
      <c r="BI2048" s="83"/>
      <c r="BJ2048" s="83"/>
      <c r="BK2048" s="83"/>
      <c r="BL2048" s="83"/>
      <c r="BM2048" s="83"/>
      <c r="BN2048" s="83"/>
      <c r="BO2048" s="83"/>
      <c r="BP2048" s="83"/>
      <c r="BQ2048" s="83"/>
      <c r="BR2048" s="83"/>
      <c r="BS2048" s="83"/>
      <c r="BT2048" s="83"/>
      <c r="BU2048" s="83"/>
      <c r="BV2048" s="83"/>
      <c r="BW2048" s="83"/>
      <c r="BX2048" s="83"/>
      <c r="BY2048" s="83"/>
    </row>
    <row r="2049" spans="47:77">
      <c r="AU2049" s="83"/>
      <c r="AV2049" s="83"/>
      <c r="AW2049" s="83"/>
      <c r="AX2049" s="83"/>
      <c r="AY2049" s="83"/>
      <c r="AZ2049" s="83"/>
      <c r="BA2049" s="83"/>
      <c r="BB2049" s="83"/>
      <c r="BC2049" s="83"/>
      <c r="BD2049" s="83"/>
      <c r="BE2049" s="83"/>
      <c r="BF2049" s="83"/>
      <c r="BG2049" s="83"/>
      <c r="BH2049" s="83"/>
      <c r="BI2049" s="83"/>
      <c r="BJ2049" s="83"/>
      <c r="BK2049" s="83"/>
      <c r="BL2049" s="83"/>
      <c r="BM2049" s="83"/>
      <c r="BN2049" s="83"/>
      <c r="BO2049" s="83"/>
      <c r="BP2049" s="83"/>
      <c r="BQ2049" s="83"/>
      <c r="BR2049" s="83"/>
      <c r="BS2049" s="83"/>
      <c r="BT2049" s="83"/>
      <c r="BU2049" s="83"/>
      <c r="BV2049" s="83"/>
      <c r="BW2049" s="83"/>
      <c r="BX2049" s="83"/>
      <c r="BY2049" s="83"/>
    </row>
    <row r="2050" spans="47:77">
      <c r="AU2050" s="83"/>
      <c r="AV2050" s="83"/>
      <c r="AW2050" s="83"/>
      <c r="AX2050" s="83"/>
      <c r="AY2050" s="83"/>
      <c r="AZ2050" s="83"/>
      <c r="BA2050" s="83"/>
      <c r="BB2050" s="83"/>
      <c r="BC2050" s="83"/>
      <c r="BD2050" s="83"/>
      <c r="BE2050" s="83"/>
      <c r="BF2050" s="83"/>
      <c r="BG2050" s="83"/>
      <c r="BH2050" s="83"/>
      <c r="BI2050" s="83"/>
      <c r="BJ2050" s="83"/>
      <c r="BK2050" s="83"/>
      <c r="BL2050" s="83"/>
      <c r="BM2050" s="83"/>
      <c r="BN2050" s="83"/>
      <c r="BO2050" s="83"/>
      <c r="BP2050" s="83"/>
      <c r="BQ2050" s="83"/>
      <c r="BR2050" s="83"/>
      <c r="BS2050" s="83"/>
      <c r="BT2050" s="83"/>
      <c r="BU2050" s="83"/>
      <c r="BV2050" s="83"/>
      <c r="BW2050" s="83"/>
      <c r="BX2050" s="83"/>
      <c r="BY2050" s="83"/>
    </row>
    <row r="2051" spans="47:77">
      <c r="AU2051" s="83"/>
      <c r="AV2051" s="83"/>
      <c r="AW2051" s="83"/>
      <c r="AX2051" s="83"/>
      <c r="AY2051" s="83"/>
      <c r="AZ2051" s="83"/>
      <c r="BA2051" s="83"/>
      <c r="BB2051" s="83"/>
      <c r="BC2051" s="83"/>
      <c r="BD2051" s="83"/>
      <c r="BE2051" s="83"/>
      <c r="BF2051" s="83"/>
      <c r="BG2051" s="83"/>
      <c r="BH2051" s="83"/>
      <c r="BI2051" s="83"/>
      <c r="BJ2051" s="83"/>
      <c r="BK2051" s="83"/>
      <c r="BL2051" s="83"/>
      <c r="BM2051" s="83"/>
      <c r="BN2051" s="83"/>
      <c r="BO2051" s="83"/>
      <c r="BP2051" s="83"/>
      <c r="BQ2051" s="83"/>
      <c r="BR2051" s="83"/>
      <c r="BS2051" s="83"/>
      <c r="BT2051" s="83"/>
      <c r="BU2051" s="83"/>
      <c r="BV2051" s="83"/>
      <c r="BW2051" s="83"/>
      <c r="BX2051" s="83"/>
      <c r="BY2051" s="83"/>
    </row>
    <row r="2052" spans="47:77">
      <c r="AU2052" s="83"/>
      <c r="AV2052" s="83"/>
      <c r="AW2052" s="83"/>
      <c r="AX2052" s="83"/>
      <c r="AY2052" s="83"/>
      <c r="AZ2052" s="83"/>
      <c r="BA2052" s="83"/>
      <c r="BB2052" s="83"/>
      <c r="BC2052" s="83"/>
      <c r="BD2052" s="83"/>
      <c r="BE2052" s="83"/>
      <c r="BF2052" s="83"/>
      <c r="BG2052" s="83"/>
      <c r="BH2052" s="83"/>
      <c r="BI2052" s="83"/>
      <c r="BJ2052" s="83"/>
      <c r="BK2052" s="83"/>
      <c r="BL2052" s="83"/>
      <c r="BM2052" s="83"/>
      <c r="BN2052" s="83"/>
      <c r="BO2052" s="83"/>
      <c r="BP2052" s="83"/>
      <c r="BQ2052" s="83"/>
      <c r="BR2052" s="83"/>
      <c r="BS2052" s="83"/>
      <c r="BT2052" s="83"/>
      <c r="BU2052" s="83"/>
      <c r="BV2052" s="83"/>
      <c r="BW2052" s="83"/>
      <c r="BX2052" s="83"/>
      <c r="BY2052" s="83"/>
    </row>
    <row r="2053" spans="47:77">
      <c r="AU2053" s="83"/>
      <c r="AV2053" s="83"/>
      <c r="AW2053" s="83"/>
      <c r="AX2053" s="83"/>
      <c r="AY2053" s="83"/>
      <c r="AZ2053" s="83"/>
      <c r="BA2053" s="83"/>
      <c r="BB2053" s="83"/>
      <c r="BC2053" s="83"/>
      <c r="BD2053" s="83"/>
      <c r="BE2053" s="83"/>
      <c r="BF2053" s="83"/>
      <c r="BG2053" s="83"/>
      <c r="BH2053" s="83"/>
      <c r="BI2053" s="83"/>
      <c r="BJ2053" s="83"/>
      <c r="BK2053" s="83"/>
      <c r="BL2053" s="83"/>
      <c r="BM2053" s="83"/>
      <c r="BN2053" s="83"/>
      <c r="BO2053" s="83"/>
      <c r="BP2053" s="83"/>
      <c r="BQ2053" s="83"/>
      <c r="BR2053" s="83"/>
      <c r="BS2053" s="83"/>
      <c r="BT2053" s="83"/>
      <c r="BU2053" s="83"/>
      <c r="BV2053" s="83"/>
      <c r="BW2053" s="83"/>
      <c r="BX2053" s="83"/>
      <c r="BY2053" s="83"/>
    </row>
    <row r="2054" spans="47:77">
      <c r="AU2054" s="83"/>
      <c r="AV2054" s="83"/>
      <c r="AW2054" s="83"/>
      <c r="AX2054" s="83"/>
      <c r="AY2054" s="83"/>
      <c r="AZ2054" s="83"/>
      <c r="BA2054" s="83"/>
      <c r="BB2054" s="83"/>
      <c r="BC2054" s="83"/>
      <c r="BD2054" s="83"/>
      <c r="BE2054" s="83"/>
      <c r="BF2054" s="83"/>
      <c r="BG2054" s="83"/>
      <c r="BH2054" s="83"/>
      <c r="BI2054" s="83"/>
      <c r="BJ2054" s="83"/>
      <c r="BK2054" s="83"/>
      <c r="BL2054" s="83"/>
      <c r="BM2054" s="83"/>
      <c r="BN2054" s="83"/>
      <c r="BO2054" s="83"/>
      <c r="BP2054" s="83"/>
      <c r="BQ2054" s="83"/>
      <c r="BR2054" s="83"/>
      <c r="BS2054" s="83"/>
      <c r="BT2054" s="83"/>
      <c r="BU2054" s="83"/>
      <c r="BV2054" s="83"/>
      <c r="BW2054" s="83"/>
      <c r="BX2054" s="83"/>
      <c r="BY2054" s="83"/>
    </row>
    <row r="2055" spans="47:77">
      <c r="AU2055" s="83"/>
      <c r="AV2055" s="83"/>
      <c r="AW2055" s="83"/>
      <c r="AX2055" s="83"/>
      <c r="AY2055" s="83"/>
      <c r="AZ2055" s="83"/>
      <c r="BA2055" s="83"/>
      <c r="BB2055" s="83"/>
      <c r="BC2055" s="83"/>
      <c r="BD2055" s="83"/>
      <c r="BE2055" s="83"/>
      <c r="BF2055" s="83"/>
      <c r="BG2055" s="83"/>
      <c r="BH2055" s="83"/>
      <c r="BI2055" s="83"/>
      <c r="BJ2055" s="83"/>
      <c r="BK2055" s="83"/>
      <c r="BL2055" s="83"/>
      <c r="BM2055" s="83"/>
      <c r="BN2055" s="83"/>
      <c r="BO2055" s="83"/>
      <c r="BP2055" s="83"/>
      <c r="BQ2055" s="83"/>
      <c r="BR2055" s="83"/>
      <c r="BS2055" s="83"/>
      <c r="BT2055" s="83"/>
      <c r="BU2055" s="83"/>
      <c r="BV2055" s="83"/>
      <c r="BW2055" s="83"/>
      <c r="BX2055" s="83"/>
      <c r="BY2055" s="83"/>
    </row>
    <row r="2056" spans="47:77">
      <c r="AU2056" s="83"/>
      <c r="AV2056" s="83"/>
      <c r="AW2056" s="83"/>
      <c r="AX2056" s="83"/>
      <c r="AY2056" s="83"/>
      <c r="AZ2056" s="83"/>
      <c r="BA2056" s="83"/>
      <c r="BB2056" s="83"/>
      <c r="BC2056" s="83"/>
      <c r="BD2056" s="83"/>
      <c r="BE2056" s="83"/>
      <c r="BF2056" s="83"/>
      <c r="BG2056" s="83"/>
      <c r="BH2056" s="83"/>
      <c r="BI2056" s="83"/>
      <c r="BJ2056" s="83"/>
      <c r="BK2056" s="83"/>
      <c r="BL2056" s="83"/>
      <c r="BM2056" s="83"/>
      <c r="BN2056" s="83"/>
      <c r="BO2056" s="83"/>
      <c r="BP2056" s="83"/>
      <c r="BQ2056" s="83"/>
      <c r="BR2056" s="83"/>
      <c r="BS2056" s="83"/>
      <c r="BT2056" s="83"/>
      <c r="BU2056" s="83"/>
      <c r="BV2056" s="83"/>
      <c r="BW2056" s="83"/>
      <c r="BX2056" s="83"/>
      <c r="BY2056" s="83"/>
    </row>
    <row r="2057" spans="47:77">
      <c r="AU2057" s="83"/>
      <c r="AV2057" s="83"/>
      <c r="AW2057" s="83"/>
      <c r="AX2057" s="525"/>
      <c r="AY2057" s="525"/>
      <c r="AZ2057" s="525"/>
      <c r="BA2057" s="525"/>
      <c r="BB2057" s="525"/>
      <c r="BC2057" s="525"/>
      <c r="BD2057" s="525"/>
      <c r="BE2057" s="525"/>
      <c r="BF2057" s="525"/>
      <c r="BG2057" s="525"/>
      <c r="BH2057" s="525"/>
      <c r="BI2057" s="525"/>
      <c r="BJ2057" s="525"/>
      <c r="BK2057" s="525"/>
      <c r="BL2057" s="525"/>
      <c r="BM2057" s="525"/>
      <c r="BN2057" s="525"/>
      <c r="BO2057" s="525"/>
      <c r="BP2057" s="525"/>
      <c r="BQ2057" s="525"/>
      <c r="BR2057" s="525"/>
      <c r="BS2057" s="525"/>
      <c r="BT2057" s="525"/>
      <c r="BU2057" s="525"/>
      <c r="BV2057" s="525"/>
      <c r="BW2057" s="525"/>
      <c r="BX2057" s="83"/>
      <c r="BY2057" s="83"/>
    </row>
    <row r="2058" spans="47:77">
      <c r="AU2058" s="83"/>
      <c r="AV2058" s="83"/>
      <c r="AW2058" s="83"/>
      <c r="AX2058" s="525"/>
      <c r="AY2058" s="525"/>
      <c r="AZ2058" s="525"/>
      <c r="BA2058" s="525"/>
      <c r="BB2058" s="525"/>
      <c r="BC2058" s="525"/>
      <c r="BD2058" s="525"/>
      <c r="BE2058" s="525"/>
      <c r="BF2058" s="525"/>
      <c r="BG2058" s="525"/>
      <c r="BH2058" s="525"/>
      <c r="BI2058" s="525"/>
      <c r="BJ2058" s="525"/>
      <c r="BK2058" s="525"/>
      <c r="BL2058" s="525"/>
      <c r="BM2058" s="525"/>
      <c r="BN2058" s="525"/>
      <c r="BO2058" s="525"/>
      <c r="BP2058" s="525"/>
      <c r="BQ2058" s="525"/>
      <c r="BR2058" s="525"/>
      <c r="BS2058" s="525"/>
      <c r="BT2058" s="525"/>
      <c r="BU2058" s="525"/>
      <c r="BV2058" s="525"/>
      <c r="BW2058" s="525"/>
      <c r="BX2058" s="83"/>
      <c r="BY2058" s="83"/>
    </row>
    <row r="2059" spans="47:77">
      <c r="AU2059" s="83"/>
      <c r="AV2059" s="83"/>
      <c r="AW2059" s="83"/>
      <c r="AX2059" s="525"/>
      <c r="AY2059" s="525"/>
      <c r="AZ2059" s="525"/>
      <c r="BA2059" s="525"/>
      <c r="BB2059" s="525"/>
      <c r="BC2059" s="525"/>
      <c r="BD2059" s="525"/>
      <c r="BE2059" s="525"/>
      <c r="BF2059" s="525"/>
      <c r="BG2059" s="525"/>
      <c r="BH2059" s="525"/>
      <c r="BI2059" s="525"/>
      <c r="BJ2059" s="525"/>
      <c r="BK2059" s="525"/>
      <c r="BL2059" s="525"/>
      <c r="BM2059" s="525"/>
      <c r="BN2059" s="525"/>
      <c r="BO2059" s="525"/>
      <c r="BP2059" s="525"/>
      <c r="BQ2059" s="525"/>
      <c r="BR2059" s="525"/>
      <c r="BS2059" s="525"/>
      <c r="BT2059" s="525"/>
      <c r="BU2059" s="525"/>
      <c r="BV2059" s="525"/>
      <c r="BW2059" s="525"/>
      <c r="BX2059" s="83"/>
      <c r="BY2059" s="83"/>
    </row>
    <row r="2060" spans="47:77">
      <c r="AU2060" s="83"/>
      <c r="AV2060" s="83"/>
      <c r="AW2060" s="83"/>
      <c r="AX2060" s="525"/>
      <c r="AY2060" s="525"/>
      <c r="AZ2060" s="525"/>
      <c r="BA2060" s="525"/>
      <c r="BB2060" s="525"/>
      <c r="BC2060" s="525"/>
      <c r="BD2060" s="525"/>
      <c r="BE2060" s="525"/>
      <c r="BF2060" s="525"/>
      <c r="BG2060" s="525"/>
      <c r="BH2060" s="525"/>
      <c r="BI2060" s="525"/>
      <c r="BJ2060" s="525"/>
      <c r="BK2060" s="525"/>
      <c r="BL2060" s="525"/>
      <c r="BM2060" s="525"/>
      <c r="BN2060" s="525"/>
      <c r="BO2060" s="525"/>
      <c r="BP2060" s="525"/>
      <c r="BQ2060" s="525"/>
      <c r="BR2060" s="525"/>
      <c r="BS2060" s="525"/>
      <c r="BT2060" s="525"/>
      <c r="BU2060" s="525"/>
      <c r="BV2060" s="525"/>
      <c r="BW2060" s="525"/>
      <c r="BX2060" s="83"/>
      <c r="BY2060" s="83"/>
    </row>
    <row r="2061" spans="47:77">
      <c r="AU2061" s="83"/>
      <c r="AV2061" s="83"/>
      <c r="AW2061" s="83"/>
      <c r="AX2061" s="525"/>
      <c r="AY2061" s="525"/>
      <c r="AZ2061" s="525"/>
      <c r="BA2061" s="525"/>
      <c r="BB2061" s="525"/>
      <c r="BC2061" s="525"/>
      <c r="BD2061" s="525"/>
      <c r="BE2061" s="525"/>
      <c r="BF2061" s="525"/>
      <c r="BG2061" s="525"/>
      <c r="BH2061" s="525"/>
      <c r="BI2061" s="525"/>
      <c r="BJ2061" s="525"/>
      <c r="BK2061" s="525"/>
      <c r="BL2061" s="525"/>
      <c r="BM2061" s="525"/>
      <c r="BN2061" s="525"/>
      <c r="BO2061" s="525"/>
      <c r="BP2061" s="525"/>
      <c r="BQ2061" s="525"/>
      <c r="BR2061" s="525"/>
      <c r="BS2061" s="525"/>
      <c r="BT2061" s="525"/>
      <c r="BU2061" s="525"/>
      <c r="BV2061" s="525"/>
      <c r="BW2061" s="525"/>
      <c r="BX2061" s="83"/>
      <c r="BY2061" s="83"/>
    </row>
    <row r="2062" spans="47:77">
      <c r="AU2062" s="83"/>
      <c r="AV2062" s="83"/>
      <c r="AW2062" s="83"/>
      <c r="AX2062" s="525"/>
      <c r="AY2062" s="525"/>
      <c r="AZ2062" s="525"/>
      <c r="BA2062" s="525"/>
      <c r="BB2062" s="525"/>
      <c r="BC2062" s="525"/>
      <c r="BD2062" s="525"/>
      <c r="BE2062" s="525"/>
      <c r="BF2062" s="525"/>
      <c r="BG2062" s="525"/>
      <c r="BH2062" s="525"/>
      <c r="BI2062" s="525"/>
      <c r="BJ2062" s="525"/>
      <c r="BK2062" s="525"/>
      <c r="BL2062" s="525"/>
      <c r="BM2062" s="525"/>
      <c r="BN2062" s="525"/>
      <c r="BO2062" s="525"/>
      <c r="BP2062" s="525"/>
      <c r="BQ2062" s="525"/>
      <c r="BR2062" s="525"/>
      <c r="BS2062" s="525"/>
      <c r="BT2062" s="525"/>
      <c r="BU2062" s="525"/>
      <c r="BV2062" s="525"/>
      <c r="BW2062" s="525"/>
      <c r="BX2062" s="83"/>
      <c r="BY2062" s="83"/>
    </row>
    <row r="2063" spans="47:77">
      <c r="AU2063" s="83"/>
      <c r="AV2063" s="83"/>
      <c r="AW2063" s="83"/>
      <c r="AX2063" s="525"/>
      <c r="AY2063" s="525"/>
      <c r="AZ2063" s="525"/>
      <c r="BA2063" s="525"/>
      <c r="BB2063" s="525"/>
      <c r="BC2063" s="525"/>
      <c r="BD2063" s="525"/>
      <c r="BE2063" s="525"/>
      <c r="BF2063" s="525"/>
      <c r="BG2063" s="525"/>
      <c r="BH2063" s="525"/>
      <c r="BI2063" s="525"/>
      <c r="BJ2063" s="525"/>
      <c r="BK2063" s="525"/>
      <c r="BL2063" s="525"/>
      <c r="BM2063" s="525"/>
      <c r="BN2063" s="525"/>
      <c r="BO2063" s="525"/>
      <c r="BP2063" s="525"/>
      <c r="BQ2063" s="525"/>
      <c r="BR2063" s="525"/>
      <c r="BS2063" s="525"/>
      <c r="BT2063" s="525"/>
      <c r="BU2063" s="525"/>
      <c r="BV2063" s="525"/>
      <c r="BW2063" s="525"/>
      <c r="BX2063" s="83"/>
      <c r="BY2063" s="83"/>
    </row>
    <row r="2064" spans="47:77">
      <c r="AU2064" s="83"/>
      <c r="AV2064" s="83"/>
      <c r="AW2064" s="83"/>
      <c r="AX2064" s="525"/>
      <c r="AY2064" s="525"/>
      <c r="AZ2064" s="525"/>
      <c r="BA2064" s="525"/>
      <c r="BB2064" s="525"/>
      <c r="BC2064" s="525"/>
      <c r="BD2064" s="525"/>
      <c r="BE2064" s="525"/>
      <c r="BF2064" s="525"/>
      <c r="BG2064" s="525"/>
      <c r="BH2064" s="525"/>
      <c r="BI2064" s="525"/>
      <c r="BJ2064" s="525"/>
      <c r="BK2064" s="525"/>
      <c r="BL2064" s="525"/>
      <c r="BM2064" s="525"/>
      <c r="BN2064" s="525"/>
      <c r="BO2064" s="525"/>
      <c r="BP2064" s="525"/>
      <c r="BQ2064" s="525"/>
      <c r="BR2064" s="525"/>
      <c r="BS2064" s="525"/>
      <c r="BT2064" s="525"/>
      <c r="BU2064" s="525"/>
      <c r="BV2064" s="525"/>
      <c r="BW2064" s="525"/>
      <c r="BX2064" s="83"/>
      <c r="BY2064" s="83"/>
    </row>
    <row r="2065" spans="47:77">
      <c r="AU2065" s="83"/>
      <c r="AV2065" s="83"/>
      <c r="AW2065" s="83"/>
      <c r="AX2065" s="525"/>
      <c r="AY2065" s="525"/>
      <c r="AZ2065" s="525"/>
      <c r="BA2065" s="525"/>
      <c r="BB2065" s="525"/>
      <c r="BC2065" s="525"/>
      <c r="BD2065" s="525"/>
      <c r="BE2065" s="525"/>
      <c r="BF2065" s="525"/>
      <c r="BG2065" s="525"/>
      <c r="BH2065" s="525"/>
      <c r="BI2065" s="525"/>
      <c r="BJ2065" s="525"/>
      <c r="BK2065" s="525"/>
      <c r="BL2065" s="525"/>
      <c r="BM2065" s="525"/>
      <c r="BN2065" s="525"/>
      <c r="BO2065" s="525"/>
      <c r="BP2065" s="525"/>
      <c r="BQ2065" s="525"/>
      <c r="BR2065" s="525"/>
      <c r="BS2065" s="525"/>
      <c r="BT2065" s="525"/>
      <c r="BU2065" s="525"/>
      <c r="BV2065" s="525"/>
      <c r="BW2065" s="525"/>
      <c r="BX2065" s="83"/>
      <c r="BY2065" s="83"/>
    </row>
    <row r="2066" spans="47:77">
      <c r="AU2066" s="83"/>
      <c r="AV2066" s="83"/>
      <c r="AW2066" s="83"/>
      <c r="AX2066" s="525"/>
      <c r="AY2066" s="525"/>
      <c r="AZ2066" s="525"/>
      <c r="BA2066" s="525"/>
      <c r="BB2066" s="525"/>
      <c r="BC2066" s="525"/>
      <c r="BD2066" s="525"/>
      <c r="BE2066" s="525"/>
      <c r="BF2066" s="525"/>
      <c r="BG2066" s="525"/>
      <c r="BH2066" s="525"/>
      <c r="BI2066" s="525"/>
      <c r="BJ2066" s="525"/>
      <c r="BK2066" s="525"/>
      <c r="BL2066" s="525"/>
      <c r="BM2066" s="525"/>
      <c r="BN2066" s="525"/>
      <c r="BO2066" s="525"/>
      <c r="BP2066" s="525"/>
      <c r="BQ2066" s="525"/>
      <c r="BR2066" s="525"/>
      <c r="BS2066" s="525"/>
      <c r="BT2066" s="525"/>
      <c r="BU2066" s="525"/>
      <c r="BV2066" s="525"/>
      <c r="BW2066" s="525"/>
      <c r="BX2066" s="83"/>
      <c r="BY2066" s="83"/>
    </row>
    <row r="2067" spans="47:77">
      <c r="AU2067" s="83"/>
      <c r="AV2067" s="83"/>
      <c r="AW2067" s="83"/>
      <c r="AX2067" s="525"/>
      <c r="AY2067" s="525"/>
      <c r="AZ2067" s="525"/>
      <c r="BA2067" s="525"/>
      <c r="BB2067" s="525"/>
      <c r="BC2067" s="525"/>
      <c r="BD2067" s="525"/>
      <c r="BE2067" s="525"/>
      <c r="BF2067" s="525"/>
      <c r="BG2067" s="525"/>
      <c r="BH2067" s="525"/>
      <c r="BI2067" s="525"/>
      <c r="BJ2067" s="525"/>
      <c r="BK2067" s="525"/>
      <c r="BL2067" s="525"/>
      <c r="BM2067" s="525"/>
      <c r="BN2067" s="525"/>
      <c r="BO2067" s="525"/>
      <c r="BP2067" s="525"/>
      <c r="BQ2067" s="525"/>
      <c r="BR2067" s="525"/>
      <c r="BS2067" s="525"/>
      <c r="BT2067" s="525"/>
      <c r="BU2067" s="525"/>
      <c r="BV2067" s="525"/>
      <c r="BW2067" s="525"/>
      <c r="BX2067" s="83"/>
      <c r="BY2067" s="83"/>
    </row>
    <row r="2068" spans="47:77">
      <c r="AU2068" s="83"/>
      <c r="AV2068" s="83"/>
      <c r="AW2068" s="83"/>
      <c r="AX2068" s="525"/>
      <c r="AY2068" s="525"/>
      <c r="AZ2068" s="525"/>
      <c r="BA2068" s="525"/>
      <c r="BB2068" s="525"/>
      <c r="BC2068" s="525"/>
      <c r="BD2068" s="525"/>
      <c r="BE2068" s="525"/>
      <c r="BF2068" s="525"/>
      <c r="BG2068" s="525"/>
      <c r="BH2068" s="525"/>
      <c r="BI2068" s="525"/>
      <c r="BJ2068" s="525"/>
      <c r="BK2068" s="525"/>
      <c r="BL2068" s="525"/>
      <c r="BM2068" s="525"/>
      <c r="BN2068" s="525"/>
      <c r="BO2068" s="525"/>
      <c r="BP2068" s="525"/>
      <c r="BQ2068" s="525"/>
      <c r="BR2068" s="525"/>
      <c r="BS2068" s="525"/>
      <c r="BT2068" s="525"/>
      <c r="BU2068" s="525"/>
      <c r="BV2068" s="525"/>
      <c r="BW2068" s="525"/>
      <c r="BX2068" s="83"/>
      <c r="BY2068" s="83"/>
    </row>
    <row r="2069" spans="47:77">
      <c r="AU2069" s="83"/>
      <c r="AV2069" s="83"/>
      <c r="AW2069" s="83"/>
      <c r="AX2069" s="525"/>
      <c r="AY2069" s="525"/>
      <c r="AZ2069" s="525"/>
      <c r="BA2069" s="525"/>
      <c r="BB2069" s="525"/>
      <c r="BC2069" s="525"/>
      <c r="BD2069" s="525"/>
      <c r="BE2069" s="525"/>
      <c r="BF2069" s="525"/>
      <c r="BG2069" s="525"/>
      <c r="BH2069" s="525"/>
      <c r="BI2069" s="525"/>
      <c r="BJ2069" s="525"/>
      <c r="BK2069" s="525"/>
      <c r="BL2069" s="525"/>
      <c r="BM2069" s="525"/>
      <c r="BN2069" s="525"/>
      <c r="BO2069" s="525"/>
      <c r="BP2069" s="525"/>
      <c r="BQ2069" s="525"/>
      <c r="BR2069" s="525"/>
      <c r="BS2069" s="525"/>
      <c r="BT2069" s="525"/>
      <c r="BU2069" s="525"/>
      <c r="BV2069" s="525"/>
      <c r="BW2069" s="525"/>
      <c r="BX2069" s="83"/>
      <c r="BY2069" s="83"/>
    </row>
    <row r="2070" spans="47:77">
      <c r="AU2070" s="83"/>
      <c r="AV2070" s="83"/>
      <c r="AW2070" s="83"/>
      <c r="AX2070" s="525"/>
      <c r="AY2070" s="525"/>
      <c r="AZ2070" s="525"/>
      <c r="BA2070" s="525"/>
      <c r="BB2070" s="525"/>
      <c r="BC2070" s="525"/>
      <c r="BD2070" s="525"/>
      <c r="BE2070" s="525"/>
      <c r="BF2070" s="525"/>
      <c r="BG2070" s="525"/>
      <c r="BH2070" s="525"/>
      <c r="BI2070" s="525"/>
      <c r="BJ2070" s="525"/>
      <c r="BK2070" s="525"/>
      <c r="BL2070" s="525"/>
      <c r="BM2070" s="525"/>
      <c r="BN2070" s="525"/>
      <c r="BO2070" s="525"/>
      <c r="BP2070" s="525"/>
      <c r="BQ2070" s="525"/>
      <c r="BR2070" s="525"/>
      <c r="BS2070" s="525"/>
      <c r="BT2070" s="525"/>
      <c r="BU2070" s="525"/>
      <c r="BV2070" s="525"/>
      <c r="BW2070" s="525"/>
      <c r="BX2070" s="83"/>
      <c r="BY2070" s="83"/>
    </row>
    <row r="2071" spans="47:77">
      <c r="AU2071" s="83"/>
      <c r="AV2071" s="83"/>
      <c r="AW2071" s="83"/>
      <c r="AX2071" s="525"/>
      <c r="AY2071" s="525"/>
      <c r="AZ2071" s="525"/>
      <c r="BA2071" s="525"/>
      <c r="BB2071" s="525"/>
      <c r="BC2071" s="525"/>
      <c r="BD2071" s="525"/>
      <c r="BE2071" s="525"/>
      <c r="BF2071" s="525"/>
      <c r="BG2071" s="525"/>
      <c r="BH2071" s="525"/>
      <c r="BI2071" s="525"/>
      <c r="BJ2071" s="525"/>
      <c r="BK2071" s="525"/>
      <c r="BL2071" s="525"/>
      <c r="BM2071" s="525"/>
      <c r="BN2071" s="525"/>
      <c r="BO2071" s="525"/>
      <c r="BP2071" s="525"/>
      <c r="BQ2071" s="525"/>
      <c r="BR2071" s="525"/>
      <c r="BS2071" s="525"/>
      <c r="BT2071" s="525"/>
      <c r="BU2071" s="525"/>
      <c r="BV2071" s="525"/>
      <c r="BW2071" s="525"/>
      <c r="BX2071" s="83"/>
      <c r="BY2071" s="83"/>
    </row>
    <row r="2072" spans="47:77">
      <c r="AU2072" s="83"/>
      <c r="AV2072" s="83"/>
      <c r="AW2072" s="83"/>
      <c r="AX2072" s="525"/>
      <c r="AY2072" s="525"/>
      <c r="AZ2072" s="525"/>
      <c r="BA2072" s="525"/>
      <c r="BB2072" s="525"/>
      <c r="BC2072" s="525"/>
      <c r="BD2072" s="525"/>
      <c r="BE2072" s="525"/>
      <c r="BF2072" s="525"/>
      <c r="BG2072" s="525"/>
      <c r="BH2072" s="525"/>
      <c r="BI2072" s="525"/>
      <c r="BJ2072" s="525"/>
      <c r="BK2072" s="525"/>
      <c r="BL2072" s="525"/>
      <c r="BM2072" s="525"/>
      <c r="BN2072" s="525"/>
      <c r="BO2072" s="525"/>
      <c r="BP2072" s="525"/>
      <c r="BQ2072" s="525"/>
      <c r="BR2072" s="525"/>
      <c r="BS2072" s="525"/>
      <c r="BT2072" s="525"/>
      <c r="BU2072" s="525"/>
      <c r="BV2072" s="525"/>
      <c r="BW2072" s="525"/>
      <c r="BX2072" s="83"/>
      <c r="BY2072" s="83"/>
    </row>
    <row r="2073" spans="47:77">
      <c r="AU2073" s="83"/>
      <c r="AV2073" s="83"/>
      <c r="AW2073" s="83"/>
      <c r="AX2073" s="525"/>
      <c r="AY2073" s="525"/>
      <c r="AZ2073" s="525"/>
      <c r="BA2073" s="525"/>
      <c r="BB2073" s="525"/>
      <c r="BC2073" s="525"/>
      <c r="BD2073" s="525"/>
      <c r="BE2073" s="525"/>
      <c r="BF2073" s="525"/>
      <c r="BG2073" s="525"/>
      <c r="BH2073" s="525"/>
      <c r="BI2073" s="525"/>
      <c r="BJ2073" s="525"/>
      <c r="BK2073" s="525"/>
      <c r="BL2073" s="525"/>
      <c r="BM2073" s="525"/>
      <c r="BN2073" s="525"/>
      <c r="BO2073" s="525"/>
      <c r="BP2073" s="525"/>
      <c r="BQ2073" s="525"/>
      <c r="BR2073" s="525"/>
      <c r="BS2073" s="525"/>
      <c r="BT2073" s="525"/>
      <c r="BU2073" s="525"/>
      <c r="BV2073" s="525"/>
      <c r="BW2073" s="525"/>
      <c r="BX2073" s="83"/>
      <c r="BY2073" s="83"/>
    </row>
    <row r="2074" spans="47:77">
      <c r="AU2074" s="83"/>
      <c r="AV2074" s="83"/>
      <c r="AW2074" s="83"/>
      <c r="AX2074" s="525"/>
      <c r="AY2074" s="525"/>
      <c r="AZ2074" s="525"/>
      <c r="BA2074" s="525"/>
      <c r="BB2074" s="525"/>
      <c r="BC2074" s="525"/>
      <c r="BD2074" s="525"/>
      <c r="BE2074" s="525"/>
      <c r="BF2074" s="525"/>
      <c r="BG2074" s="525"/>
      <c r="BH2074" s="525"/>
      <c r="BI2074" s="525"/>
      <c r="BJ2074" s="525"/>
      <c r="BK2074" s="525"/>
      <c r="BL2074" s="525"/>
      <c r="BM2074" s="525"/>
      <c r="BN2074" s="525"/>
      <c r="BO2074" s="525"/>
      <c r="BP2074" s="525"/>
      <c r="BQ2074" s="525"/>
      <c r="BR2074" s="525"/>
      <c r="BS2074" s="525"/>
      <c r="BT2074" s="525"/>
      <c r="BU2074" s="525"/>
      <c r="BV2074" s="525"/>
      <c r="BW2074" s="525"/>
      <c r="BX2074" s="83"/>
      <c r="BY2074" s="83"/>
    </row>
    <row r="2075" spans="47:77">
      <c r="AU2075" s="83"/>
      <c r="AV2075" s="83"/>
      <c r="AW2075" s="83"/>
      <c r="AX2075" s="525"/>
      <c r="AY2075" s="525"/>
      <c r="AZ2075" s="525"/>
      <c r="BA2075" s="525"/>
      <c r="BB2075" s="525"/>
      <c r="BC2075" s="525"/>
      <c r="BD2075" s="525"/>
      <c r="BE2075" s="525"/>
      <c r="BF2075" s="525"/>
      <c r="BG2075" s="525"/>
      <c r="BH2075" s="525"/>
      <c r="BI2075" s="525"/>
      <c r="BJ2075" s="525"/>
      <c r="BK2075" s="525"/>
      <c r="BL2075" s="525"/>
      <c r="BM2075" s="525"/>
      <c r="BN2075" s="525"/>
      <c r="BO2075" s="525"/>
      <c r="BP2075" s="525"/>
      <c r="BQ2075" s="525"/>
      <c r="BR2075" s="525"/>
      <c r="BS2075" s="525"/>
      <c r="BT2075" s="525"/>
      <c r="BU2075" s="525"/>
      <c r="BV2075" s="525"/>
      <c r="BW2075" s="525"/>
      <c r="BX2075" s="83"/>
      <c r="BY2075" s="83"/>
    </row>
    <row r="2076" spans="47:77">
      <c r="AU2076" s="83"/>
      <c r="AV2076" s="83"/>
      <c r="AW2076" s="83"/>
      <c r="AX2076" s="525"/>
      <c r="AY2076" s="525"/>
      <c r="AZ2076" s="525"/>
      <c r="BA2076" s="525"/>
      <c r="BB2076" s="525"/>
      <c r="BC2076" s="525"/>
      <c r="BD2076" s="525"/>
      <c r="BE2076" s="525"/>
      <c r="BF2076" s="525"/>
      <c r="BG2076" s="525"/>
      <c r="BH2076" s="525"/>
      <c r="BI2076" s="525"/>
      <c r="BJ2076" s="525"/>
      <c r="BK2076" s="525"/>
      <c r="BL2076" s="525"/>
      <c r="BM2076" s="525"/>
      <c r="BN2076" s="525"/>
      <c r="BO2076" s="525"/>
      <c r="BP2076" s="525"/>
      <c r="BQ2076" s="525"/>
      <c r="BR2076" s="525"/>
      <c r="BS2076" s="525"/>
      <c r="BT2076" s="525"/>
      <c r="BU2076" s="525"/>
      <c r="BV2076" s="525"/>
      <c r="BW2076" s="525"/>
      <c r="BX2076" s="83"/>
      <c r="BY2076" s="83"/>
    </row>
    <row r="2077" spans="47:77">
      <c r="AU2077" s="83"/>
      <c r="AV2077" s="83"/>
      <c r="AW2077" s="83"/>
      <c r="AX2077" s="525"/>
      <c r="AY2077" s="525"/>
      <c r="AZ2077" s="525"/>
      <c r="BA2077" s="525"/>
      <c r="BB2077" s="525"/>
      <c r="BC2077" s="525"/>
      <c r="BD2077" s="525"/>
      <c r="BE2077" s="525"/>
      <c r="BF2077" s="525"/>
      <c r="BG2077" s="525"/>
      <c r="BH2077" s="525"/>
      <c r="BI2077" s="525"/>
      <c r="BJ2077" s="525"/>
      <c r="BK2077" s="525"/>
      <c r="BL2077" s="525"/>
      <c r="BM2077" s="525"/>
      <c r="BN2077" s="525"/>
      <c r="BO2077" s="525"/>
      <c r="BP2077" s="525"/>
      <c r="BQ2077" s="525"/>
      <c r="BR2077" s="525"/>
      <c r="BS2077" s="525"/>
      <c r="BT2077" s="525"/>
      <c r="BU2077" s="525"/>
      <c r="BV2077" s="525"/>
      <c r="BW2077" s="525"/>
      <c r="BX2077" s="83"/>
      <c r="BY2077" s="83"/>
    </row>
    <row r="2078" spans="47:77">
      <c r="AU2078" s="83"/>
      <c r="AV2078" s="83"/>
      <c r="AW2078" s="83"/>
      <c r="AX2078" s="525"/>
      <c r="AY2078" s="525"/>
      <c r="AZ2078" s="525"/>
      <c r="BA2078" s="525"/>
      <c r="BB2078" s="525"/>
      <c r="BC2078" s="525"/>
      <c r="BD2078" s="525"/>
      <c r="BE2078" s="525"/>
      <c r="BF2078" s="525"/>
      <c r="BG2078" s="525"/>
      <c r="BH2078" s="525"/>
      <c r="BI2078" s="525"/>
      <c r="BJ2078" s="525"/>
      <c r="BK2078" s="525"/>
      <c r="BL2078" s="525"/>
      <c r="BM2078" s="525"/>
      <c r="BN2078" s="525"/>
      <c r="BO2078" s="525"/>
      <c r="BP2078" s="525"/>
      <c r="BQ2078" s="525"/>
      <c r="BR2078" s="525"/>
      <c r="BS2078" s="525"/>
      <c r="BT2078" s="525"/>
      <c r="BU2078" s="525"/>
      <c r="BV2078" s="525"/>
      <c r="BW2078" s="525"/>
      <c r="BX2078" s="83"/>
      <c r="BY2078" s="83"/>
    </row>
    <row r="2079" spans="47:77">
      <c r="AU2079" s="83"/>
      <c r="AV2079" s="83"/>
      <c r="AW2079" s="83"/>
      <c r="AX2079" s="525"/>
      <c r="AY2079" s="525"/>
      <c r="AZ2079" s="525"/>
      <c r="BA2079" s="525"/>
      <c r="BB2079" s="525"/>
      <c r="BC2079" s="525"/>
      <c r="BD2079" s="525"/>
      <c r="BE2079" s="525"/>
      <c r="BF2079" s="525"/>
      <c r="BG2079" s="525"/>
      <c r="BH2079" s="525"/>
      <c r="BI2079" s="525"/>
      <c r="BJ2079" s="525"/>
      <c r="BK2079" s="525"/>
      <c r="BL2079" s="525"/>
      <c r="BM2079" s="525"/>
      <c r="BN2079" s="525"/>
      <c r="BO2079" s="525"/>
      <c r="BP2079" s="525"/>
      <c r="BQ2079" s="525"/>
      <c r="BR2079" s="525"/>
      <c r="BS2079" s="525"/>
      <c r="BT2079" s="525"/>
      <c r="BU2079" s="525"/>
      <c r="BV2079" s="525"/>
      <c r="BW2079" s="525"/>
      <c r="BX2079" s="83"/>
      <c r="BY2079" s="83"/>
    </row>
    <row r="2080" spans="47:77">
      <c r="AU2080" s="83"/>
      <c r="AV2080" s="83"/>
      <c r="AW2080" s="83"/>
      <c r="AX2080" s="525"/>
      <c r="AY2080" s="525"/>
      <c r="AZ2080" s="525"/>
      <c r="BA2080" s="525"/>
      <c r="BB2080" s="525"/>
      <c r="BC2080" s="525"/>
      <c r="BD2080" s="525"/>
      <c r="BE2080" s="525"/>
      <c r="BF2080" s="525"/>
      <c r="BG2080" s="525"/>
      <c r="BH2080" s="525"/>
      <c r="BI2080" s="525"/>
      <c r="BJ2080" s="525"/>
      <c r="BK2080" s="525"/>
      <c r="BL2080" s="525"/>
      <c r="BM2080" s="525"/>
      <c r="BN2080" s="525"/>
      <c r="BO2080" s="525"/>
      <c r="BP2080" s="525"/>
      <c r="BQ2080" s="525"/>
      <c r="BR2080" s="525"/>
      <c r="BS2080" s="525"/>
      <c r="BT2080" s="525"/>
      <c r="BU2080" s="525"/>
      <c r="BV2080" s="525"/>
      <c r="BW2080" s="525"/>
      <c r="BX2080" s="83"/>
      <c r="BY2080" s="83"/>
    </row>
    <row r="2081" spans="47:77">
      <c r="AU2081" s="83"/>
      <c r="AV2081" s="83"/>
      <c r="AW2081" s="83"/>
      <c r="AX2081" s="525"/>
      <c r="AY2081" s="525"/>
      <c r="AZ2081" s="525"/>
      <c r="BA2081" s="525"/>
      <c r="BB2081" s="525"/>
      <c r="BC2081" s="525"/>
      <c r="BD2081" s="525"/>
      <c r="BE2081" s="525"/>
      <c r="BF2081" s="525"/>
      <c r="BG2081" s="525"/>
      <c r="BH2081" s="525"/>
      <c r="BI2081" s="525"/>
      <c r="BJ2081" s="525"/>
      <c r="BK2081" s="525"/>
      <c r="BL2081" s="525"/>
      <c r="BM2081" s="525"/>
      <c r="BN2081" s="525"/>
      <c r="BO2081" s="525"/>
      <c r="BP2081" s="525"/>
      <c r="BQ2081" s="525"/>
      <c r="BR2081" s="525"/>
      <c r="BS2081" s="525"/>
      <c r="BT2081" s="525"/>
      <c r="BU2081" s="525"/>
      <c r="BV2081" s="525"/>
      <c r="BW2081" s="525"/>
      <c r="BX2081" s="83"/>
      <c r="BY2081" s="83"/>
    </row>
    <row r="2082" spans="47:77">
      <c r="AU2082" s="83"/>
      <c r="AV2082" s="83"/>
      <c r="AW2082" s="83"/>
      <c r="AX2082" s="525"/>
      <c r="AY2082" s="525"/>
      <c r="AZ2082" s="525"/>
      <c r="BA2082" s="525"/>
      <c r="BB2082" s="525"/>
      <c r="BC2082" s="525"/>
      <c r="BD2082" s="525"/>
      <c r="BE2082" s="525"/>
      <c r="BF2082" s="525"/>
      <c r="BG2082" s="525"/>
      <c r="BH2082" s="525"/>
      <c r="BI2082" s="525"/>
      <c r="BJ2082" s="525"/>
      <c r="BK2082" s="525"/>
      <c r="BL2082" s="525"/>
      <c r="BM2082" s="525"/>
      <c r="BN2082" s="525"/>
      <c r="BO2082" s="525"/>
      <c r="BP2082" s="525"/>
      <c r="BQ2082" s="525"/>
      <c r="BR2082" s="525"/>
      <c r="BS2082" s="525"/>
      <c r="BT2082" s="525"/>
      <c r="BU2082" s="525"/>
      <c r="BV2082" s="525"/>
      <c r="BW2082" s="525"/>
      <c r="BX2082" s="83"/>
      <c r="BY2082" s="83"/>
    </row>
    <row r="2083" spans="47:77">
      <c r="AU2083" s="83"/>
      <c r="AV2083" s="83"/>
      <c r="AW2083" s="83"/>
      <c r="AX2083" s="525"/>
      <c r="AY2083" s="525"/>
      <c r="AZ2083" s="525"/>
      <c r="BA2083" s="525"/>
      <c r="BB2083" s="525"/>
      <c r="BC2083" s="525"/>
      <c r="BD2083" s="525"/>
      <c r="BE2083" s="525"/>
      <c r="BF2083" s="525"/>
      <c r="BG2083" s="525"/>
      <c r="BH2083" s="525"/>
      <c r="BI2083" s="525"/>
      <c r="BJ2083" s="525"/>
      <c r="BK2083" s="525"/>
      <c r="BL2083" s="525"/>
      <c r="BM2083" s="525"/>
      <c r="BN2083" s="525"/>
      <c r="BO2083" s="525"/>
      <c r="BP2083" s="525"/>
      <c r="BQ2083" s="525"/>
      <c r="BR2083" s="525"/>
      <c r="BS2083" s="525"/>
      <c r="BT2083" s="525"/>
      <c r="BU2083" s="525"/>
      <c r="BV2083" s="525"/>
      <c r="BW2083" s="525"/>
      <c r="BX2083" s="83"/>
      <c r="BY2083" s="83"/>
    </row>
    <row r="2084" spans="47:77">
      <c r="AU2084" s="83"/>
      <c r="AV2084" s="83"/>
      <c r="AW2084" s="83"/>
      <c r="AX2084" s="525"/>
      <c r="AY2084" s="525"/>
      <c r="AZ2084" s="525"/>
      <c r="BA2084" s="525"/>
      <c r="BB2084" s="525"/>
      <c r="BC2084" s="525"/>
      <c r="BD2084" s="525"/>
      <c r="BE2084" s="525"/>
      <c r="BF2084" s="525"/>
      <c r="BG2084" s="525"/>
      <c r="BH2084" s="525"/>
      <c r="BI2084" s="525"/>
      <c r="BJ2084" s="525"/>
      <c r="BK2084" s="525"/>
      <c r="BL2084" s="525"/>
      <c r="BM2084" s="525"/>
      <c r="BN2084" s="525"/>
      <c r="BO2084" s="525"/>
      <c r="BP2084" s="525"/>
      <c r="BQ2084" s="525"/>
      <c r="BR2084" s="525"/>
      <c r="BS2084" s="525"/>
      <c r="BT2084" s="525"/>
      <c r="BU2084" s="525"/>
      <c r="BV2084" s="525"/>
      <c r="BW2084" s="525"/>
      <c r="BX2084" s="83"/>
      <c r="BY2084" s="83"/>
    </row>
    <row r="2085" spans="47:77">
      <c r="AU2085" s="83"/>
      <c r="AV2085" s="83"/>
      <c r="AW2085" s="83"/>
      <c r="AX2085" s="525"/>
      <c r="AY2085" s="525"/>
      <c r="AZ2085" s="525"/>
      <c r="BA2085" s="525"/>
      <c r="BB2085" s="525"/>
      <c r="BC2085" s="525"/>
      <c r="BD2085" s="525"/>
      <c r="BE2085" s="525"/>
      <c r="BF2085" s="525"/>
      <c r="BG2085" s="525"/>
      <c r="BH2085" s="525"/>
      <c r="BI2085" s="525"/>
      <c r="BJ2085" s="525"/>
      <c r="BK2085" s="525"/>
      <c r="BL2085" s="525"/>
      <c r="BM2085" s="525"/>
      <c r="BN2085" s="525"/>
      <c r="BO2085" s="525"/>
      <c r="BP2085" s="525"/>
      <c r="BQ2085" s="525"/>
      <c r="BR2085" s="525"/>
      <c r="BS2085" s="525"/>
      <c r="BT2085" s="525"/>
      <c r="BU2085" s="525"/>
      <c r="BV2085" s="525"/>
      <c r="BW2085" s="525"/>
      <c r="BX2085" s="83"/>
      <c r="BY2085" s="83"/>
    </row>
    <row r="2086" spans="47:77">
      <c r="AU2086" s="83"/>
      <c r="AV2086" s="83"/>
      <c r="AW2086" s="83"/>
      <c r="AX2086" s="525"/>
      <c r="AY2086" s="525"/>
      <c r="AZ2086" s="525"/>
      <c r="BA2086" s="525"/>
      <c r="BB2086" s="525"/>
      <c r="BC2086" s="525"/>
      <c r="BD2086" s="525"/>
      <c r="BE2086" s="525"/>
      <c r="BF2086" s="525"/>
      <c r="BG2086" s="525"/>
      <c r="BH2086" s="525"/>
      <c r="BI2086" s="525"/>
      <c r="BJ2086" s="525"/>
      <c r="BK2086" s="525"/>
      <c r="BL2086" s="525"/>
      <c r="BM2086" s="525"/>
      <c r="BN2086" s="525"/>
      <c r="BO2086" s="525"/>
      <c r="BP2086" s="525"/>
      <c r="BQ2086" s="525"/>
      <c r="BR2086" s="525"/>
      <c r="BS2086" s="525"/>
      <c r="BT2086" s="525"/>
      <c r="BU2086" s="525"/>
      <c r="BV2086" s="525"/>
      <c r="BW2086" s="525"/>
      <c r="BX2086" s="83"/>
      <c r="BY2086" s="83"/>
    </row>
    <row r="2087" spans="47:77">
      <c r="AU2087" s="83"/>
      <c r="AV2087" s="83"/>
      <c r="AW2087" s="83"/>
      <c r="AX2087" s="525"/>
      <c r="AY2087" s="525"/>
      <c r="AZ2087" s="525"/>
      <c r="BA2087" s="525"/>
      <c r="BB2087" s="525"/>
      <c r="BC2087" s="525"/>
      <c r="BD2087" s="525"/>
      <c r="BE2087" s="525"/>
      <c r="BF2087" s="525"/>
      <c r="BG2087" s="525"/>
      <c r="BH2087" s="525"/>
      <c r="BI2087" s="525"/>
      <c r="BJ2087" s="525"/>
      <c r="BK2087" s="525"/>
      <c r="BL2087" s="525"/>
      <c r="BM2087" s="525"/>
      <c r="BN2087" s="525"/>
      <c r="BO2087" s="525"/>
      <c r="BP2087" s="525"/>
      <c r="BQ2087" s="525"/>
      <c r="BR2087" s="525"/>
      <c r="BS2087" s="525"/>
      <c r="BT2087" s="525"/>
      <c r="BU2087" s="525"/>
      <c r="BV2087" s="525"/>
      <c r="BW2087" s="525"/>
      <c r="BX2087" s="83"/>
      <c r="BY2087" s="83"/>
    </row>
    <row r="2088" spans="47:77">
      <c r="AU2088" s="83"/>
      <c r="AV2088" s="83"/>
      <c r="AW2088" s="83"/>
      <c r="AX2088" s="525"/>
      <c r="AY2088" s="525"/>
      <c r="AZ2088" s="525"/>
      <c r="BA2088" s="525"/>
      <c r="BB2088" s="525"/>
      <c r="BC2088" s="525"/>
      <c r="BD2088" s="525"/>
      <c r="BE2088" s="525"/>
      <c r="BF2088" s="525"/>
      <c r="BG2088" s="525"/>
      <c r="BH2088" s="525"/>
      <c r="BI2088" s="525"/>
      <c r="BJ2088" s="525"/>
      <c r="BK2088" s="525"/>
      <c r="BL2088" s="525"/>
      <c r="BM2088" s="525"/>
      <c r="BN2088" s="525"/>
      <c r="BO2088" s="525"/>
      <c r="BP2088" s="525"/>
      <c r="BQ2088" s="525"/>
      <c r="BR2088" s="525"/>
      <c r="BS2088" s="525"/>
      <c r="BT2088" s="525"/>
      <c r="BU2088" s="525"/>
      <c r="BV2088" s="525"/>
      <c r="BW2088" s="525"/>
      <c r="BX2088" s="83"/>
      <c r="BY2088" s="83"/>
    </row>
    <row r="2089" spans="47:77">
      <c r="AU2089" s="83"/>
      <c r="AV2089" s="83"/>
      <c r="AW2089" s="83"/>
      <c r="AX2089" s="525"/>
      <c r="AY2089" s="525"/>
      <c r="AZ2089" s="525"/>
      <c r="BA2089" s="525"/>
      <c r="BB2089" s="525"/>
      <c r="BC2089" s="525"/>
      <c r="BD2089" s="525"/>
      <c r="BE2089" s="525"/>
      <c r="BF2089" s="525"/>
      <c r="BG2089" s="525"/>
      <c r="BH2089" s="525"/>
      <c r="BI2089" s="525"/>
      <c r="BJ2089" s="525"/>
      <c r="BK2089" s="525"/>
      <c r="BL2089" s="525"/>
      <c r="BM2089" s="525"/>
      <c r="BN2089" s="525"/>
      <c r="BO2089" s="525"/>
      <c r="BP2089" s="525"/>
      <c r="BQ2089" s="525"/>
      <c r="BR2089" s="525"/>
      <c r="BS2089" s="525"/>
      <c r="BT2089" s="525"/>
      <c r="BU2089" s="525"/>
      <c r="BV2089" s="525"/>
      <c r="BW2089" s="525"/>
      <c r="BX2089" s="83"/>
      <c r="BY2089" s="83"/>
    </row>
    <row r="2090" spans="47:77">
      <c r="AU2090" s="83"/>
      <c r="AV2090" s="83"/>
      <c r="AW2090" s="83"/>
      <c r="AX2090" s="525"/>
      <c r="AY2090" s="525"/>
      <c r="AZ2090" s="525"/>
      <c r="BA2090" s="525"/>
      <c r="BB2090" s="525"/>
      <c r="BC2090" s="525"/>
      <c r="BD2090" s="525"/>
      <c r="BE2090" s="525"/>
      <c r="BF2090" s="525"/>
      <c r="BG2090" s="525"/>
      <c r="BH2090" s="525"/>
      <c r="BI2090" s="525"/>
      <c r="BJ2090" s="525"/>
      <c r="BK2090" s="525"/>
      <c r="BL2090" s="525"/>
      <c r="BM2090" s="525"/>
      <c r="BN2090" s="525"/>
      <c r="BO2090" s="525"/>
      <c r="BP2090" s="525"/>
      <c r="BQ2090" s="525"/>
      <c r="BR2090" s="525"/>
      <c r="BS2090" s="525"/>
      <c r="BT2090" s="525"/>
      <c r="BU2090" s="525"/>
      <c r="BV2090" s="525"/>
      <c r="BW2090" s="525"/>
      <c r="BX2090" s="83"/>
      <c r="BY2090" s="83"/>
    </row>
    <row r="2091" spans="47:77">
      <c r="AU2091" s="83"/>
      <c r="AV2091" s="83"/>
      <c r="AW2091" s="83"/>
      <c r="AX2091" s="525"/>
      <c r="AY2091" s="525"/>
      <c r="AZ2091" s="525"/>
      <c r="BA2091" s="525"/>
      <c r="BB2091" s="525"/>
      <c r="BC2091" s="525"/>
      <c r="BD2091" s="525"/>
      <c r="BE2091" s="525"/>
      <c r="BF2091" s="525"/>
      <c r="BG2091" s="525"/>
      <c r="BH2091" s="525"/>
      <c r="BI2091" s="525"/>
      <c r="BJ2091" s="525"/>
      <c r="BK2091" s="525"/>
      <c r="BL2091" s="525"/>
      <c r="BM2091" s="525"/>
      <c r="BN2091" s="525"/>
      <c r="BO2091" s="525"/>
      <c r="BP2091" s="525"/>
      <c r="BQ2091" s="525"/>
      <c r="BR2091" s="525"/>
      <c r="BS2091" s="525"/>
      <c r="BT2091" s="525"/>
      <c r="BU2091" s="525"/>
      <c r="BV2091" s="525"/>
      <c r="BW2091" s="525"/>
      <c r="BX2091" s="83"/>
      <c r="BY2091" s="83"/>
    </row>
    <row r="2092" spans="47:77">
      <c r="AU2092" s="83"/>
      <c r="AV2092" s="83"/>
      <c r="AW2092" s="83"/>
      <c r="AX2092" s="525"/>
      <c r="AY2092" s="525"/>
      <c r="AZ2092" s="525"/>
      <c r="BA2092" s="525"/>
      <c r="BB2092" s="525"/>
      <c r="BC2092" s="525"/>
      <c r="BD2092" s="525"/>
      <c r="BE2092" s="525"/>
      <c r="BF2092" s="525"/>
      <c r="BG2092" s="525"/>
      <c r="BH2092" s="525"/>
      <c r="BI2092" s="525"/>
      <c r="BJ2092" s="525"/>
      <c r="BK2092" s="525"/>
      <c r="BL2092" s="525"/>
      <c r="BM2092" s="525"/>
      <c r="BN2092" s="525"/>
      <c r="BO2092" s="525"/>
      <c r="BP2092" s="525"/>
      <c r="BQ2092" s="525"/>
      <c r="BR2092" s="525"/>
      <c r="BS2092" s="525"/>
      <c r="BT2092" s="525"/>
      <c r="BU2092" s="525"/>
      <c r="BV2092" s="525"/>
      <c r="BW2092" s="525"/>
      <c r="BX2092" s="83"/>
      <c r="BY2092" s="83"/>
    </row>
    <row r="2093" spans="47:77">
      <c r="AU2093" s="83"/>
      <c r="AV2093" s="83"/>
      <c r="AW2093" s="83"/>
      <c r="AX2093" s="525"/>
      <c r="AY2093" s="525"/>
      <c r="AZ2093" s="525"/>
      <c r="BA2093" s="525"/>
      <c r="BB2093" s="525"/>
      <c r="BC2093" s="525"/>
      <c r="BD2093" s="525"/>
      <c r="BE2093" s="525"/>
      <c r="BF2093" s="525"/>
      <c r="BG2093" s="525"/>
      <c r="BH2093" s="525"/>
      <c r="BI2093" s="525"/>
      <c r="BJ2093" s="525"/>
      <c r="BK2093" s="525"/>
      <c r="BL2093" s="525"/>
      <c r="BM2093" s="525"/>
      <c r="BN2093" s="525"/>
      <c r="BO2093" s="525"/>
      <c r="BP2093" s="525"/>
      <c r="BQ2093" s="525"/>
      <c r="BR2093" s="525"/>
      <c r="BS2093" s="525"/>
      <c r="BT2093" s="525"/>
      <c r="BU2093" s="525"/>
      <c r="BV2093" s="525"/>
      <c r="BW2093" s="525"/>
      <c r="BX2093" s="83"/>
      <c r="BY2093" s="83"/>
    </row>
    <row r="2094" spans="47:77">
      <c r="AU2094" s="83"/>
      <c r="AV2094" s="83"/>
      <c r="AW2094" s="83"/>
      <c r="AX2094" s="525"/>
      <c r="AY2094" s="525"/>
      <c r="AZ2094" s="525"/>
      <c r="BA2094" s="525"/>
      <c r="BB2094" s="525"/>
      <c r="BC2094" s="525"/>
      <c r="BD2094" s="525"/>
      <c r="BE2094" s="525"/>
      <c r="BF2094" s="525"/>
      <c r="BG2094" s="525"/>
      <c r="BH2094" s="525"/>
      <c r="BI2094" s="525"/>
      <c r="BJ2094" s="525"/>
      <c r="BK2094" s="525"/>
      <c r="BL2094" s="525"/>
      <c r="BM2094" s="525"/>
      <c r="BN2094" s="525"/>
      <c r="BO2094" s="525"/>
      <c r="BP2094" s="525"/>
      <c r="BQ2094" s="525"/>
      <c r="BR2094" s="525"/>
      <c r="BS2094" s="525"/>
      <c r="BT2094" s="525"/>
      <c r="BU2094" s="525"/>
      <c r="BV2094" s="525"/>
      <c r="BW2094" s="525"/>
      <c r="BX2094" s="83"/>
      <c r="BY2094" s="83"/>
    </row>
    <row r="2095" spans="47:77">
      <c r="AU2095" s="83"/>
      <c r="AV2095" s="83"/>
      <c r="AW2095" s="83"/>
      <c r="AX2095" s="525"/>
      <c r="AY2095" s="525"/>
      <c r="AZ2095" s="525"/>
      <c r="BA2095" s="525"/>
      <c r="BB2095" s="525"/>
      <c r="BC2095" s="525"/>
      <c r="BD2095" s="525"/>
      <c r="BE2095" s="525"/>
      <c r="BF2095" s="525"/>
      <c r="BG2095" s="525"/>
      <c r="BH2095" s="525"/>
      <c r="BI2095" s="525"/>
      <c r="BJ2095" s="525"/>
      <c r="BK2095" s="525"/>
      <c r="BL2095" s="525"/>
      <c r="BM2095" s="525"/>
      <c r="BN2095" s="525"/>
      <c r="BO2095" s="525"/>
      <c r="BP2095" s="525"/>
      <c r="BQ2095" s="525"/>
      <c r="BR2095" s="525"/>
      <c r="BS2095" s="525"/>
      <c r="BT2095" s="525"/>
      <c r="BU2095" s="525"/>
      <c r="BV2095" s="525"/>
      <c r="BW2095" s="525"/>
      <c r="BX2095" s="83"/>
      <c r="BY2095" s="83"/>
    </row>
    <row r="2096" spans="47:77">
      <c r="AU2096" s="83"/>
      <c r="AV2096" s="83"/>
      <c r="AW2096" s="83"/>
      <c r="AX2096" s="525"/>
      <c r="AY2096" s="525"/>
      <c r="AZ2096" s="525"/>
      <c r="BA2096" s="525"/>
      <c r="BB2096" s="525"/>
      <c r="BC2096" s="525"/>
      <c r="BD2096" s="525"/>
      <c r="BE2096" s="525"/>
      <c r="BF2096" s="525"/>
      <c r="BG2096" s="525"/>
      <c r="BH2096" s="525"/>
      <c r="BI2096" s="525"/>
      <c r="BJ2096" s="525"/>
      <c r="BK2096" s="525"/>
      <c r="BL2096" s="525"/>
      <c r="BM2096" s="525"/>
      <c r="BN2096" s="525"/>
      <c r="BO2096" s="525"/>
      <c r="BP2096" s="525"/>
      <c r="BQ2096" s="525"/>
      <c r="BR2096" s="525"/>
      <c r="BS2096" s="525"/>
      <c r="BT2096" s="525"/>
      <c r="BU2096" s="525"/>
      <c r="BV2096" s="525"/>
      <c r="BW2096" s="525"/>
      <c r="BX2096" s="83"/>
      <c r="BY2096" s="83"/>
    </row>
    <row r="2097" spans="47:77">
      <c r="AU2097" s="83"/>
      <c r="AV2097" s="83"/>
      <c r="AW2097" s="83"/>
      <c r="AX2097" s="525"/>
      <c r="AY2097" s="525"/>
      <c r="AZ2097" s="525"/>
      <c r="BA2097" s="525"/>
      <c r="BB2097" s="525"/>
      <c r="BC2097" s="525"/>
      <c r="BD2097" s="525"/>
      <c r="BE2097" s="525"/>
      <c r="BF2097" s="525"/>
      <c r="BG2097" s="525"/>
      <c r="BH2097" s="525"/>
      <c r="BI2097" s="525"/>
      <c r="BJ2097" s="525"/>
      <c r="BK2097" s="525"/>
      <c r="BL2097" s="525"/>
      <c r="BM2097" s="525"/>
      <c r="BN2097" s="525"/>
      <c r="BO2097" s="525"/>
      <c r="BP2097" s="525"/>
      <c r="BQ2097" s="525"/>
      <c r="BR2097" s="525"/>
      <c r="BS2097" s="525"/>
      <c r="BT2097" s="525"/>
      <c r="BU2097" s="525"/>
      <c r="BV2097" s="525"/>
      <c r="BW2097" s="525"/>
      <c r="BX2097" s="83"/>
      <c r="BY2097" s="83"/>
    </row>
    <row r="2098" spans="47:77">
      <c r="AU2098" s="83"/>
      <c r="AV2098" s="83"/>
      <c r="AW2098" s="83"/>
      <c r="AX2098" s="525"/>
      <c r="AY2098" s="525"/>
      <c r="AZ2098" s="525"/>
      <c r="BA2098" s="525"/>
      <c r="BB2098" s="525"/>
      <c r="BC2098" s="525"/>
      <c r="BD2098" s="525"/>
      <c r="BE2098" s="525"/>
      <c r="BF2098" s="525"/>
      <c r="BG2098" s="525"/>
      <c r="BH2098" s="525"/>
      <c r="BI2098" s="525"/>
      <c r="BJ2098" s="525"/>
      <c r="BK2098" s="525"/>
      <c r="BL2098" s="525"/>
      <c r="BM2098" s="525"/>
      <c r="BN2098" s="525"/>
      <c r="BO2098" s="525"/>
      <c r="BP2098" s="525"/>
      <c r="BQ2098" s="525"/>
      <c r="BR2098" s="525"/>
      <c r="BS2098" s="525"/>
      <c r="BT2098" s="525"/>
      <c r="BU2098" s="525"/>
      <c r="BV2098" s="525"/>
      <c r="BW2098" s="525"/>
      <c r="BX2098" s="83"/>
      <c r="BY2098" s="83"/>
    </row>
    <row r="2099" spans="47:77">
      <c r="AU2099" s="83"/>
      <c r="AV2099" s="83"/>
      <c r="AW2099" s="83"/>
      <c r="AX2099" s="525"/>
      <c r="AY2099" s="525"/>
      <c r="AZ2099" s="525"/>
      <c r="BA2099" s="525"/>
      <c r="BB2099" s="525"/>
      <c r="BC2099" s="525"/>
      <c r="BD2099" s="525"/>
      <c r="BE2099" s="525"/>
      <c r="BF2099" s="525"/>
      <c r="BG2099" s="525"/>
      <c r="BH2099" s="525"/>
      <c r="BI2099" s="525"/>
      <c r="BJ2099" s="525"/>
      <c r="BK2099" s="525"/>
      <c r="BL2099" s="525"/>
      <c r="BM2099" s="525"/>
      <c r="BN2099" s="525"/>
      <c r="BO2099" s="525"/>
      <c r="BP2099" s="525"/>
      <c r="BQ2099" s="525"/>
      <c r="BR2099" s="525"/>
      <c r="BS2099" s="525"/>
      <c r="BT2099" s="525"/>
      <c r="BU2099" s="525"/>
      <c r="BV2099" s="525"/>
      <c r="BW2099" s="525"/>
      <c r="BX2099" s="83"/>
      <c r="BY2099" s="83"/>
    </row>
    <row r="2100" spans="47:77">
      <c r="AU2100" s="83"/>
      <c r="AV2100" s="83"/>
      <c r="AW2100" s="83"/>
      <c r="AX2100" s="525"/>
      <c r="AY2100" s="525"/>
      <c r="AZ2100" s="525"/>
      <c r="BA2100" s="525"/>
      <c r="BB2100" s="525"/>
      <c r="BC2100" s="525"/>
      <c r="BD2100" s="525"/>
      <c r="BE2100" s="525"/>
      <c r="BF2100" s="525"/>
      <c r="BG2100" s="525"/>
      <c r="BH2100" s="525"/>
      <c r="BI2100" s="525"/>
      <c r="BJ2100" s="525"/>
      <c r="BK2100" s="525"/>
      <c r="BL2100" s="525"/>
      <c r="BM2100" s="525"/>
      <c r="BN2100" s="525"/>
      <c r="BO2100" s="525"/>
      <c r="BP2100" s="525"/>
      <c r="BQ2100" s="525"/>
      <c r="BR2100" s="525"/>
      <c r="BS2100" s="525"/>
      <c r="BT2100" s="525"/>
      <c r="BU2100" s="525"/>
      <c r="BV2100" s="525"/>
      <c r="BW2100" s="525"/>
      <c r="BX2100" s="83"/>
      <c r="BY2100" s="83"/>
    </row>
    <row r="2101" spans="47:77">
      <c r="AU2101" s="83"/>
      <c r="AV2101" s="83"/>
      <c r="AW2101" s="83"/>
      <c r="AX2101" s="525"/>
      <c r="AY2101" s="525"/>
      <c r="AZ2101" s="525"/>
      <c r="BA2101" s="525"/>
      <c r="BB2101" s="525"/>
      <c r="BC2101" s="525"/>
      <c r="BD2101" s="525"/>
      <c r="BE2101" s="525"/>
      <c r="BF2101" s="525"/>
      <c r="BG2101" s="525"/>
      <c r="BH2101" s="525"/>
      <c r="BI2101" s="525"/>
      <c r="BJ2101" s="525"/>
      <c r="BK2101" s="525"/>
      <c r="BL2101" s="525"/>
      <c r="BM2101" s="525"/>
      <c r="BN2101" s="525"/>
      <c r="BO2101" s="525"/>
      <c r="BP2101" s="525"/>
      <c r="BQ2101" s="525"/>
      <c r="BR2101" s="525"/>
      <c r="BS2101" s="525"/>
      <c r="BT2101" s="525"/>
      <c r="BU2101" s="525"/>
      <c r="BV2101" s="525"/>
      <c r="BW2101" s="525"/>
      <c r="BX2101" s="83"/>
      <c r="BY2101" s="83"/>
    </row>
    <row r="2102" spans="47:77">
      <c r="AU2102" s="83"/>
      <c r="AV2102" s="83"/>
      <c r="AW2102" s="83"/>
      <c r="AX2102" s="525"/>
      <c r="AY2102" s="525"/>
      <c r="AZ2102" s="525"/>
      <c r="BA2102" s="525"/>
      <c r="BB2102" s="525"/>
      <c r="BC2102" s="525"/>
      <c r="BD2102" s="525"/>
      <c r="BE2102" s="525"/>
      <c r="BF2102" s="525"/>
      <c r="BG2102" s="525"/>
      <c r="BH2102" s="525"/>
      <c r="BI2102" s="525"/>
      <c r="BJ2102" s="525"/>
      <c r="BK2102" s="525"/>
      <c r="BL2102" s="525"/>
      <c r="BM2102" s="525"/>
      <c r="BN2102" s="525"/>
      <c r="BO2102" s="525"/>
      <c r="BP2102" s="525"/>
      <c r="BQ2102" s="525"/>
      <c r="BR2102" s="525"/>
      <c r="BS2102" s="525"/>
      <c r="BT2102" s="525"/>
      <c r="BU2102" s="525"/>
      <c r="BV2102" s="525"/>
      <c r="BW2102" s="525"/>
      <c r="BX2102" s="83"/>
      <c r="BY2102" s="83"/>
    </row>
    <row r="2103" spans="47:77">
      <c r="AU2103" s="83"/>
      <c r="AV2103" s="83"/>
      <c r="AW2103" s="83"/>
      <c r="AX2103" s="525"/>
      <c r="AY2103" s="525"/>
      <c r="AZ2103" s="525"/>
      <c r="BA2103" s="525"/>
      <c r="BB2103" s="525"/>
      <c r="BC2103" s="525"/>
      <c r="BD2103" s="525"/>
      <c r="BE2103" s="525"/>
      <c r="BF2103" s="525"/>
      <c r="BG2103" s="525"/>
      <c r="BH2103" s="525"/>
      <c r="BI2103" s="525"/>
      <c r="BJ2103" s="525"/>
      <c r="BK2103" s="525"/>
      <c r="BL2103" s="525"/>
      <c r="BM2103" s="525"/>
      <c r="BN2103" s="525"/>
      <c r="BO2103" s="525"/>
      <c r="BP2103" s="525"/>
      <c r="BQ2103" s="525"/>
      <c r="BR2103" s="525"/>
      <c r="BS2103" s="525"/>
      <c r="BT2103" s="525"/>
      <c r="BU2103" s="525"/>
      <c r="BV2103" s="525"/>
      <c r="BW2103" s="525"/>
      <c r="BX2103" s="83"/>
      <c r="BY2103" s="83"/>
    </row>
    <row r="2104" spans="47:77">
      <c r="AU2104" s="83"/>
      <c r="AV2104" s="83"/>
      <c r="AW2104" s="83"/>
      <c r="AX2104" s="525"/>
      <c r="AY2104" s="525"/>
      <c r="AZ2104" s="525"/>
      <c r="BA2104" s="525"/>
      <c r="BB2104" s="525"/>
      <c r="BC2104" s="525"/>
      <c r="BD2104" s="525"/>
      <c r="BE2104" s="525"/>
      <c r="BF2104" s="525"/>
      <c r="BG2104" s="525"/>
      <c r="BH2104" s="525"/>
      <c r="BI2104" s="525"/>
      <c r="BJ2104" s="525"/>
      <c r="BK2104" s="525"/>
      <c r="BL2104" s="525"/>
      <c r="BM2104" s="525"/>
      <c r="BN2104" s="525"/>
      <c r="BO2104" s="525"/>
      <c r="BP2104" s="525"/>
      <c r="BQ2104" s="525"/>
      <c r="BR2104" s="525"/>
      <c r="BS2104" s="525"/>
      <c r="BT2104" s="525"/>
      <c r="BU2104" s="525"/>
      <c r="BV2104" s="525"/>
      <c r="BW2104" s="525"/>
      <c r="BX2104" s="83"/>
      <c r="BY2104" s="83"/>
    </row>
    <row r="2105" spans="47:77">
      <c r="AU2105" s="83"/>
      <c r="AV2105" s="83"/>
      <c r="AW2105" s="83"/>
      <c r="AX2105" s="525"/>
      <c r="AY2105" s="525"/>
      <c r="AZ2105" s="525"/>
      <c r="BA2105" s="525"/>
      <c r="BB2105" s="525"/>
      <c r="BC2105" s="525"/>
      <c r="BD2105" s="525"/>
      <c r="BE2105" s="525"/>
      <c r="BF2105" s="525"/>
      <c r="BG2105" s="525"/>
      <c r="BH2105" s="525"/>
      <c r="BI2105" s="525"/>
      <c r="BJ2105" s="525"/>
      <c r="BK2105" s="525"/>
      <c r="BL2105" s="525"/>
      <c r="BM2105" s="525"/>
      <c r="BN2105" s="525"/>
      <c r="BO2105" s="525"/>
      <c r="BP2105" s="525"/>
      <c r="BQ2105" s="525"/>
      <c r="BR2105" s="525"/>
      <c r="BS2105" s="525"/>
      <c r="BT2105" s="525"/>
      <c r="BU2105" s="525"/>
      <c r="BV2105" s="525"/>
      <c r="BW2105" s="525"/>
      <c r="BX2105" s="83"/>
      <c r="BY2105" s="83"/>
    </row>
    <row r="2106" spans="47:77">
      <c r="AU2106" s="83"/>
      <c r="AV2106" s="83"/>
      <c r="AW2106" s="83"/>
      <c r="AX2106" s="525"/>
      <c r="AY2106" s="525"/>
      <c r="AZ2106" s="525"/>
      <c r="BA2106" s="525"/>
      <c r="BB2106" s="525"/>
      <c r="BC2106" s="525"/>
      <c r="BD2106" s="525"/>
      <c r="BE2106" s="525"/>
      <c r="BF2106" s="525"/>
      <c r="BG2106" s="525"/>
      <c r="BH2106" s="525"/>
      <c r="BI2106" s="525"/>
      <c r="BJ2106" s="525"/>
      <c r="BK2106" s="525"/>
      <c r="BL2106" s="525"/>
      <c r="BM2106" s="525"/>
      <c r="BN2106" s="525"/>
      <c r="BO2106" s="525"/>
      <c r="BP2106" s="525"/>
      <c r="BQ2106" s="525"/>
      <c r="BR2106" s="525"/>
      <c r="BS2106" s="525"/>
      <c r="BT2106" s="525"/>
      <c r="BU2106" s="525"/>
      <c r="BV2106" s="525"/>
      <c r="BW2106" s="525"/>
      <c r="BX2106" s="83"/>
      <c r="BY2106" s="83"/>
    </row>
    <row r="2107" spans="47:77">
      <c r="AU2107" s="83"/>
      <c r="AV2107" s="83"/>
      <c r="AW2107" s="83"/>
      <c r="AX2107" s="525"/>
      <c r="AY2107" s="525"/>
      <c r="AZ2107" s="525"/>
      <c r="BA2107" s="525"/>
      <c r="BB2107" s="525"/>
      <c r="BC2107" s="525"/>
      <c r="BD2107" s="525"/>
      <c r="BE2107" s="525"/>
      <c r="BF2107" s="525"/>
      <c r="BG2107" s="525"/>
      <c r="BH2107" s="525"/>
      <c r="BI2107" s="525"/>
      <c r="BJ2107" s="525"/>
      <c r="BK2107" s="525"/>
      <c r="BL2107" s="525"/>
      <c r="BM2107" s="525"/>
      <c r="BN2107" s="525"/>
      <c r="BO2107" s="525"/>
      <c r="BP2107" s="525"/>
      <c r="BQ2107" s="525"/>
      <c r="BR2107" s="525"/>
      <c r="BS2107" s="525"/>
      <c r="BT2107" s="525"/>
      <c r="BU2107" s="525"/>
      <c r="BV2107" s="525"/>
      <c r="BW2107" s="525"/>
      <c r="BX2107" s="83"/>
      <c r="BY2107" s="83"/>
    </row>
    <row r="2108" spans="47:77">
      <c r="AU2108" s="83"/>
      <c r="AV2108" s="83"/>
      <c r="AW2108" s="83"/>
      <c r="AX2108" s="525"/>
      <c r="AY2108" s="525"/>
      <c r="AZ2108" s="525"/>
      <c r="BA2108" s="525"/>
      <c r="BB2108" s="525"/>
      <c r="BC2108" s="525"/>
      <c r="BD2108" s="525"/>
      <c r="BE2108" s="525"/>
      <c r="BF2108" s="525"/>
      <c r="BG2108" s="525"/>
      <c r="BH2108" s="525"/>
      <c r="BI2108" s="525"/>
      <c r="BJ2108" s="525"/>
      <c r="BK2108" s="525"/>
      <c r="BL2108" s="525"/>
      <c r="BM2108" s="525"/>
      <c r="BN2108" s="525"/>
      <c r="BO2108" s="525"/>
      <c r="BP2108" s="525"/>
      <c r="BQ2108" s="525"/>
      <c r="BR2108" s="525"/>
      <c r="BS2108" s="525"/>
      <c r="BT2108" s="525"/>
      <c r="BU2108" s="525"/>
      <c r="BV2108" s="525"/>
      <c r="BW2108" s="525"/>
      <c r="BX2108" s="83"/>
      <c r="BY2108" s="83"/>
    </row>
    <row r="2109" spans="47:77">
      <c r="AU2109" s="83"/>
      <c r="AV2109" s="83"/>
      <c r="AW2109" s="83"/>
      <c r="AX2109" s="525"/>
      <c r="AY2109" s="525"/>
      <c r="AZ2109" s="525"/>
      <c r="BA2109" s="525"/>
      <c r="BB2109" s="525"/>
      <c r="BC2109" s="525"/>
      <c r="BD2109" s="525"/>
      <c r="BE2109" s="525"/>
      <c r="BF2109" s="525"/>
      <c r="BG2109" s="525"/>
      <c r="BH2109" s="525"/>
      <c r="BI2109" s="525"/>
      <c r="BJ2109" s="525"/>
      <c r="BK2109" s="525"/>
      <c r="BL2109" s="525"/>
      <c r="BM2109" s="525"/>
      <c r="BN2109" s="525"/>
      <c r="BO2109" s="525"/>
      <c r="BP2109" s="525"/>
      <c r="BQ2109" s="525"/>
      <c r="BR2109" s="525"/>
      <c r="BS2109" s="525"/>
      <c r="BT2109" s="525"/>
      <c r="BU2109" s="525"/>
      <c r="BV2109" s="525"/>
      <c r="BW2109" s="525"/>
      <c r="BX2109" s="83"/>
      <c r="BY2109" s="83"/>
    </row>
    <row r="2110" spans="47:77">
      <c r="AU2110" s="83"/>
      <c r="AV2110" s="83"/>
      <c r="AW2110" s="83"/>
      <c r="AX2110" s="525"/>
      <c r="AY2110" s="525"/>
      <c r="AZ2110" s="525"/>
      <c r="BA2110" s="525"/>
      <c r="BB2110" s="525"/>
      <c r="BC2110" s="525"/>
      <c r="BD2110" s="525"/>
      <c r="BE2110" s="525"/>
      <c r="BF2110" s="525"/>
      <c r="BG2110" s="525"/>
      <c r="BH2110" s="525"/>
      <c r="BI2110" s="525"/>
      <c r="BJ2110" s="525"/>
      <c r="BK2110" s="525"/>
      <c r="BL2110" s="525"/>
      <c r="BM2110" s="525"/>
      <c r="BN2110" s="525"/>
      <c r="BO2110" s="525"/>
      <c r="BP2110" s="525"/>
      <c r="BQ2110" s="525"/>
      <c r="BR2110" s="525"/>
      <c r="BS2110" s="525"/>
      <c r="BT2110" s="525"/>
      <c r="BU2110" s="525"/>
      <c r="BV2110" s="525"/>
      <c r="BW2110" s="525"/>
      <c r="BX2110" s="83"/>
      <c r="BY2110" s="83"/>
    </row>
    <row r="2111" spans="47:77">
      <c r="AU2111" s="83"/>
      <c r="AV2111" s="83"/>
      <c r="AW2111" s="83"/>
      <c r="AX2111" s="525"/>
      <c r="AY2111" s="525"/>
      <c r="AZ2111" s="525"/>
      <c r="BA2111" s="525"/>
      <c r="BB2111" s="525"/>
      <c r="BC2111" s="525"/>
      <c r="BD2111" s="525"/>
      <c r="BE2111" s="525"/>
      <c r="BF2111" s="525"/>
      <c r="BG2111" s="525"/>
      <c r="BH2111" s="525"/>
      <c r="BI2111" s="525"/>
      <c r="BJ2111" s="525"/>
      <c r="BK2111" s="525"/>
      <c r="BL2111" s="525"/>
      <c r="BM2111" s="525"/>
      <c r="BN2111" s="525"/>
      <c r="BO2111" s="525"/>
      <c r="BP2111" s="525"/>
      <c r="BQ2111" s="525"/>
      <c r="BR2111" s="525"/>
      <c r="BS2111" s="525"/>
      <c r="BT2111" s="525"/>
      <c r="BU2111" s="525"/>
      <c r="BV2111" s="525"/>
      <c r="BW2111" s="525"/>
      <c r="BX2111" s="83"/>
      <c r="BY2111" s="83"/>
    </row>
    <row r="2112" spans="47:77">
      <c r="AU2112" s="158"/>
      <c r="AV2112" s="158"/>
      <c r="AW2112" s="158"/>
      <c r="AX2112" s="505"/>
      <c r="AY2112" s="505"/>
      <c r="AZ2112" s="505"/>
      <c r="BA2112" s="505"/>
      <c r="BB2112" s="505"/>
      <c r="BC2112" s="505"/>
      <c r="BD2112" s="505"/>
      <c r="BE2112" s="505"/>
      <c r="BF2112" s="505"/>
      <c r="BG2112" s="505"/>
      <c r="BH2112" s="505"/>
      <c r="BI2112" s="505"/>
      <c r="BJ2112" s="505"/>
      <c r="BK2112" s="505"/>
      <c r="BL2112" s="505"/>
      <c r="BM2112" s="505"/>
      <c r="BN2112" s="505"/>
      <c r="BO2112" s="505"/>
      <c r="BP2112" s="505"/>
      <c r="BQ2112" s="505"/>
      <c r="BR2112" s="505"/>
      <c r="BS2112" s="505"/>
      <c r="BT2112" s="505"/>
      <c r="BU2112" s="505"/>
      <c r="BV2112" s="505"/>
      <c r="BW2112" s="505"/>
    </row>
    <row r="2113" spans="47:77">
      <c r="AU2113" s="83"/>
      <c r="AV2113" s="83"/>
      <c r="AW2113" s="83"/>
      <c r="AX2113" s="525"/>
      <c r="AY2113" s="525"/>
      <c r="AZ2113" s="525"/>
      <c r="BA2113" s="525"/>
      <c r="BB2113" s="525"/>
      <c r="BC2113" s="525"/>
      <c r="BD2113" s="525"/>
      <c r="BE2113" s="525"/>
      <c r="BF2113" s="525"/>
      <c r="BG2113" s="525"/>
      <c r="BH2113" s="525"/>
      <c r="BI2113" s="525"/>
      <c r="BJ2113" s="525"/>
      <c r="BK2113" s="525"/>
      <c r="BL2113" s="525"/>
      <c r="BM2113" s="525"/>
      <c r="BN2113" s="525"/>
      <c r="BO2113" s="525"/>
      <c r="BP2113" s="525"/>
      <c r="BQ2113" s="525"/>
      <c r="BR2113" s="525"/>
      <c r="BS2113" s="525"/>
      <c r="BT2113" s="525"/>
      <c r="BU2113" s="525"/>
      <c r="BV2113" s="525"/>
      <c r="BW2113" s="525"/>
      <c r="BX2113" s="83"/>
      <c r="BY2113" s="83"/>
    </row>
    <row r="2114" spans="47:77">
      <c r="AU2114" s="83"/>
      <c r="AV2114" s="83"/>
      <c r="AW2114" s="83"/>
      <c r="AX2114" s="525"/>
      <c r="AY2114" s="525"/>
      <c r="AZ2114" s="525"/>
      <c r="BA2114" s="525"/>
      <c r="BB2114" s="525"/>
      <c r="BC2114" s="525"/>
      <c r="BD2114" s="525"/>
      <c r="BE2114" s="525"/>
      <c r="BF2114" s="525"/>
      <c r="BG2114" s="525"/>
      <c r="BH2114" s="525"/>
      <c r="BI2114" s="525"/>
      <c r="BJ2114" s="525"/>
      <c r="BK2114" s="525"/>
      <c r="BL2114" s="525"/>
      <c r="BM2114" s="525"/>
      <c r="BN2114" s="525"/>
      <c r="BO2114" s="525"/>
      <c r="BP2114" s="525"/>
      <c r="BQ2114" s="525"/>
      <c r="BR2114" s="525"/>
      <c r="BS2114" s="525"/>
      <c r="BT2114" s="525"/>
      <c r="BU2114" s="525"/>
      <c r="BV2114" s="525"/>
      <c r="BW2114" s="525"/>
      <c r="BX2114" s="83"/>
      <c r="BY2114" s="83"/>
    </row>
    <row r="2115" spans="47:77">
      <c r="AU2115" s="83"/>
      <c r="AV2115" s="83"/>
      <c r="AW2115" s="83"/>
      <c r="AX2115" s="525"/>
      <c r="AY2115" s="525"/>
      <c r="AZ2115" s="525"/>
      <c r="BA2115" s="525"/>
      <c r="BB2115" s="525"/>
      <c r="BC2115" s="525"/>
      <c r="BD2115" s="525"/>
      <c r="BE2115" s="525"/>
      <c r="BF2115" s="525"/>
      <c r="BG2115" s="525"/>
      <c r="BH2115" s="525"/>
      <c r="BI2115" s="525"/>
      <c r="BJ2115" s="525"/>
      <c r="BK2115" s="525"/>
      <c r="BL2115" s="525"/>
      <c r="BM2115" s="525"/>
      <c r="BN2115" s="525"/>
      <c r="BO2115" s="525"/>
      <c r="BP2115" s="525"/>
      <c r="BQ2115" s="525"/>
      <c r="BR2115" s="525"/>
      <c r="BS2115" s="525"/>
      <c r="BT2115" s="525"/>
      <c r="BU2115" s="525"/>
      <c r="BV2115" s="525"/>
      <c r="BW2115" s="525"/>
      <c r="BX2115" s="83"/>
      <c r="BY2115" s="83"/>
    </row>
    <row r="2116" spans="47:77">
      <c r="AU2116" s="83"/>
      <c r="AV2116" s="83"/>
      <c r="AW2116" s="83"/>
      <c r="AX2116" s="525"/>
      <c r="AY2116" s="525"/>
      <c r="AZ2116" s="525"/>
      <c r="BA2116" s="525"/>
      <c r="BB2116" s="525"/>
      <c r="BC2116" s="525"/>
      <c r="BD2116" s="525"/>
      <c r="BE2116" s="525"/>
      <c r="BF2116" s="525"/>
      <c r="BG2116" s="525"/>
      <c r="BH2116" s="525"/>
      <c r="BI2116" s="525"/>
      <c r="BJ2116" s="525"/>
      <c r="BK2116" s="525"/>
      <c r="BL2116" s="525"/>
      <c r="BM2116" s="525"/>
      <c r="BN2116" s="525"/>
      <c r="BO2116" s="525"/>
      <c r="BP2116" s="525"/>
      <c r="BQ2116" s="525"/>
      <c r="BR2116" s="525"/>
      <c r="BS2116" s="525"/>
      <c r="BT2116" s="525"/>
      <c r="BU2116" s="525"/>
      <c r="BV2116" s="525"/>
      <c r="BW2116" s="525"/>
      <c r="BX2116" s="83"/>
      <c r="BY2116" s="83"/>
    </row>
    <row r="2117" spans="47:77">
      <c r="AU2117" s="83"/>
      <c r="AV2117" s="83"/>
      <c r="AW2117" s="83"/>
      <c r="AX2117" s="525"/>
      <c r="AY2117" s="525"/>
      <c r="AZ2117" s="525"/>
      <c r="BA2117" s="525"/>
      <c r="BB2117" s="525"/>
      <c r="BC2117" s="525"/>
      <c r="BD2117" s="525"/>
      <c r="BE2117" s="525"/>
      <c r="BF2117" s="525"/>
      <c r="BG2117" s="525"/>
      <c r="BH2117" s="525"/>
      <c r="BI2117" s="525"/>
      <c r="BJ2117" s="525"/>
      <c r="BK2117" s="525"/>
      <c r="BL2117" s="525"/>
      <c r="BM2117" s="525"/>
      <c r="BN2117" s="525"/>
      <c r="BO2117" s="525"/>
      <c r="BP2117" s="525"/>
      <c r="BQ2117" s="525"/>
      <c r="BR2117" s="525"/>
      <c r="BS2117" s="525"/>
      <c r="BT2117" s="525"/>
      <c r="BU2117" s="525"/>
      <c r="BV2117" s="525"/>
      <c r="BW2117" s="525"/>
      <c r="BX2117" s="83"/>
      <c r="BY2117" s="83"/>
    </row>
    <row r="2118" spans="47:77">
      <c r="AU2118" s="83"/>
      <c r="AV2118" s="83"/>
      <c r="AW2118" s="83"/>
      <c r="AX2118" s="525"/>
      <c r="AY2118" s="525"/>
      <c r="AZ2118" s="525"/>
      <c r="BA2118" s="525"/>
      <c r="BB2118" s="525"/>
      <c r="BC2118" s="525"/>
      <c r="BD2118" s="525"/>
      <c r="BE2118" s="525"/>
      <c r="BF2118" s="525"/>
      <c r="BG2118" s="525"/>
      <c r="BH2118" s="525"/>
      <c r="BI2118" s="525"/>
      <c r="BJ2118" s="525"/>
      <c r="BK2118" s="525"/>
      <c r="BL2118" s="525"/>
      <c r="BM2118" s="525"/>
      <c r="BN2118" s="525"/>
      <c r="BO2118" s="525"/>
      <c r="BP2118" s="525"/>
      <c r="BQ2118" s="525"/>
      <c r="BR2118" s="525"/>
      <c r="BS2118" s="525"/>
      <c r="BT2118" s="525"/>
      <c r="BU2118" s="525"/>
      <c r="BV2118" s="525"/>
      <c r="BW2118" s="525"/>
      <c r="BX2118" s="83"/>
      <c r="BY2118" s="83"/>
    </row>
    <row r="2119" spans="47:77">
      <c r="AU2119" s="83"/>
      <c r="AV2119" s="83"/>
      <c r="AW2119" s="83"/>
      <c r="AX2119" s="525"/>
      <c r="AY2119" s="525"/>
      <c r="AZ2119" s="525"/>
      <c r="BA2119" s="525"/>
      <c r="BB2119" s="525"/>
      <c r="BC2119" s="525"/>
      <c r="BD2119" s="525"/>
      <c r="BE2119" s="525"/>
      <c r="BF2119" s="525"/>
      <c r="BG2119" s="525"/>
      <c r="BH2119" s="525"/>
      <c r="BI2119" s="525"/>
      <c r="BJ2119" s="525"/>
      <c r="BK2119" s="525"/>
      <c r="BL2119" s="525"/>
      <c r="BM2119" s="525"/>
      <c r="BN2119" s="525"/>
      <c r="BO2119" s="525"/>
      <c r="BP2119" s="525"/>
      <c r="BQ2119" s="525"/>
      <c r="BR2119" s="525"/>
      <c r="BS2119" s="525"/>
      <c r="BT2119" s="525"/>
      <c r="BU2119" s="525"/>
      <c r="BV2119" s="525"/>
      <c r="BW2119" s="525"/>
      <c r="BX2119" s="83"/>
      <c r="BY2119" s="83"/>
    </row>
    <row r="2120" spans="47:77">
      <c r="AU2120" s="83"/>
      <c r="AV2120" s="83"/>
      <c r="AW2120" s="83"/>
      <c r="AX2120" s="525"/>
      <c r="AY2120" s="525"/>
      <c r="AZ2120" s="525"/>
      <c r="BA2120" s="525"/>
      <c r="BB2120" s="525"/>
      <c r="BC2120" s="525"/>
      <c r="BD2120" s="525"/>
      <c r="BE2120" s="525"/>
      <c r="BF2120" s="525"/>
      <c r="BG2120" s="525"/>
      <c r="BH2120" s="525"/>
      <c r="BI2120" s="525"/>
      <c r="BJ2120" s="525"/>
      <c r="BK2120" s="525"/>
      <c r="BL2120" s="525"/>
      <c r="BM2120" s="525"/>
      <c r="BN2120" s="525"/>
      <c r="BO2120" s="525"/>
      <c r="BP2120" s="525"/>
      <c r="BQ2120" s="525"/>
      <c r="BR2120" s="525"/>
      <c r="BS2120" s="525"/>
      <c r="BT2120" s="525"/>
      <c r="BU2120" s="525"/>
      <c r="BV2120" s="525"/>
      <c r="BW2120" s="525"/>
      <c r="BX2120" s="83"/>
      <c r="BY2120" s="83"/>
    </row>
    <row r="2121" spans="47:77">
      <c r="AU2121" s="83"/>
      <c r="AV2121" s="83"/>
      <c r="AW2121" s="83"/>
      <c r="AX2121" s="525"/>
      <c r="AY2121" s="525"/>
      <c r="AZ2121" s="525"/>
      <c r="BA2121" s="525"/>
      <c r="BB2121" s="525"/>
      <c r="BC2121" s="525"/>
      <c r="BD2121" s="525"/>
      <c r="BE2121" s="525"/>
      <c r="BF2121" s="525"/>
      <c r="BG2121" s="525"/>
      <c r="BH2121" s="525"/>
      <c r="BI2121" s="525"/>
      <c r="BJ2121" s="525"/>
      <c r="BK2121" s="525"/>
      <c r="BL2121" s="525"/>
      <c r="BM2121" s="525"/>
      <c r="BN2121" s="525"/>
      <c r="BO2121" s="525"/>
      <c r="BP2121" s="525"/>
      <c r="BQ2121" s="525"/>
      <c r="BR2121" s="525"/>
      <c r="BS2121" s="525"/>
      <c r="BT2121" s="525"/>
      <c r="BU2121" s="525"/>
      <c r="BV2121" s="525"/>
      <c r="BW2121" s="525"/>
      <c r="BX2121" s="83"/>
      <c r="BY2121" s="83"/>
    </row>
    <row r="2122" spans="47:77">
      <c r="AU2122" s="83"/>
      <c r="AV2122" s="83"/>
      <c r="AW2122" s="83"/>
      <c r="AX2122" s="525"/>
      <c r="AY2122" s="525"/>
      <c r="AZ2122" s="525"/>
      <c r="BA2122" s="525"/>
      <c r="BB2122" s="525"/>
      <c r="BC2122" s="525"/>
      <c r="BD2122" s="525"/>
      <c r="BE2122" s="525"/>
      <c r="BF2122" s="525"/>
      <c r="BG2122" s="525"/>
      <c r="BH2122" s="525"/>
      <c r="BI2122" s="525"/>
      <c r="BJ2122" s="525"/>
      <c r="BK2122" s="525"/>
      <c r="BL2122" s="525"/>
      <c r="BM2122" s="525"/>
      <c r="BN2122" s="525"/>
      <c r="BO2122" s="525"/>
      <c r="BP2122" s="525"/>
      <c r="BQ2122" s="525"/>
      <c r="BR2122" s="525"/>
      <c r="BS2122" s="525"/>
      <c r="BT2122" s="525"/>
      <c r="BU2122" s="525"/>
      <c r="BV2122" s="525"/>
      <c r="BW2122" s="525"/>
      <c r="BX2122" s="83"/>
      <c r="BY2122" s="83"/>
    </row>
    <row r="2123" spans="47:77">
      <c r="AU2123" s="83"/>
      <c r="AV2123" s="83"/>
      <c r="AW2123" s="83"/>
      <c r="AX2123" s="525"/>
      <c r="AY2123" s="525"/>
      <c r="AZ2123" s="525"/>
      <c r="BA2123" s="525"/>
      <c r="BB2123" s="525"/>
      <c r="BC2123" s="525"/>
      <c r="BD2123" s="525"/>
      <c r="BE2123" s="525"/>
      <c r="BF2123" s="525"/>
      <c r="BG2123" s="525"/>
      <c r="BH2123" s="525"/>
      <c r="BI2123" s="525"/>
      <c r="BJ2123" s="525"/>
      <c r="BK2123" s="525"/>
      <c r="BL2123" s="525"/>
      <c r="BM2123" s="525"/>
      <c r="BN2123" s="525"/>
      <c r="BO2123" s="525"/>
      <c r="BP2123" s="525"/>
      <c r="BQ2123" s="525"/>
      <c r="BR2123" s="525"/>
      <c r="BS2123" s="525"/>
      <c r="BT2123" s="525"/>
      <c r="BU2123" s="525"/>
      <c r="BV2123" s="525"/>
      <c r="BW2123" s="525"/>
      <c r="BX2123" s="83"/>
      <c r="BY2123" s="83"/>
    </row>
    <row r="2124" spans="47:77">
      <c r="AU2124" s="83"/>
      <c r="AV2124" s="83"/>
      <c r="AW2124" s="83"/>
      <c r="AX2124" s="525"/>
      <c r="AY2124" s="525"/>
      <c r="AZ2124" s="525"/>
      <c r="BA2124" s="525"/>
      <c r="BB2124" s="525"/>
      <c r="BC2124" s="525"/>
      <c r="BD2124" s="525"/>
      <c r="BE2124" s="525"/>
      <c r="BF2124" s="525"/>
      <c r="BG2124" s="525"/>
      <c r="BH2124" s="525"/>
      <c r="BI2124" s="525"/>
      <c r="BJ2124" s="525"/>
      <c r="BK2124" s="525"/>
      <c r="BL2124" s="525"/>
      <c r="BM2124" s="525"/>
      <c r="BN2124" s="525"/>
      <c r="BO2124" s="525"/>
      <c r="BP2124" s="525"/>
      <c r="BQ2124" s="525"/>
      <c r="BR2124" s="525"/>
      <c r="BS2124" s="525"/>
      <c r="BT2124" s="525"/>
      <c r="BU2124" s="525"/>
      <c r="BV2124" s="525"/>
      <c r="BW2124" s="525"/>
      <c r="BX2124" s="83"/>
      <c r="BY2124" s="83"/>
    </row>
    <row r="2125" spans="47:77">
      <c r="AU2125" s="83"/>
      <c r="AV2125" s="83"/>
      <c r="AW2125" s="83"/>
      <c r="AX2125" s="525"/>
      <c r="AY2125" s="525"/>
      <c r="AZ2125" s="525"/>
      <c r="BA2125" s="525"/>
      <c r="BB2125" s="525"/>
      <c r="BC2125" s="525"/>
      <c r="BD2125" s="525"/>
      <c r="BE2125" s="525"/>
      <c r="BF2125" s="525"/>
      <c r="BG2125" s="525"/>
      <c r="BH2125" s="525"/>
      <c r="BI2125" s="525"/>
      <c r="BJ2125" s="525"/>
      <c r="BK2125" s="525"/>
      <c r="BL2125" s="525"/>
      <c r="BM2125" s="525"/>
      <c r="BN2125" s="525"/>
      <c r="BO2125" s="525"/>
      <c r="BP2125" s="525"/>
      <c r="BQ2125" s="525"/>
      <c r="BR2125" s="525"/>
      <c r="BS2125" s="525"/>
      <c r="BT2125" s="525"/>
      <c r="BU2125" s="525"/>
      <c r="BV2125" s="525"/>
      <c r="BW2125" s="525"/>
      <c r="BX2125" s="83"/>
      <c r="BY2125" s="83"/>
    </row>
    <row r="2126" spans="47:77">
      <c r="AU2126" s="83"/>
      <c r="AV2126" s="83"/>
      <c r="AW2126" s="83"/>
      <c r="AX2126" s="525"/>
      <c r="AY2126" s="525"/>
      <c r="AZ2126" s="525"/>
      <c r="BA2126" s="525"/>
      <c r="BB2126" s="525"/>
      <c r="BC2126" s="525"/>
      <c r="BD2126" s="525"/>
      <c r="BE2126" s="525"/>
      <c r="BF2126" s="525"/>
      <c r="BG2126" s="525"/>
      <c r="BH2126" s="525"/>
      <c r="BI2126" s="525"/>
      <c r="BJ2126" s="525"/>
      <c r="BK2126" s="525"/>
      <c r="BL2126" s="525"/>
      <c r="BM2126" s="525"/>
      <c r="BN2126" s="525"/>
      <c r="BO2126" s="525"/>
      <c r="BP2126" s="525"/>
      <c r="BQ2126" s="525"/>
      <c r="BR2126" s="525"/>
      <c r="BS2126" s="525"/>
      <c r="BT2126" s="525"/>
      <c r="BU2126" s="525"/>
      <c r="BV2126" s="525"/>
      <c r="BW2126" s="525"/>
      <c r="BX2126" s="83"/>
      <c r="BY2126" s="83"/>
    </row>
    <row r="2127" spans="47:77">
      <c r="AU2127" s="83"/>
      <c r="AV2127" s="83"/>
      <c r="AW2127" s="83"/>
      <c r="AX2127" s="525"/>
      <c r="AY2127" s="525"/>
      <c r="AZ2127" s="525"/>
      <c r="BA2127" s="525"/>
      <c r="BB2127" s="525"/>
      <c r="BC2127" s="525"/>
      <c r="BD2127" s="525"/>
      <c r="BE2127" s="525"/>
      <c r="BF2127" s="525"/>
      <c r="BG2127" s="525"/>
      <c r="BH2127" s="525"/>
      <c r="BI2127" s="525"/>
      <c r="BJ2127" s="525"/>
      <c r="BK2127" s="525"/>
      <c r="BL2127" s="525"/>
      <c r="BM2127" s="525"/>
      <c r="BN2127" s="525"/>
      <c r="BO2127" s="525"/>
      <c r="BP2127" s="525"/>
      <c r="BQ2127" s="525"/>
      <c r="BR2127" s="525"/>
      <c r="BS2127" s="525"/>
      <c r="BT2127" s="525"/>
      <c r="BU2127" s="525"/>
      <c r="BV2127" s="525"/>
      <c r="BW2127" s="525"/>
      <c r="BX2127" s="83"/>
      <c r="BY2127" s="83"/>
    </row>
    <row r="2128" spans="47:77">
      <c r="AU2128" s="83"/>
      <c r="AV2128" s="83"/>
      <c r="AW2128" s="83"/>
      <c r="AX2128" s="525"/>
      <c r="AY2128" s="525"/>
      <c r="AZ2128" s="525"/>
      <c r="BA2128" s="525"/>
      <c r="BB2128" s="525"/>
      <c r="BC2128" s="525"/>
      <c r="BD2128" s="525"/>
      <c r="BE2128" s="525"/>
      <c r="BF2128" s="525"/>
      <c r="BG2128" s="525"/>
      <c r="BH2128" s="525"/>
      <c r="BI2128" s="525"/>
      <c r="BJ2128" s="525"/>
      <c r="BK2128" s="525"/>
      <c r="BL2128" s="525"/>
      <c r="BM2128" s="525"/>
      <c r="BN2128" s="525"/>
      <c r="BO2128" s="525"/>
      <c r="BP2128" s="525"/>
      <c r="BQ2128" s="525"/>
      <c r="BR2128" s="525"/>
      <c r="BS2128" s="525"/>
      <c r="BT2128" s="525"/>
      <c r="BU2128" s="525"/>
      <c r="BV2128" s="525"/>
      <c r="BW2128" s="525"/>
      <c r="BX2128" s="83"/>
      <c r="BY2128" s="83"/>
    </row>
    <row r="2129" spans="47:77">
      <c r="AU2129" s="83"/>
      <c r="AV2129" s="83"/>
      <c r="AW2129" s="83"/>
      <c r="AX2129" s="525"/>
      <c r="AY2129" s="525"/>
      <c r="AZ2129" s="525"/>
      <c r="BA2129" s="525"/>
      <c r="BB2129" s="525"/>
      <c r="BC2129" s="525"/>
      <c r="BD2129" s="525"/>
      <c r="BE2129" s="525"/>
      <c r="BF2129" s="525"/>
      <c r="BG2129" s="525"/>
      <c r="BH2129" s="525"/>
      <c r="BI2129" s="525"/>
      <c r="BJ2129" s="525"/>
      <c r="BK2129" s="525"/>
      <c r="BL2129" s="525"/>
      <c r="BM2129" s="525"/>
      <c r="BN2129" s="525"/>
      <c r="BO2129" s="525"/>
      <c r="BP2129" s="525"/>
      <c r="BQ2129" s="525"/>
      <c r="BR2129" s="525"/>
      <c r="BS2129" s="525"/>
      <c r="BT2129" s="525"/>
      <c r="BU2129" s="525"/>
      <c r="BV2129" s="525"/>
      <c r="BW2129" s="525"/>
      <c r="BX2129" s="83"/>
      <c r="BY2129" s="83"/>
    </row>
    <row r="2130" spans="47:77">
      <c r="AU2130" s="83"/>
      <c r="AV2130" s="83"/>
      <c r="AW2130" s="83"/>
      <c r="AX2130" s="525"/>
      <c r="AY2130" s="525"/>
      <c r="AZ2130" s="525"/>
      <c r="BA2130" s="525"/>
      <c r="BB2130" s="525"/>
      <c r="BC2130" s="525"/>
      <c r="BD2130" s="525"/>
      <c r="BE2130" s="525"/>
      <c r="BF2130" s="525"/>
      <c r="BG2130" s="525"/>
      <c r="BH2130" s="525"/>
      <c r="BI2130" s="525"/>
      <c r="BJ2130" s="525"/>
      <c r="BK2130" s="525"/>
      <c r="BL2130" s="525"/>
      <c r="BM2130" s="525"/>
      <c r="BN2130" s="525"/>
      <c r="BO2130" s="525"/>
      <c r="BP2130" s="525"/>
      <c r="BQ2130" s="525"/>
      <c r="BR2130" s="525"/>
      <c r="BS2130" s="525"/>
      <c r="BT2130" s="525"/>
      <c r="BU2130" s="525"/>
      <c r="BV2130" s="525"/>
      <c r="BW2130" s="525"/>
      <c r="BX2130" s="83"/>
      <c r="BY2130" s="83"/>
    </row>
    <row r="2131" spans="47:77">
      <c r="AU2131" s="83"/>
      <c r="AV2131" s="83"/>
      <c r="AW2131" s="83"/>
      <c r="AX2131" s="525"/>
      <c r="AY2131" s="525"/>
      <c r="AZ2131" s="525"/>
      <c r="BA2131" s="525"/>
      <c r="BB2131" s="525"/>
      <c r="BC2131" s="525"/>
      <c r="BD2131" s="525"/>
      <c r="BE2131" s="525"/>
      <c r="BF2131" s="525"/>
      <c r="BG2131" s="525"/>
      <c r="BH2131" s="525"/>
      <c r="BI2131" s="525"/>
      <c r="BJ2131" s="525"/>
      <c r="BK2131" s="525"/>
      <c r="BL2131" s="525"/>
      <c r="BM2131" s="525"/>
      <c r="BN2131" s="525"/>
      <c r="BO2131" s="525"/>
      <c r="BP2131" s="525"/>
      <c r="BQ2131" s="525"/>
      <c r="BR2131" s="525"/>
      <c r="BS2131" s="525"/>
      <c r="BT2131" s="525"/>
      <c r="BU2131" s="525"/>
      <c r="BV2131" s="525"/>
      <c r="BW2131" s="525"/>
      <c r="BX2131" s="83"/>
      <c r="BY2131" s="83"/>
    </row>
    <row r="2132" spans="47:77">
      <c r="AU2132" s="83"/>
      <c r="AV2132" s="83"/>
      <c r="AW2132" s="83"/>
      <c r="AX2132" s="525"/>
      <c r="AY2132" s="525"/>
      <c r="AZ2132" s="525"/>
      <c r="BA2132" s="525"/>
      <c r="BB2132" s="525"/>
      <c r="BC2132" s="525"/>
      <c r="BD2132" s="525"/>
      <c r="BE2132" s="525"/>
      <c r="BF2132" s="525"/>
      <c r="BG2132" s="525"/>
      <c r="BH2132" s="525"/>
      <c r="BI2132" s="525"/>
      <c r="BJ2132" s="525"/>
      <c r="BK2132" s="525"/>
      <c r="BL2132" s="525"/>
      <c r="BM2132" s="525"/>
      <c r="BN2132" s="525"/>
      <c r="BO2132" s="525"/>
      <c r="BP2132" s="525"/>
      <c r="BQ2132" s="525"/>
      <c r="BR2132" s="525"/>
      <c r="BS2132" s="525"/>
      <c r="BT2132" s="525"/>
      <c r="BU2132" s="525"/>
      <c r="BV2132" s="525"/>
      <c r="BW2132" s="525"/>
      <c r="BX2132" s="83"/>
      <c r="BY2132" s="83"/>
    </row>
    <row r="2133" spans="47:77">
      <c r="AU2133" s="83"/>
      <c r="AV2133" s="83"/>
      <c r="AW2133" s="83"/>
      <c r="AX2133" s="525"/>
      <c r="AY2133" s="525"/>
      <c r="AZ2133" s="525"/>
      <c r="BA2133" s="525"/>
      <c r="BB2133" s="525"/>
      <c r="BC2133" s="525"/>
      <c r="BD2133" s="525"/>
      <c r="BE2133" s="525"/>
      <c r="BF2133" s="525"/>
      <c r="BG2133" s="525"/>
      <c r="BH2133" s="525"/>
      <c r="BI2133" s="525"/>
      <c r="BJ2133" s="525"/>
      <c r="BK2133" s="525"/>
      <c r="BL2133" s="525"/>
      <c r="BM2133" s="525"/>
      <c r="BN2133" s="525"/>
      <c r="BO2133" s="525"/>
      <c r="BP2133" s="525"/>
      <c r="BQ2133" s="525"/>
      <c r="BR2133" s="525"/>
      <c r="BS2133" s="525"/>
      <c r="BT2133" s="525"/>
      <c r="BU2133" s="525"/>
      <c r="BV2133" s="525"/>
      <c r="BW2133" s="525"/>
      <c r="BX2133" s="83"/>
      <c r="BY2133" s="83"/>
    </row>
    <row r="2134" spans="47:77">
      <c r="AU2134" s="83"/>
      <c r="AV2134" s="83"/>
      <c r="AW2134" s="83"/>
      <c r="AX2134" s="525"/>
      <c r="AY2134" s="525"/>
      <c r="AZ2134" s="525"/>
      <c r="BA2134" s="525"/>
      <c r="BB2134" s="525"/>
      <c r="BC2134" s="525"/>
      <c r="BD2134" s="525"/>
      <c r="BE2134" s="525"/>
      <c r="BF2134" s="525"/>
      <c r="BG2134" s="525"/>
      <c r="BH2134" s="525"/>
      <c r="BI2134" s="525"/>
      <c r="BJ2134" s="525"/>
      <c r="BK2134" s="525"/>
      <c r="BL2134" s="525"/>
      <c r="BM2134" s="525"/>
      <c r="BN2134" s="525"/>
      <c r="BO2134" s="525"/>
      <c r="BP2134" s="525"/>
      <c r="BQ2134" s="525"/>
      <c r="BR2134" s="525"/>
      <c r="BS2134" s="525"/>
      <c r="BT2134" s="525"/>
      <c r="BU2134" s="525"/>
      <c r="BV2134" s="525"/>
      <c r="BW2134" s="525"/>
      <c r="BX2134" s="83"/>
      <c r="BY2134" s="83"/>
    </row>
    <row r="2135" spans="47:77">
      <c r="AU2135" s="83"/>
      <c r="AV2135" s="83"/>
      <c r="AW2135" s="83"/>
      <c r="AX2135" s="525"/>
      <c r="AY2135" s="525"/>
      <c r="AZ2135" s="525"/>
      <c r="BA2135" s="525"/>
      <c r="BB2135" s="525"/>
      <c r="BC2135" s="525"/>
      <c r="BD2135" s="525"/>
      <c r="BE2135" s="525"/>
      <c r="BF2135" s="525"/>
      <c r="BG2135" s="525"/>
      <c r="BH2135" s="525"/>
      <c r="BI2135" s="525"/>
      <c r="BJ2135" s="525"/>
      <c r="BK2135" s="525"/>
      <c r="BL2135" s="525"/>
      <c r="BM2135" s="525"/>
      <c r="BN2135" s="525"/>
      <c r="BO2135" s="525"/>
      <c r="BP2135" s="525"/>
      <c r="BQ2135" s="525"/>
      <c r="BR2135" s="525"/>
      <c r="BS2135" s="525"/>
      <c r="BT2135" s="525"/>
      <c r="BU2135" s="525"/>
      <c r="BV2135" s="525"/>
      <c r="BW2135" s="525"/>
      <c r="BX2135" s="83"/>
      <c r="BY2135" s="83"/>
    </row>
    <row r="2136" spans="47:77">
      <c r="AU2136" s="83"/>
      <c r="AV2136" s="83"/>
      <c r="AW2136" s="83"/>
      <c r="AX2136" s="83"/>
      <c r="AY2136" s="83"/>
      <c r="AZ2136" s="83"/>
      <c r="BA2136" s="83"/>
      <c r="BB2136" s="83"/>
      <c r="BC2136" s="83"/>
      <c r="BD2136" s="83"/>
      <c r="BE2136" s="83"/>
      <c r="BF2136" s="83"/>
      <c r="BG2136" s="83"/>
      <c r="BH2136" s="83"/>
      <c r="BI2136" s="83"/>
      <c r="BJ2136" s="83"/>
      <c r="BK2136" s="83"/>
      <c r="BL2136" s="83"/>
      <c r="BM2136" s="83"/>
      <c r="BN2136" s="83"/>
      <c r="BO2136" s="83"/>
      <c r="BP2136" s="83"/>
      <c r="BQ2136" s="83"/>
      <c r="BR2136" s="83"/>
      <c r="BS2136" s="83"/>
      <c r="BT2136" s="83"/>
      <c r="BU2136" s="83"/>
      <c r="BV2136" s="83"/>
      <c r="BW2136" s="83"/>
      <c r="BX2136" s="83"/>
      <c r="BY2136" s="83"/>
    </row>
    <row r="2137" spans="47:77">
      <c r="AU2137" s="83"/>
      <c r="AV2137" s="83"/>
      <c r="AW2137" s="83"/>
      <c r="AX2137" s="83"/>
      <c r="AY2137" s="83"/>
      <c r="AZ2137" s="83"/>
      <c r="BA2137" s="83"/>
      <c r="BB2137" s="83"/>
      <c r="BC2137" s="83"/>
      <c r="BD2137" s="83"/>
      <c r="BE2137" s="83"/>
      <c r="BF2137" s="83"/>
      <c r="BG2137" s="83"/>
      <c r="BH2137" s="83"/>
      <c r="BI2137" s="83"/>
      <c r="BJ2137" s="83"/>
      <c r="BK2137" s="83"/>
      <c r="BL2137" s="83"/>
      <c r="BM2137" s="83"/>
      <c r="BN2137" s="83"/>
      <c r="BO2137" s="83"/>
      <c r="BP2137" s="83"/>
      <c r="BQ2137" s="83"/>
      <c r="BR2137" s="83"/>
      <c r="BS2137" s="83"/>
      <c r="BT2137" s="83"/>
      <c r="BU2137" s="83"/>
      <c r="BV2137" s="83"/>
      <c r="BW2137" s="83"/>
      <c r="BX2137" s="83"/>
      <c r="BY2137" s="83"/>
    </row>
    <row r="2138" spans="47:77">
      <c r="AU2138" s="83"/>
      <c r="AV2138" s="83"/>
      <c r="AW2138" s="83"/>
      <c r="AX2138" s="83"/>
      <c r="AY2138" s="83"/>
      <c r="AZ2138" s="83"/>
      <c r="BA2138" s="83"/>
      <c r="BB2138" s="83"/>
      <c r="BC2138" s="83"/>
      <c r="BD2138" s="83"/>
      <c r="BE2138" s="83"/>
      <c r="BF2138" s="83"/>
      <c r="BG2138" s="83"/>
      <c r="BH2138" s="83"/>
      <c r="BI2138" s="83"/>
      <c r="BJ2138" s="83"/>
      <c r="BK2138" s="83"/>
      <c r="BL2138" s="83"/>
      <c r="BM2138" s="83"/>
      <c r="BN2138" s="83"/>
      <c r="BO2138" s="83"/>
      <c r="BP2138" s="83"/>
      <c r="BQ2138" s="83"/>
      <c r="BR2138" s="83"/>
      <c r="BS2138" s="83"/>
      <c r="BT2138" s="83"/>
      <c r="BU2138" s="83"/>
      <c r="BV2138" s="83"/>
      <c r="BW2138" s="83"/>
      <c r="BX2138" s="83"/>
      <c r="BY2138" s="83"/>
    </row>
    <row r="2139" spans="47:77">
      <c r="AU2139" s="83"/>
      <c r="AV2139" s="83"/>
      <c r="AW2139" s="83"/>
      <c r="AX2139" s="83"/>
      <c r="AY2139" s="83"/>
      <c r="AZ2139" s="83"/>
      <c r="BA2139" s="83"/>
      <c r="BB2139" s="83"/>
      <c r="BC2139" s="83"/>
      <c r="BD2139" s="83"/>
      <c r="BE2139" s="83"/>
      <c r="BF2139" s="83"/>
      <c r="BG2139" s="83"/>
      <c r="BH2139" s="83"/>
      <c r="BI2139" s="83"/>
      <c r="BJ2139" s="83"/>
      <c r="BK2139" s="83"/>
      <c r="BL2139" s="83"/>
      <c r="BM2139" s="83"/>
      <c r="BN2139" s="83"/>
      <c r="BO2139" s="83"/>
      <c r="BP2139" s="83"/>
      <c r="BQ2139" s="83"/>
      <c r="BR2139" s="83"/>
      <c r="BS2139" s="83"/>
      <c r="BT2139" s="83"/>
      <c r="BU2139" s="83"/>
      <c r="BV2139" s="83"/>
      <c r="BW2139" s="83"/>
      <c r="BX2139" s="83"/>
      <c r="BY2139" s="83"/>
    </row>
    <row r="2140" spans="47:77">
      <c r="AU2140" s="83"/>
      <c r="AV2140" s="83"/>
      <c r="AW2140" s="83"/>
      <c r="AX2140" s="83"/>
      <c r="AY2140" s="83"/>
      <c r="AZ2140" s="83"/>
      <c r="BA2140" s="83"/>
      <c r="BB2140" s="83"/>
      <c r="BC2140" s="83"/>
      <c r="BD2140" s="83"/>
      <c r="BE2140" s="83"/>
      <c r="BF2140" s="83"/>
      <c r="BG2140" s="83"/>
      <c r="BH2140" s="83"/>
      <c r="BI2140" s="83"/>
      <c r="BJ2140" s="83"/>
      <c r="BK2140" s="83"/>
      <c r="BL2140" s="83"/>
      <c r="BM2140" s="83"/>
      <c r="BN2140" s="83"/>
      <c r="BO2140" s="83"/>
      <c r="BP2140" s="83"/>
      <c r="BQ2140" s="83"/>
      <c r="BR2140" s="83"/>
      <c r="BS2140" s="83"/>
      <c r="BT2140" s="83"/>
      <c r="BU2140" s="83"/>
      <c r="BV2140" s="83"/>
      <c r="BW2140" s="83"/>
      <c r="BX2140" s="83"/>
      <c r="BY2140" s="83"/>
    </row>
  </sheetData>
  <mergeCells count="22">
    <mergeCell ref="BJ1914:BJ1921"/>
    <mergeCell ref="BM1910:BQ1910"/>
    <mergeCell ref="BM1706:BQ1706"/>
    <mergeCell ref="AX1733:AX1740"/>
    <mergeCell ref="AX1892:AX1899"/>
    <mergeCell ref="BB1886:BF1886"/>
    <mergeCell ref="BM1887:BQ1887"/>
    <mergeCell ref="BJ1891:BJ1898"/>
    <mergeCell ref="BJ1710:BJ1717"/>
    <mergeCell ref="AX1710:AX1717"/>
    <mergeCell ref="AY1925:BB1925"/>
    <mergeCell ref="AY1728:BA1728"/>
    <mergeCell ref="BB1705:BF1705"/>
    <mergeCell ref="AX1757:AX1764"/>
    <mergeCell ref="BB1752:BF1752"/>
    <mergeCell ref="AX1915:AX1922"/>
    <mergeCell ref="BB1909:BF1909"/>
    <mergeCell ref="BB1728:BF1728"/>
    <mergeCell ref="AX1785:AX1792"/>
    <mergeCell ref="BB1780:BF1780"/>
    <mergeCell ref="BB1817:BF1817"/>
    <mergeCell ref="AX1822:AX1829"/>
  </mergeCells>
  <conditionalFormatting sqref="BA1708:BH1720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1731:BH174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1731:BS1743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1708:BS172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1755:BH1767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1783:BH179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1783:BS1795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A1820:BH183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1820:BS183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A1842:BH185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1842:BS185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1865:BH187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1865:BS187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1889:BH190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1889:BS190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1912:BH192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1912:BS19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ignoredErrors>
    <ignoredError sqref="G259:W259 G762:V762 G1258 Z50 AF129 Z1253:Z1260 Z1269:Z1271 P1566:P1573 U1566:U1573 AE1566:AE1567 Z1566:Z1567 Z1571:Z1573 AE1571:AE1573 AE1569 AH129:AL129 Z1274:Z1277" formula="1"/>
    <ignoredError sqref="U919 G189:T189 G296:U296 G372:V372 G885:V885 G681:T681 G69:U69 V681" formulaRange="1"/>
  </ignoredError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T672"/>
  <sheetViews>
    <sheetView topLeftCell="A14" zoomScale="60" zoomScaleNormal="60" workbookViewId="0">
      <selection activeCell="AB58" sqref="AB58"/>
    </sheetView>
  </sheetViews>
  <sheetFormatPr defaultColWidth="9" defaultRowHeight="17.5"/>
  <cols>
    <col min="1" max="1" width="9" style="4"/>
    <col min="2" max="2" width="9.33203125" style="4" customWidth="1"/>
    <col min="3" max="4" width="9" style="4"/>
    <col min="5" max="5" width="13.83203125" style="4" customWidth="1"/>
    <col min="6" max="6" width="23.58203125" style="4" customWidth="1"/>
    <col min="7" max="7" width="5.25" style="4" customWidth="1"/>
    <col min="8" max="8" width="10.58203125" style="4" customWidth="1"/>
    <col min="9" max="9" width="10.58203125" style="5" customWidth="1"/>
    <col min="10" max="10" width="10.58203125" style="4" customWidth="1"/>
    <col min="11" max="11" width="5" style="4" customWidth="1"/>
    <col min="12" max="14" width="10.58203125" style="4" hidden="1" customWidth="1"/>
    <col min="15" max="15" width="5" style="4" hidden="1" customWidth="1"/>
    <col min="16" max="21" width="10.58203125" style="4" customWidth="1"/>
    <col min="22" max="22" width="13.58203125" style="4" customWidth="1"/>
    <col min="23" max="24" width="9" style="4"/>
    <col min="25" max="25" width="9.33203125" style="5" customWidth="1"/>
    <col min="26" max="26" width="9" style="4"/>
    <col min="27" max="27" width="11.75" style="4" customWidth="1"/>
    <col min="28" max="30" width="10.58203125" style="4" customWidth="1"/>
    <col min="31" max="31" width="9" style="4"/>
    <col min="32" max="34" width="9.83203125" style="4" customWidth="1"/>
    <col min="35" max="36" width="9" style="4"/>
    <col min="37" max="37" width="11.83203125" style="4" customWidth="1"/>
    <col min="38" max="38" width="17.58203125" style="4" customWidth="1"/>
    <col min="39" max="39" width="17.83203125" style="4" customWidth="1"/>
    <col min="40" max="40" width="18.25" style="4" customWidth="1"/>
    <col min="41" max="41" width="18.83203125" style="4" customWidth="1"/>
    <col min="42" max="42" width="9.33203125" style="4" customWidth="1"/>
    <col min="43" max="43" width="16.25" style="4" customWidth="1"/>
    <col min="44" max="44" width="17.58203125" style="4" customWidth="1"/>
    <col min="45" max="45" width="18.83203125" style="4" customWidth="1"/>
    <col min="46" max="48" width="9.33203125" style="4" customWidth="1"/>
    <col min="49" max="51" width="9" style="4"/>
    <col min="52" max="52" width="15.5" style="4" customWidth="1"/>
    <col min="53" max="53" width="9.33203125" style="4" customWidth="1"/>
    <col min="54" max="16384" width="9" style="4"/>
  </cols>
  <sheetData>
    <row r="2" spans="2:34">
      <c r="P2" s="4" t="s">
        <v>418</v>
      </c>
      <c r="T2" s="4" t="s">
        <v>419</v>
      </c>
    </row>
    <row r="3" spans="2:34">
      <c r="B3" s="4" t="s">
        <v>420</v>
      </c>
      <c r="C3" s="4" t="s">
        <v>494</v>
      </c>
      <c r="E3" s="4" t="s">
        <v>421</v>
      </c>
      <c r="F3" s="6">
        <f>_xll.BDP($C$3,$B$8)</f>
        <v>29.81</v>
      </c>
      <c r="G3" s="6"/>
      <c r="H3" s="6">
        <f>_xll.BDP($C$3,"PR005")</f>
        <v>29.81</v>
      </c>
      <c r="N3" s="7"/>
      <c r="O3" s="8"/>
      <c r="P3" s="4" t="s">
        <v>422</v>
      </c>
      <c r="Q3" s="4" t="s">
        <v>423</v>
      </c>
      <c r="R3" s="4" t="s">
        <v>424</v>
      </c>
      <c r="T3" s="4" t="s">
        <v>422</v>
      </c>
      <c r="U3" s="4" t="s">
        <v>423</v>
      </c>
      <c r="V3" s="4" t="s">
        <v>424</v>
      </c>
    </row>
    <row r="4" spans="2:34">
      <c r="N4" s="7"/>
      <c r="O4" s="8"/>
    </row>
    <row r="5" spans="2:34">
      <c r="B5" s="4" t="s">
        <v>425</v>
      </c>
      <c r="C5" s="4" t="s">
        <v>426</v>
      </c>
      <c r="P5" s="4" t="s">
        <v>427</v>
      </c>
      <c r="Q5" s="4" t="s">
        <v>428</v>
      </c>
      <c r="R5" s="4" t="s">
        <v>429</v>
      </c>
      <c r="T5" s="4" t="s">
        <v>427</v>
      </c>
      <c r="U5" s="4" t="s">
        <v>428</v>
      </c>
      <c r="V5" s="4" t="s">
        <v>429</v>
      </c>
    </row>
    <row r="7" spans="2:34">
      <c r="B7" s="4" t="s">
        <v>430</v>
      </c>
      <c r="C7" s="4" t="s">
        <v>431</v>
      </c>
      <c r="T7" s="4" t="s">
        <v>432</v>
      </c>
      <c r="U7" s="4" t="s">
        <v>433</v>
      </c>
      <c r="V7" s="4" t="s">
        <v>434</v>
      </c>
    </row>
    <row r="8" spans="2:34">
      <c r="B8" s="4" t="s">
        <v>435</v>
      </c>
      <c r="C8" s="4" t="s">
        <v>436</v>
      </c>
      <c r="F8" s="9"/>
      <c r="G8" s="9"/>
    </row>
    <row r="9" spans="2:34">
      <c r="B9" s="4" t="s">
        <v>425</v>
      </c>
      <c r="C9" s="4" t="s">
        <v>437</v>
      </c>
      <c r="E9" s="10">
        <f>_xll.BDP($C$3,$B$9)</f>
        <v>524.65519999999992</v>
      </c>
      <c r="F9" s="4">
        <v>7.7</v>
      </c>
      <c r="H9" s="11">
        <f>H18/[4]Model!S785</f>
        <v>0.17900589385064389</v>
      </c>
    </row>
    <row r="10" spans="2:34">
      <c r="B10" s="4" t="s">
        <v>438</v>
      </c>
      <c r="C10" s="4" t="s">
        <v>439</v>
      </c>
      <c r="E10" s="10">
        <f>_xll.BDP($C$3,$B$10,$U$3,$V$3)</f>
        <v>12435.441279123317</v>
      </c>
      <c r="H10" s="12">
        <f>H9/F3</f>
        <v>6.0048941244764805E-3</v>
      </c>
    </row>
    <row r="11" spans="2:34" ht="8.25" customHeight="1"/>
    <row r="12" spans="2:34">
      <c r="E12" s="13">
        <f>(E9+F9)*F3</f>
        <v>15869.508511999999</v>
      </c>
    </row>
    <row r="13" spans="2:34" ht="18">
      <c r="F13" s="9"/>
      <c r="G13" s="9"/>
      <c r="H13" s="1385" t="s">
        <v>440</v>
      </c>
      <c r="I13" s="1385"/>
      <c r="J13" s="1385"/>
      <c r="L13" s="1385" t="s">
        <v>441</v>
      </c>
      <c r="M13" s="1385"/>
      <c r="N13" s="1385"/>
      <c r="P13" s="1385" t="s">
        <v>442</v>
      </c>
      <c r="Q13" s="1385"/>
      <c r="R13" s="1385"/>
      <c r="AB13" s="1385" t="s">
        <v>443</v>
      </c>
      <c r="AC13" s="1385"/>
      <c r="AD13" s="1385"/>
      <c r="AF13" s="1385" t="s">
        <v>444</v>
      </c>
      <c r="AG13" s="1385"/>
      <c r="AH13" s="1385"/>
    </row>
    <row r="14" spans="2:34" ht="18" thickBot="1">
      <c r="F14" s="9"/>
      <c r="G14" s="9"/>
      <c r="H14" s="14" t="s">
        <v>446</v>
      </c>
      <c r="I14" s="14" t="s">
        <v>447</v>
      </c>
      <c r="J14" s="14" t="s">
        <v>936</v>
      </c>
      <c r="L14" s="14" t="s">
        <v>445</v>
      </c>
      <c r="M14" s="14" t="s">
        <v>446</v>
      </c>
      <c r="N14" s="14" t="s">
        <v>447</v>
      </c>
      <c r="P14" s="14" t="s">
        <v>446</v>
      </c>
      <c r="Q14" s="14" t="s">
        <v>447</v>
      </c>
      <c r="R14" s="14" t="s">
        <v>936</v>
      </c>
      <c r="AB14" s="14" t="s">
        <v>445</v>
      </c>
      <c r="AC14" s="14" t="s">
        <v>446</v>
      </c>
      <c r="AD14" s="14" t="s">
        <v>447</v>
      </c>
      <c r="AF14" s="14" t="s">
        <v>445</v>
      </c>
      <c r="AG14" s="14" t="s">
        <v>446</v>
      </c>
      <c r="AH14" s="14" t="s">
        <v>447</v>
      </c>
    </row>
    <row r="15" spans="2:34" ht="18" thickTop="1">
      <c r="F15" s="9"/>
      <c r="G15" s="9"/>
      <c r="H15" s="15"/>
      <c r="I15" s="15"/>
      <c r="J15" s="15"/>
      <c r="L15" s="15"/>
      <c r="M15" s="15"/>
      <c r="N15" s="15"/>
      <c r="P15" s="15"/>
      <c r="Q15" s="15"/>
      <c r="R15" s="15"/>
      <c r="AB15" s="15"/>
      <c r="AC15" s="15"/>
      <c r="AD15" s="15"/>
      <c r="AF15" s="15"/>
      <c r="AG15" s="15"/>
      <c r="AH15" s="15"/>
    </row>
    <row r="16" spans="2:34">
      <c r="F16" s="9"/>
      <c r="G16" s="9"/>
      <c r="M16" s="5"/>
      <c r="Q16" s="5"/>
      <c r="AC16" s="5"/>
      <c r="AG16" s="5"/>
    </row>
    <row r="17" spans="2:34" ht="18">
      <c r="F17" s="9" t="s">
        <v>130</v>
      </c>
      <c r="G17" s="9"/>
      <c r="H17" s="16">
        <f t="shared" ref="H17:J18" si="0">H48</f>
        <v>816</v>
      </c>
      <c r="I17" s="16">
        <f t="shared" si="0"/>
        <v>1449.0703343999999</v>
      </c>
      <c r="J17" s="16">
        <f t="shared" si="0"/>
        <v>1236.4364999999998</v>
      </c>
      <c r="K17" s="5"/>
      <c r="L17" s="1113">
        <f>[5]Model!$T$823</f>
        <v>23881.836092005338</v>
      </c>
      <c r="M17" s="1113">
        <f>[5]Model!$W$823</f>
        <v>22869.720466994779</v>
      </c>
      <c r="N17" s="1113">
        <f>[5]Model!$Z$823</f>
        <v>24248.074282585199</v>
      </c>
      <c r="O17" s="5"/>
      <c r="P17" s="1113">
        <v>1350</v>
      </c>
      <c r="Q17" s="1113">
        <v>2130</v>
      </c>
      <c r="R17" s="1113">
        <v>1180</v>
      </c>
      <c r="U17" s="18">
        <f>M17-Q17</f>
        <v>20739.720466994779</v>
      </c>
      <c r="V17" s="19" t="s">
        <v>448</v>
      </c>
      <c r="W17" s="19"/>
      <c r="X17" s="19"/>
      <c r="Y17" s="20" t="s">
        <v>449</v>
      </c>
      <c r="AA17" s="9" t="s">
        <v>130</v>
      </c>
      <c r="AB17" s="12">
        <f t="shared" ref="AB17:AD18" si="1">(L17/H17)-1</f>
        <v>28.266955995104581</v>
      </c>
      <c r="AC17" s="12">
        <f t="shared" si="1"/>
        <v>14.782339838227511</v>
      </c>
      <c r="AD17" s="12">
        <f t="shared" si="1"/>
        <v>18.611257256304874</v>
      </c>
      <c r="AE17" s="5"/>
      <c r="AF17" s="12">
        <f t="shared" ref="AF17:AH18" si="2">(P17/H17)-1</f>
        <v>0.65441176470588225</v>
      </c>
      <c r="AG17" s="12">
        <f t="shared" si="2"/>
        <v>0.46990794679538106</v>
      </c>
      <c r="AH17" s="12">
        <f t="shared" si="2"/>
        <v>-4.5644479113969738E-2</v>
      </c>
    </row>
    <row r="18" spans="2:34">
      <c r="F18" s="9" t="s">
        <v>450</v>
      </c>
      <c r="G18" s="9"/>
      <c r="H18" s="16">
        <f t="shared" si="0"/>
        <v>905.23280520270612</v>
      </c>
      <c r="I18" s="16" t="e">
        <f t="shared" ca="1" si="0"/>
        <v>#VALUE!</v>
      </c>
      <c r="J18" s="16">
        <f t="shared" ca="1" si="0"/>
        <v>-534.14733317781065</v>
      </c>
      <c r="K18" s="5"/>
      <c r="L18" s="1113">
        <f>[5]Model!$T$836</f>
        <v>8660.8360920053383</v>
      </c>
      <c r="M18" s="1113">
        <f>[5]Model!$W$836</f>
        <v>8352.2903502460831</v>
      </c>
      <c r="N18" s="1113">
        <f>[5]Model!$Z$836</f>
        <v>9386.0557119388977</v>
      </c>
      <c r="O18" s="5"/>
      <c r="P18" s="1113">
        <f>_xll.BDP($C$3,$P$2,$T$3,$T$5)</f>
        <v>-383.30599999999998</v>
      </c>
      <c r="Q18" s="1113">
        <f>_xll.BDP($C$3,$P$2,$T$3,$U$5)</f>
        <v>1038.1590000000001</v>
      </c>
      <c r="R18" s="1113">
        <f>_xll.BDP($C$3,$P$2,$T$3,$V$5)</f>
        <v>2121.0320000000002</v>
      </c>
      <c r="U18" s="21">
        <f>U47*2</f>
        <v>0</v>
      </c>
      <c r="V18" s="4" t="s">
        <v>451</v>
      </c>
      <c r="Y18" s="22">
        <f>I36</f>
        <v>90</v>
      </c>
      <c r="AA18" s="9" t="s">
        <v>450</v>
      </c>
      <c r="AB18" s="12">
        <f t="shared" si="1"/>
        <v>8.5675234505735158</v>
      </c>
      <c r="AC18" s="12" t="e">
        <f t="shared" ca="1" si="1"/>
        <v>#VALUE!</v>
      </c>
      <c r="AD18" s="12">
        <f t="shared" ca="1" si="1"/>
        <v>-18.572035146367384</v>
      </c>
      <c r="AE18" s="5"/>
      <c r="AF18" s="12">
        <f t="shared" si="2"/>
        <v>-1.4234336159681789</v>
      </c>
      <c r="AG18" s="12" t="e">
        <f t="shared" ca="1" si="2"/>
        <v>#VALUE!</v>
      </c>
      <c r="AH18" s="12">
        <f t="shared" ca="1" si="2"/>
        <v>-4.3717420047484694</v>
      </c>
    </row>
    <row r="19" spans="2:34">
      <c r="F19" s="23" t="s">
        <v>452</v>
      </c>
      <c r="G19" s="23"/>
      <c r="H19" s="24">
        <f>H18/H17</f>
        <v>1.1093539279444928</v>
      </c>
      <c r="I19" s="24" t="e">
        <f ca="1">I18/I17</f>
        <v>#VALUE!</v>
      </c>
      <c r="J19" s="24">
        <f ca="1">J18/J17</f>
        <v>-0.2330031492367389</v>
      </c>
      <c r="L19" s="24">
        <f>L18/L17</f>
        <v>0.36265369457521029</v>
      </c>
      <c r="M19" s="24">
        <f>M18/M17</f>
        <v>0.36521173760300119</v>
      </c>
      <c r="N19" s="24">
        <f>N18/N17</f>
        <v>0.38708458257569339</v>
      </c>
      <c r="P19" s="24">
        <f>P18/P17</f>
        <v>-0.28393037037037033</v>
      </c>
      <c r="Q19" s="24">
        <f>Q18/Q17</f>
        <v>0.48739859154929582</v>
      </c>
      <c r="R19" s="24">
        <f>R18/R17</f>
        <v>1.7974847457627119</v>
      </c>
      <c r="U19" s="21">
        <f>X43*25</f>
        <v>0</v>
      </c>
      <c r="V19" s="4" t="s">
        <v>453</v>
      </c>
      <c r="Y19" s="22">
        <f>I38</f>
        <v>75</v>
      </c>
      <c r="AA19" s="9" t="s">
        <v>454</v>
      </c>
      <c r="AB19" s="12">
        <f>(L23/H23)-1</f>
        <v>-0.96583177286468502</v>
      </c>
      <c r="AC19" s="12" t="e">
        <f ca="1">(M23/I23)-1</f>
        <v>#VALUE!</v>
      </c>
      <c r="AD19" s="12">
        <f ca="1">(N23/J23)-1</f>
        <v>-1.0078127546893567</v>
      </c>
      <c r="AF19" s="12">
        <f>(P23/H23)-1</f>
        <v>-0.39555555555555555</v>
      </c>
      <c r="AG19" s="12" t="e">
        <f ca="1">(Q23/I23)-1</f>
        <v>#VALUE!</v>
      </c>
      <c r="AH19" s="12">
        <f ca="1">(R23/J23)-1</f>
        <v>0.53818306238640923</v>
      </c>
    </row>
    <row r="20" spans="2:34" ht="18" thickBot="1">
      <c r="F20" s="9"/>
      <c r="G20" s="9"/>
      <c r="M20" s="5"/>
      <c r="Q20" s="5"/>
      <c r="U20" s="25">
        <v>425</v>
      </c>
      <c r="V20" s="26" t="s">
        <v>453</v>
      </c>
      <c r="W20" s="26"/>
      <c r="X20" s="26"/>
      <c r="Y20" s="27">
        <f>I39</f>
        <v>160</v>
      </c>
    </row>
    <row r="21" spans="2:34" ht="18" thickTop="1">
      <c r="F21" s="9"/>
      <c r="G21" s="9"/>
      <c r="M21" s="5"/>
      <c r="Q21" s="5"/>
      <c r="U21" s="21">
        <f>U17-U18-U19-U20</f>
        <v>20314.720466994779</v>
      </c>
    </row>
    <row r="22" spans="2:34" ht="18">
      <c r="B22" s="4">
        <f>1.57/0.71</f>
        <v>2.211267605633803</v>
      </c>
      <c r="F22" s="9" t="s">
        <v>455</v>
      </c>
      <c r="G22" s="9"/>
      <c r="H22" s="10">
        <f>_xll.BDP($C$3,$B$7,$U$3,$V$3)</f>
        <v>19078.4155641457</v>
      </c>
      <c r="I22" s="10" t="e">
        <f ca="1">H22-I18</f>
        <v>#VALUE!</v>
      </c>
      <c r="J22" s="10">
        <f ca="1">I22-J18</f>
        <v>18052.31830900058</v>
      </c>
      <c r="L22" s="10">
        <f>_xll.BDP($C$3,$B$7,$U$3,$V$3)</f>
        <v>19078.4155641457</v>
      </c>
      <c r="M22" s="10">
        <f>L22-M18</f>
        <v>10726.125213899617</v>
      </c>
      <c r="N22" s="10">
        <f>M22-N18</f>
        <v>1340.0695019607192</v>
      </c>
      <c r="P22" s="10">
        <f>_xll.BDP($C$3,$B$7,$U$3,$V$3)</f>
        <v>19078.4155641457</v>
      </c>
      <c r="Q22" s="10">
        <f>P22-Q18</f>
        <v>18040.2565641457</v>
      </c>
      <c r="R22" s="10">
        <f>Q22-R18</f>
        <v>15919.224564145701</v>
      </c>
      <c r="AB22" s="1385" t="s">
        <v>456</v>
      </c>
      <c r="AC22" s="1385"/>
      <c r="AD22" s="1385"/>
    </row>
    <row r="23" spans="2:34" ht="18" thickBot="1">
      <c r="B23" s="4">
        <v>37.86</v>
      </c>
      <c r="F23" s="9" t="s">
        <v>454</v>
      </c>
      <c r="G23" s="9"/>
      <c r="H23" s="28">
        <f>H22/H17</f>
        <v>23.380411230570711</v>
      </c>
      <c r="I23" s="28" t="e">
        <f ca="1">I22/I17</f>
        <v>#VALUE!</v>
      </c>
      <c r="J23" s="28">
        <f ca="1">J22/J17</f>
        <v>7.8746944068725169</v>
      </c>
      <c r="L23" s="28">
        <f>L22/L17</f>
        <v>0.79886720144320789</v>
      </c>
      <c r="M23" s="28">
        <f>M22/M17</f>
        <v>0.46900989583057617</v>
      </c>
      <c r="N23" s="28">
        <f>N22/N17</f>
        <v>5.5264986668370111E-2</v>
      </c>
      <c r="P23" s="28">
        <f>P22/P17</f>
        <v>14.132159677144964</v>
      </c>
      <c r="Q23" s="28">
        <f>Q22/Q17</f>
        <v>8.4696040207256811</v>
      </c>
      <c r="R23" s="28">
        <f>R22/R17</f>
        <v>13.490868274699746</v>
      </c>
      <c r="AB23" s="14" t="s">
        <v>445</v>
      </c>
      <c r="AC23" s="14" t="s">
        <v>446</v>
      </c>
      <c r="AD23" s="14" t="s">
        <v>447</v>
      </c>
    </row>
    <row r="24" spans="2:34" ht="18" thickTop="1">
      <c r="B24" s="4">
        <f>B22/B23</f>
        <v>5.8406434380184974E-2</v>
      </c>
      <c r="F24" s="9" t="s">
        <v>457</v>
      </c>
      <c r="G24" s="9"/>
      <c r="H24" s="12">
        <f>(H18/($E$9+$F$9))/$F$3</f>
        <v>5.7042271001537248E-2</v>
      </c>
      <c r="I24" s="12" t="e">
        <f ca="1">(I18/($E$9+$F$9))/$F$3</f>
        <v>#VALUE!</v>
      </c>
      <c r="J24" s="12">
        <f ca="1">(J18/($E$9+$F$9))/$F$3</f>
        <v>-3.8213259896706007E-2</v>
      </c>
      <c r="K24" s="29"/>
      <c r="L24" s="12">
        <f>(L18/($E$9+$F$9))/$F$3</f>
        <v>0.54575326548117731</v>
      </c>
      <c r="M24" s="12">
        <f>(M18/($E$9+$F$9))/$F$3</f>
        <v>0.5263105876234514</v>
      </c>
      <c r="N24" s="12">
        <f>(N18/($E$9+$F$9))/$F$3</f>
        <v>0.59145219934451476</v>
      </c>
      <c r="O24" s="29"/>
      <c r="P24" s="12">
        <f>(P18/($E$9+$F$9))/$F$3</f>
        <v>-2.4153615073217716E-2</v>
      </c>
      <c r="Q24" s="12">
        <f>(Q18/($E$9+$F$9))/$F$3</f>
        <v>6.5418472110524317E-2</v>
      </c>
      <c r="R24" s="12">
        <f>(R18/($E$9+$F$9))/$F$3</f>
        <v>0.13365454880950761</v>
      </c>
      <c r="AB24" s="15"/>
      <c r="AC24" s="15"/>
      <c r="AD24" s="15"/>
    </row>
    <row r="25" spans="2:34">
      <c r="F25" s="9" t="s">
        <v>458</v>
      </c>
      <c r="G25" s="9"/>
      <c r="H25" s="12">
        <f>H18/H22</f>
        <v>4.7448007522381534E-2</v>
      </c>
      <c r="I25" s="12" t="e">
        <f ca="1">I18/I22</f>
        <v>#VALUE!</v>
      </c>
      <c r="J25" s="12">
        <f ca="1">J18/J22</f>
        <v>-2.9588849699791402E-2</v>
      </c>
      <c r="L25" s="12">
        <f>L18/L22</f>
        <v>0.45395992465337393</v>
      </c>
      <c r="M25" s="12">
        <f>M18/M22</f>
        <v>0.77868663507886682</v>
      </c>
      <c r="N25" s="12">
        <f>N18/N22</f>
        <v>7.0041559025152909</v>
      </c>
      <c r="P25" s="12">
        <f>P18/P22</f>
        <v>-2.0091081395687369E-2</v>
      </c>
      <c r="Q25" s="12">
        <f>Q18/Q22</f>
        <v>5.7546797979763781E-2</v>
      </c>
      <c r="R25" s="12">
        <f>R18/R22</f>
        <v>0.13323714301870737</v>
      </c>
      <c r="AC25" s="5"/>
    </row>
    <row r="26" spans="2:34">
      <c r="F26" s="9" t="s">
        <v>459</v>
      </c>
      <c r="G26" s="9"/>
      <c r="H26" s="12">
        <f>H18/$E$10</f>
        <v>7.2794586447238963E-2</v>
      </c>
      <c r="I26" s="12" t="e">
        <f ca="1">I18/$E$10</f>
        <v>#VALUE!</v>
      </c>
      <c r="J26" s="12">
        <f ca="1">J18/$E$10</f>
        <v>-4.8402702667354303E-2</v>
      </c>
      <c r="L26" s="12">
        <f>L18/$E$10</f>
        <v>0.69646391290875975</v>
      </c>
      <c r="M26" s="12">
        <f>M18/$E$10</f>
        <v>0.67165210809751896</v>
      </c>
      <c r="N26" s="12">
        <f>N18/$E$10</f>
        <v>0.75478268131073534</v>
      </c>
      <c r="P26" s="12">
        <f>P18/$E$10</f>
        <v>-3.0823674962262584E-2</v>
      </c>
      <c r="Q26" s="12">
        <f>Q18/$E$10</f>
        <v>8.3483889047256149E-2</v>
      </c>
      <c r="R26" s="12">
        <f>R18/$E$10</f>
        <v>0.17056346874966147</v>
      </c>
      <c r="AA26" s="9" t="s">
        <v>130</v>
      </c>
      <c r="AB26" s="12">
        <f t="shared" ref="AB26:AD27" si="3">(L17/P17)-1</f>
        <v>16.690248957040993</v>
      </c>
      <c r="AC26" s="12">
        <f t="shared" si="3"/>
        <v>9.7369579657252476</v>
      </c>
      <c r="AD26" s="12">
        <f t="shared" si="3"/>
        <v>19.549215493716272</v>
      </c>
    </row>
    <row r="27" spans="2:34">
      <c r="F27" s="9"/>
      <c r="G27" s="9"/>
      <c r="I27" s="12"/>
      <c r="J27" s="12"/>
      <c r="L27" s="12"/>
      <c r="M27" s="12"/>
      <c r="N27" s="12"/>
      <c r="P27" s="12"/>
      <c r="Q27" s="12"/>
      <c r="R27" s="12"/>
      <c r="AA27" s="9" t="s">
        <v>450</v>
      </c>
      <c r="AB27" s="12">
        <f t="shared" si="3"/>
        <v>-23.595096586031367</v>
      </c>
      <c r="AC27" s="12">
        <f t="shared" si="3"/>
        <v>7.0452901243895028</v>
      </c>
      <c r="AD27" s="12">
        <f t="shared" si="3"/>
        <v>3.4252306009239355</v>
      </c>
    </row>
    <row r="28" spans="2:34">
      <c r="F28" s="9" t="s">
        <v>460</v>
      </c>
      <c r="G28" s="9"/>
      <c r="H28" s="12"/>
      <c r="I28" s="12"/>
      <c r="J28" s="12"/>
      <c r="L28" s="12"/>
      <c r="M28" s="12"/>
      <c r="N28" s="12"/>
      <c r="P28" s="12"/>
      <c r="Q28" s="12"/>
      <c r="R28" s="12"/>
      <c r="AA28" s="9" t="s">
        <v>454</v>
      </c>
      <c r="AB28" s="12">
        <f>(L23/P23)-1</f>
        <v>-0.94347168304819218</v>
      </c>
      <c r="AC28" s="12">
        <f>(M23/Q23)-1</f>
        <v>-0.94462434197834066</v>
      </c>
      <c r="AD28" s="12">
        <f>(N23/R23)-1</f>
        <v>-0.99590352633032431</v>
      </c>
    </row>
    <row r="29" spans="2:34">
      <c r="E29" s="30">
        <v>6.6</v>
      </c>
      <c r="F29" s="9" t="s">
        <v>461</v>
      </c>
      <c r="G29" s="9"/>
      <c r="H29" s="12">
        <f>($E29/H$23)-1</f>
        <v>-0.71771240741179665</v>
      </c>
      <c r="I29" s="12" t="e">
        <f ca="1">($E29/I$23)-1</f>
        <v>#VALUE!</v>
      </c>
      <c r="J29" s="12">
        <f ca="1">($E29/J$23)-1</f>
        <v>-0.16187223795758321</v>
      </c>
      <c r="L29" s="12">
        <f>($E29/L$23)-1</f>
        <v>7.2616985502429579</v>
      </c>
      <c r="M29" s="12">
        <f>($E29/M$23)-1</f>
        <v>13.072197748220146</v>
      </c>
      <c r="N29" s="12">
        <f>($E29/N$23)-1</f>
        <v>118.42461941780196</v>
      </c>
      <c r="P29" s="12">
        <f>($E29/P$23)-1</f>
        <v>-0.5329800857915753</v>
      </c>
      <c r="Q29" s="12">
        <f>($E29/Q$23)-1</f>
        <v>-0.22074278988139662</v>
      </c>
      <c r="R29" s="12">
        <f>($E29/R$23)-1</f>
        <v>-0.51078019104393857</v>
      </c>
    </row>
    <row r="30" spans="2:34">
      <c r="E30" s="30">
        <v>6.2</v>
      </c>
      <c r="F30" s="9" t="s">
        <v>462</v>
      </c>
      <c r="G30" s="9"/>
      <c r="H30" s="12">
        <f t="shared" ref="H30:R31" si="4">($E30/H$23)-1</f>
        <v>-0.73482074635653616</v>
      </c>
      <c r="I30" s="12" t="e">
        <f t="shared" ca="1" si="4"/>
        <v>#VALUE!</v>
      </c>
      <c r="J30" s="12">
        <f t="shared" ca="1" si="4"/>
        <v>-0.21266785989954773</v>
      </c>
      <c r="L30" s="12">
        <f t="shared" si="4"/>
        <v>6.7609895471979309</v>
      </c>
      <c r="M30" s="12">
        <f t="shared" si="4"/>
        <v>12.219337278631048</v>
      </c>
      <c r="N30" s="12">
        <f t="shared" si="4"/>
        <v>111.18676369551095</v>
      </c>
      <c r="P30" s="12">
        <f t="shared" si="4"/>
        <v>-0.56128432301632825</v>
      </c>
      <c r="Q30" s="12">
        <f t="shared" si="4"/>
        <v>-0.26797049958555441</v>
      </c>
      <c r="R30" s="12">
        <f t="shared" si="4"/>
        <v>-0.54042987643521501</v>
      </c>
    </row>
    <row r="31" spans="2:34">
      <c r="E31" s="30">
        <v>5.8</v>
      </c>
      <c r="F31" s="9" t="s">
        <v>463</v>
      </c>
      <c r="G31" s="9"/>
      <c r="H31" s="12">
        <f t="shared" si="4"/>
        <v>-0.75192908530127578</v>
      </c>
      <c r="I31" s="12" t="e">
        <f t="shared" ca="1" si="4"/>
        <v>#VALUE!</v>
      </c>
      <c r="J31" s="12">
        <f t="shared" ca="1" si="4"/>
        <v>-0.26346348184151247</v>
      </c>
      <c r="L31" s="12">
        <f t="shared" si="4"/>
        <v>6.260280544152903</v>
      </c>
      <c r="M31" s="12">
        <f t="shared" si="4"/>
        <v>11.366476809041947</v>
      </c>
      <c r="N31" s="12">
        <f t="shared" si="4"/>
        <v>103.9489079732199</v>
      </c>
      <c r="P31" s="12">
        <f t="shared" si="4"/>
        <v>-0.58958856024108131</v>
      </c>
      <c r="Q31" s="12">
        <f t="shared" si="4"/>
        <v>-0.31519820928971221</v>
      </c>
      <c r="R31" s="12">
        <f t="shared" si="4"/>
        <v>-0.57007956182649155</v>
      </c>
    </row>
    <row r="32" spans="2:34">
      <c r="B32" s="31"/>
      <c r="E32" s="30"/>
      <c r="F32" s="9"/>
      <c r="G32" s="9"/>
      <c r="M32" s="5"/>
      <c r="Q32" s="5"/>
    </row>
    <row r="33" spans="2:34" ht="18">
      <c r="E33" s="30"/>
      <c r="F33" s="32"/>
      <c r="G33" s="9"/>
      <c r="H33" s="1385" t="s">
        <v>440</v>
      </c>
      <c r="I33" s="1385"/>
      <c r="J33" s="1385"/>
      <c r="L33" s="1385" t="s">
        <v>441</v>
      </c>
      <c r="M33" s="1385"/>
      <c r="N33" s="1385"/>
      <c r="P33" s="1385" t="s">
        <v>442</v>
      </c>
      <c r="Q33" s="1385"/>
      <c r="R33" s="1385"/>
    </row>
    <row r="34" spans="2:34" ht="18.5" thickBot="1">
      <c r="E34" s="30"/>
      <c r="F34" s="33" t="s">
        <v>464</v>
      </c>
      <c r="G34" s="9"/>
      <c r="H34" s="14" t="s">
        <v>445</v>
      </c>
      <c r="I34" s="14" t="s">
        <v>446</v>
      </c>
      <c r="J34" s="14" t="s">
        <v>447</v>
      </c>
      <c r="L34" s="14" t="s">
        <v>445</v>
      </c>
      <c r="M34" s="14" t="s">
        <v>446</v>
      </c>
      <c r="N34" s="14" t="s">
        <v>447</v>
      </c>
      <c r="P34" s="14" t="s">
        <v>445</v>
      </c>
      <c r="Q34" s="14" t="s">
        <v>446</v>
      </c>
      <c r="R34" s="14" t="s">
        <v>447</v>
      </c>
    </row>
    <row r="35" spans="2:34">
      <c r="E35" s="30"/>
      <c r="F35" s="34"/>
      <c r="M35" s="5"/>
      <c r="Q35" s="5"/>
    </row>
    <row r="36" spans="2:34">
      <c r="E36" s="30"/>
      <c r="F36" s="9" t="s">
        <v>465</v>
      </c>
      <c r="G36" s="9"/>
      <c r="H36" s="1113">
        <f>[4]Model!T443</f>
        <v>80.445349999999991</v>
      </c>
      <c r="I36" s="1113">
        <f>[4]Model!W443</f>
        <v>90</v>
      </c>
      <c r="J36" s="1113">
        <f>[4]Model!Z443</f>
        <v>75</v>
      </c>
      <c r="M36" s="1113">
        <f>[5]Model!$AF$5</f>
        <v>81.47</v>
      </c>
      <c r="N36" s="1113">
        <f>M36</f>
        <v>81.47</v>
      </c>
      <c r="Q36" s="5"/>
    </row>
    <row r="37" spans="2:34">
      <c r="E37" s="30"/>
      <c r="F37" s="9" t="s">
        <v>146</v>
      </c>
      <c r="G37" s="9"/>
      <c r="H37" s="1113">
        <f>[4]Model!T252</f>
        <v>6161.5990423387102</v>
      </c>
      <c r="I37" s="1113">
        <f>[4]Model!W252</f>
        <v>6300</v>
      </c>
      <c r="J37" s="1113">
        <f>[4]Model!Z252</f>
        <v>6500</v>
      </c>
      <c r="M37" s="1113">
        <f>[5]Model!$AG$5</f>
        <v>5728</v>
      </c>
      <c r="N37" s="1113">
        <f>M37</f>
        <v>5728</v>
      </c>
      <c r="Q37" s="5"/>
    </row>
    <row r="38" spans="2:34">
      <c r="B38" s="35"/>
      <c r="E38" s="30"/>
      <c r="F38" s="9" t="s">
        <v>466</v>
      </c>
      <c r="G38" s="9"/>
      <c r="H38" s="1113">
        <f>[4]Model!T528</f>
        <v>99.721193216232578</v>
      </c>
      <c r="I38" s="1113">
        <f>[4]Model!W528</f>
        <v>75</v>
      </c>
      <c r="J38" s="1113">
        <f>[4]Model!Z528</f>
        <v>75</v>
      </c>
      <c r="M38" s="1113">
        <f>[5]Model!$AH$5</f>
        <v>65.600000000000009</v>
      </c>
      <c r="N38" s="1113">
        <f>M38</f>
        <v>65.600000000000009</v>
      </c>
      <c r="Q38" s="5"/>
      <c r="V38" s="5"/>
    </row>
    <row r="39" spans="2:34" ht="18">
      <c r="E39" s="30"/>
      <c r="F39" s="9" t="s">
        <v>467</v>
      </c>
      <c r="G39" s="9"/>
      <c r="H39" s="1113">
        <f>[4]Model!T488</f>
        <v>204.56035</v>
      </c>
      <c r="I39" s="1113">
        <f>[4]Model!W488</f>
        <v>160</v>
      </c>
      <c r="J39" s="1113">
        <f>[4]Model!Z488</f>
        <v>155</v>
      </c>
      <c r="M39" s="1113">
        <f>[5]Model!$AI$5</f>
        <v>149</v>
      </c>
      <c r="N39" s="1113">
        <f>M39</f>
        <v>149</v>
      </c>
      <c r="Q39" s="5"/>
      <c r="V39" s="5"/>
      <c r="AB39" s="1385" t="s">
        <v>443</v>
      </c>
      <c r="AC39" s="1385"/>
      <c r="AD39" s="1385"/>
      <c r="AF39" s="1385" t="s">
        <v>444</v>
      </c>
      <c r="AG39" s="1385"/>
      <c r="AH39" s="1385"/>
    </row>
    <row r="40" spans="2:34" ht="18" thickBot="1">
      <c r="E40" s="30"/>
      <c r="F40" s="9"/>
      <c r="G40" s="9"/>
      <c r="AB40" s="14" t="s">
        <v>445</v>
      </c>
      <c r="AC40" s="14" t="s">
        <v>446</v>
      </c>
      <c r="AD40" s="14" t="s">
        <v>447</v>
      </c>
      <c r="AF40" s="14" t="s">
        <v>445</v>
      </c>
      <c r="AG40" s="14" t="s">
        <v>446</v>
      </c>
      <c r="AH40" s="14" t="s">
        <v>447</v>
      </c>
    </row>
    <row r="41" spans="2:34" ht="18" thickTop="1">
      <c r="E41" s="30"/>
      <c r="F41" s="9"/>
      <c r="G41" s="9"/>
      <c r="AB41" s="15"/>
      <c r="AC41" s="15"/>
      <c r="AD41" s="15"/>
      <c r="AF41" s="15"/>
      <c r="AG41" s="15"/>
      <c r="AH41" s="15"/>
    </row>
    <row r="42" spans="2:34">
      <c r="B42" s="35"/>
      <c r="E42" s="30"/>
      <c r="F42" s="9"/>
      <c r="G42" s="9"/>
      <c r="U42" s="5"/>
      <c r="V42" s="5"/>
      <c r="W42" s="5"/>
      <c r="X42" s="5"/>
      <c r="AC42" s="5"/>
      <c r="AG42" s="5"/>
    </row>
    <row r="43" spans="2:34">
      <c r="E43" s="30"/>
      <c r="F43" s="9"/>
      <c r="G43" s="9"/>
      <c r="U43" s="5"/>
      <c r="V43" s="5"/>
      <c r="W43" s="5"/>
      <c r="X43" s="5"/>
      <c r="AA43" s="9" t="s">
        <v>130</v>
      </c>
      <c r="AB43" s="12" t="e">
        <f t="shared" ref="AB43:AD44" si="5">(H48/L48)-1</f>
        <v>#DIV/0!</v>
      </c>
      <c r="AC43" s="12">
        <f t="shared" si="5"/>
        <v>-0.8418379485412042</v>
      </c>
      <c r="AD43" s="12">
        <f t="shared" si="5"/>
        <v>-0.83518430848022829</v>
      </c>
      <c r="AE43" s="5"/>
      <c r="AF43" s="12">
        <f t="shared" ref="AF43:AH44" si="6">(H48/P48)-1</f>
        <v>-0.39555555555555555</v>
      </c>
      <c r="AG43" s="12">
        <f t="shared" si="6"/>
        <v>-0.31968528901408455</v>
      </c>
      <c r="AH43" s="12">
        <f t="shared" si="6"/>
        <v>4.7827542372881116E-2</v>
      </c>
    </row>
    <row r="44" spans="2:34" ht="18">
      <c r="E44" s="30"/>
      <c r="F44" s="36"/>
      <c r="G44" s="36"/>
      <c r="H44" s="1386" t="s">
        <v>565</v>
      </c>
      <c r="I44" s="1386"/>
      <c r="J44" s="1386"/>
      <c r="K44" s="37"/>
      <c r="L44" s="1386" t="s">
        <v>441</v>
      </c>
      <c r="M44" s="1386"/>
      <c r="N44" s="1386"/>
      <c r="O44" s="37"/>
      <c r="P44" s="1386" t="s">
        <v>442</v>
      </c>
      <c r="Q44" s="1386"/>
      <c r="R44" s="1386"/>
      <c r="U44" s="5"/>
      <c r="V44" s="5"/>
      <c r="W44" s="5"/>
      <c r="X44" s="5"/>
      <c r="AA44" s="9" t="s">
        <v>450</v>
      </c>
      <c r="AB44" s="12" t="e">
        <f t="shared" si="5"/>
        <v>#DIV/0!</v>
      </c>
      <c r="AC44" s="12" t="e">
        <f t="shared" ca="1" si="5"/>
        <v>#VALUE!</v>
      </c>
      <c r="AD44" s="12">
        <f t="shared" ca="1" si="5"/>
        <v>-1.1350975057551493</v>
      </c>
      <c r="AE44" s="5"/>
      <c r="AF44" s="12">
        <f t="shared" si="6"/>
        <v>-4.2461253554282736</v>
      </c>
      <c r="AG44" s="12" t="e">
        <f t="shared" ca="1" si="6"/>
        <v>#VALUE!</v>
      </c>
      <c r="AH44" s="12">
        <f t="shared" ca="1" si="6"/>
        <v>-0.54622255197435532</v>
      </c>
    </row>
    <row r="45" spans="2:34" ht="18">
      <c r="E45" s="30"/>
      <c r="F45" s="36"/>
      <c r="G45" s="36"/>
      <c r="H45" s="38" t="s">
        <v>469</v>
      </c>
      <c r="I45" s="38" t="s">
        <v>470</v>
      </c>
      <c r="J45" s="38" t="s">
        <v>925</v>
      </c>
      <c r="K45" s="37"/>
      <c r="L45" s="38" t="s">
        <v>468</v>
      </c>
      <c r="M45" s="38" t="s">
        <v>469</v>
      </c>
      <c r="N45" s="38" t="s">
        <v>470</v>
      </c>
      <c r="O45" s="37"/>
      <c r="P45" s="38" t="s">
        <v>469</v>
      </c>
      <c r="Q45" s="38" t="s">
        <v>470</v>
      </c>
      <c r="R45" s="38" t="s">
        <v>925</v>
      </c>
      <c r="U45" s="5"/>
      <c r="V45" s="5"/>
      <c r="W45" s="5"/>
      <c r="X45" s="5"/>
      <c r="AA45" s="9" t="s">
        <v>454</v>
      </c>
    </row>
    <row r="46" spans="2:34">
      <c r="E46" s="1132"/>
      <c r="F46" s="39"/>
      <c r="G46" s="39"/>
      <c r="H46" s="40"/>
      <c r="I46" s="40"/>
      <c r="J46" s="40"/>
      <c r="K46" s="41"/>
      <c r="L46" s="40"/>
      <c r="M46" s="40"/>
      <c r="N46" s="40"/>
      <c r="O46" s="41"/>
      <c r="P46" s="40"/>
      <c r="Q46" s="40"/>
      <c r="R46" s="40"/>
      <c r="U46" s="42"/>
      <c r="V46" s="42"/>
      <c r="W46" s="42"/>
      <c r="X46" s="42"/>
    </row>
    <row r="47" spans="2:34" hidden="1">
      <c r="E47" s="1132"/>
      <c r="F47" s="39"/>
      <c r="G47" s="39"/>
      <c r="H47" s="41"/>
      <c r="I47" s="43"/>
      <c r="J47" s="41"/>
      <c r="K47" s="41"/>
      <c r="L47" s="41"/>
      <c r="M47" s="43"/>
      <c r="N47" s="41"/>
      <c r="O47" s="41"/>
      <c r="P47" s="41"/>
      <c r="Q47" s="43"/>
      <c r="R47" s="41"/>
      <c r="U47" s="1113"/>
      <c r="V47" s="1113"/>
      <c r="W47" s="1113"/>
      <c r="X47" s="1113"/>
    </row>
    <row r="48" spans="2:34" ht="18">
      <c r="E48" s="1132"/>
      <c r="F48" s="44" t="s">
        <v>130</v>
      </c>
      <c r="G48" s="45"/>
      <c r="H48" s="52">
        <f>Model!Z83</f>
        <v>816</v>
      </c>
      <c r="I48" s="52">
        <f>Model!AE83</f>
        <v>1449.0703343999999</v>
      </c>
      <c r="J48" s="52">
        <f>Model!AF83</f>
        <v>1236.4364999999998</v>
      </c>
      <c r="K48" s="1115"/>
      <c r="L48" s="46"/>
      <c r="M48" s="46">
        <f>'[6]Simplied Earns by BU'!AN134</f>
        <v>9161.9343643725442</v>
      </c>
      <c r="N48" s="46">
        <f>'[6]Simplied Earns by BU'!AT128</f>
        <v>7501.9343643725442</v>
      </c>
      <c r="O48" s="1115"/>
      <c r="P48" s="46">
        <f>P17</f>
        <v>1350</v>
      </c>
      <c r="Q48" s="46">
        <f>Q17</f>
        <v>2130</v>
      </c>
      <c r="R48" s="46">
        <f>R17</f>
        <v>1180</v>
      </c>
      <c r="AB48" s="1385" t="s">
        <v>456</v>
      </c>
      <c r="AC48" s="1385"/>
      <c r="AD48" s="1385"/>
    </row>
    <row r="49" spans="2:34" ht="18.5" thickBot="1">
      <c r="B49" s="35"/>
      <c r="E49" s="1132"/>
      <c r="F49" s="44" t="s">
        <v>450</v>
      </c>
      <c r="G49" s="45"/>
      <c r="H49" s="46">
        <f>Model!U1573</f>
        <v>905.23280520270612</v>
      </c>
      <c r="I49" s="46" t="e">
        <f ca="1">Model!Z1570</f>
        <v>#VALUE!</v>
      </c>
      <c r="J49" s="46">
        <f ca="1">Model!AE1570</f>
        <v>-534.14733317781065</v>
      </c>
      <c r="K49" s="1115"/>
      <c r="L49" s="46"/>
      <c r="M49" s="46">
        <f>[7]Models!$Q$891</f>
        <v>3886.4904808991346</v>
      </c>
      <c r="N49" s="46">
        <f>[7]Models!$T$891</f>
        <v>3953.7912279883158</v>
      </c>
      <c r="O49" s="1115"/>
      <c r="P49" s="48">
        <f>_xll.BDP($C$3,$P$2,$T$3,$T$7,$Q$3,$R$3)</f>
        <v>-278.86563397465449</v>
      </c>
      <c r="Q49" s="48">
        <f>_xll.BDP($C$3,$P$2,$T$3,$U$7,$Q$3,$R$3)</f>
        <v>-1806.3551652314238</v>
      </c>
      <c r="R49" s="48">
        <f>_xll.BDP($C$3,$P$2,$T$3,$V$7,$Q$3,$R$3)</f>
        <v>-298.57100000000003</v>
      </c>
      <c r="S49" s="49"/>
      <c r="U49" s="42"/>
      <c r="V49" s="42"/>
      <c r="W49" s="42"/>
      <c r="X49" s="42"/>
      <c r="AB49" s="14" t="s">
        <v>445</v>
      </c>
      <c r="AC49" s="14" t="s">
        <v>446</v>
      </c>
      <c r="AD49" s="14" t="s">
        <v>447</v>
      </c>
    </row>
    <row r="50" spans="2:34" ht="18.5" hidden="1" thickTop="1">
      <c r="E50" s="1132"/>
      <c r="F50" s="44"/>
      <c r="G50" s="45"/>
      <c r="H50" s="46"/>
      <c r="I50" s="46"/>
      <c r="J50" s="46"/>
      <c r="K50" s="50"/>
      <c r="L50" s="51"/>
      <c r="M50" s="51"/>
      <c r="N50" s="51"/>
      <c r="O50" s="50"/>
      <c r="P50" s="51"/>
      <c r="Q50" s="51"/>
      <c r="R50" s="51"/>
      <c r="U50" s="1113"/>
      <c r="V50" s="1113"/>
      <c r="W50" s="1113"/>
      <c r="X50" s="1113"/>
      <c r="AB50" s="15"/>
      <c r="AC50" s="15"/>
      <c r="AD50" s="15"/>
    </row>
    <row r="51" spans="2:34" ht="18.5" thickTop="1">
      <c r="E51" s="1132"/>
      <c r="F51" s="45"/>
      <c r="G51" s="45"/>
      <c r="H51" s="50"/>
      <c r="I51" s="1115"/>
      <c r="J51" s="50"/>
      <c r="K51" s="50"/>
      <c r="L51" s="50"/>
      <c r="M51" s="1115"/>
      <c r="N51" s="50"/>
      <c r="O51" s="50"/>
      <c r="P51" s="50"/>
      <c r="Q51" s="1115"/>
      <c r="R51" s="50"/>
      <c r="AA51" s="9" t="s">
        <v>130</v>
      </c>
      <c r="AB51" s="12">
        <f>(L48/P48)-1</f>
        <v>-1</v>
      </c>
      <c r="AC51" s="12">
        <f>(M48/Q48)-1</f>
        <v>3.3013776358556548</v>
      </c>
      <c r="AD51" s="12">
        <f>(N48/R48)-1</f>
        <v>5.3575714952309701</v>
      </c>
      <c r="AF51" s="29">
        <f>AVERAGE(AF43,AB51)</f>
        <v>-0.69777777777777783</v>
      </c>
      <c r="AG51" s="29">
        <f>AVERAGE(AG43,AC51)</f>
        <v>1.4908461734207852</v>
      </c>
      <c r="AH51" s="29">
        <f>AVERAGE(AH43,AD51)</f>
        <v>2.7026995188019258</v>
      </c>
    </row>
    <row r="52" spans="2:34" ht="18" hidden="1">
      <c r="E52" s="1132"/>
      <c r="F52" s="45"/>
      <c r="G52" s="45"/>
      <c r="H52" s="50"/>
      <c r="I52" s="1115"/>
      <c r="J52" s="50"/>
      <c r="K52" s="50"/>
      <c r="L52" s="50"/>
      <c r="M52" s="1115"/>
      <c r="N52" s="50"/>
      <c r="O52" s="50"/>
      <c r="P52" s="50"/>
      <c r="Q52" s="1115"/>
      <c r="R52" s="50"/>
      <c r="AA52" s="9" t="s">
        <v>450</v>
      </c>
      <c r="AB52" s="12">
        <f t="shared" ref="AB52:AD53" si="7">(L48/P48)-1</f>
        <v>-1</v>
      </c>
      <c r="AC52" s="12">
        <f t="shared" si="7"/>
        <v>3.3013776358556548</v>
      </c>
      <c r="AD52" s="12">
        <f t="shared" si="7"/>
        <v>5.3575714952309701</v>
      </c>
    </row>
    <row r="53" spans="2:34" ht="18">
      <c r="E53" s="1132"/>
      <c r="F53" s="44" t="s">
        <v>455</v>
      </c>
      <c r="G53" s="45"/>
      <c r="H53" s="52">
        <f>_xll.BDP($C$3,$B$7)</f>
        <v>24148.172209589997</v>
      </c>
      <c r="I53" s="52">
        <f>H53</f>
        <v>24148.172209589997</v>
      </c>
      <c r="J53" s="52">
        <f>I53</f>
        <v>24148.172209589997</v>
      </c>
      <c r="K53" s="50"/>
      <c r="L53" s="52"/>
      <c r="M53" s="52">
        <f>L53</f>
        <v>0</v>
      </c>
      <c r="N53" s="52">
        <f>M53</f>
        <v>0</v>
      </c>
      <c r="O53" s="50"/>
      <c r="P53" s="52">
        <f>_xll.BDP($C$3,$B$7,$U$3,$V$3)</f>
        <v>19078.4155641457</v>
      </c>
      <c r="Q53" s="52">
        <f>P53</f>
        <v>19078.4155641457</v>
      </c>
      <c r="R53" s="52">
        <f>Q53</f>
        <v>19078.4155641457</v>
      </c>
      <c r="AB53" s="12">
        <f>(L49/P49)-1</f>
        <v>-1</v>
      </c>
      <c r="AC53" s="12">
        <f t="shared" si="7"/>
        <v>-3.1515649611471681</v>
      </c>
      <c r="AD53" s="12">
        <f t="shared" si="7"/>
        <v>-14.242381972757956</v>
      </c>
    </row>
    <row r="54" spans="2:34" ht="18">
      <c r="E54" s="1132"/>
      <c r="F54" s="44" t="s">
        <v>454</v>
      </c>
      <c r="G54" s="45"/>
      <c r="H54" s="53">
        <f>H53/H48</f>
        <v>29.593348296066171</v>
      </c>
      <c r="I54" s="53">
        <f>H53/I48</f>
        <v>16.664596352797986</v>
      </c>
      <c r="J54" s="53">
        <f>H53/J48</f>
        <v>19.530458870787136</v>
      </c>
      <c r="K54" s="50"/>
      <c r="L54" s="53"/>
      <c r="M54" s="53">
        <f>L53/M48</f>
        <v>0</v>
      </c>
      <c r="N54" s="53">
        <f>L53/N48</f>
        <v>0</v>
      </c>
      <c r="O54" s="50"/>
      <c r="P54" s="53">
        <f>P53/P48</f>
        <v>14.132159677144964</v>
      </c>
      <c r="Q54" s="53">
        <f>P53/Q48</f>
        <v>8.9570026122749766</v>
      </c>
      <c r="R54" s="53">
        <f>P53/R48</f>
        <v>16.16814878317432</v>
      </c>
    </row>
    <row r="55" spans="2:34" ht="18">
      <c r="B55" s="35"/>
      <c r="C55" s="29"/>
      <c r="E55" s="1132"/>
      <c r="F55" s="44" t="s">
        <v>458</v>
      </c>
      <c r="G55" s="45"/>
      <c r="H55" s="54">
        <f>H49/H53</f>
        <v>3.7486597219279799E-2</v>
      </c>
      <c r="I55" s="54" t="e">
        <f ca="1">I49/I53</f>
        <v>#VALUE!</v>
      </c>
      <c r="J55" s="54">
        <f ca="1">J49/J53</f>
        <v>-2.5508556083017293E-2</v>
      </c>
      <c r="K55" s="55"/>
      <c r="L55" s="54"/>
      <c r="M55" s="54">
        <f>(M49/($E$9+$F$9))/$F$3</f>
        <v>0.24490301498375322</v>
      </c>
      <c r="N55" s="54">
        <f>(N49/($E$9+$F$9))/$F$3</f>
        <v>0.24914389913201088</v>
      </c>
      <c r="O55" s="55"/>
      <c r="P55" s="56">
        <f>(P49/$E$9)/$F$3</f>
        <v>-1.783031597983991E-2</v>
      </c>
      <c r="Q55" s="56">
        <f>(Q49/$E$9)/$F$3</f>
        <v>-0.11549606492860115</v>
      </c>
      <c r="R55" s="56">
        <f>(R49/$E$9)/$F$3</f>
        <v>-1.9090252163881313E-2</v>
      </c>
    </row>
    <row r="56" spans="2:34" ht="18">
      <c r="E56" s="1132"/>
      <c r="F56" s="44"/>
      <c r="G56" s="45"/>
      <c r="H56" s="54"/>
      <c r="I56" s="54"/>
      <c r="J56" s="54"/>
      <c r="K56" s="50"/>
      <c r="L56" s="54"/>
      <c r="M56" s="54" t="e">
        <f>M49/M53</f>
        <v>#DIV/0!</v>
      </c>
      <c r="N56" s="54" t="e">
        <f>N49/N53</f>
        <v>#DIV/0!</v>
      </c>
      <c r="O56" s="50"/>
      <c r="P56" s="56">
        <f>P49/P53</f>
        <v>-1.4616813070092155E-2</v>
      </c>
      <c r="Q56" s="56">
        <f>Q49/Q53</f>
        <v>-9.4680565016422497E-2</v>
      </c>
      <c r="R56" s="56">
        <f>R49/R53</f>
        <v>-1.5649674837836542E-2</v>
      </c>
      <c r="AB56" s="1385" t="s">
        <v>471</v>
      </c>
      <c r="AC56" s="1385"/>
      <c r="AD56" s="1385"/>
    </row>
    <row r="57" spans="2:34" ht="18.5" hidden="1" thickBot="1">
      <c r="E57" s="1132"/>
      <c r="F57" s="44" t="s">
        <v>459</v>
      </c>
      <c r="G57" s="45"/>
      <c r="H57" s="54">
        <f>H49/$E$10</f>
        <v>7.2794586447238963E-2</v>
      </c>
      <c r="I57" s="54" t="e">
        <f ca="1">I49/$E$10</f>
        <v>#VALUE!</v>
      </c>
      <c r="J57" s="54">
        <f ca="1">J49/$E$10</f>
        <v>-4.8402702667354303E-2</v>
      </c>
      <c r="K57" s="50"/>
      <c r="L57" s="54"/>
      <c r="M57" s="54">
        <f>M49/$E$10</f>
        <v>0.31253337888570104</v>
      </c>
      <c r="N57" s="54">
        <f>N49/$E$10</f>
        <v>0.31794539005430877</v>
      </c>
      <c r="O57" s="50"/>
      <c r="P57" s="56">
        <f>P49/$E$10</f>
        <v>-2.2425069421767568E-2</v>
      </c>
      <c r="Q57" s="56">
        <f>Q49/$E$10</f>
        <v>-0.14525863012709828</v>
      </c>
      <c r="R57" s="56">
        <f>R49/$E$10</f>
        <v>-2.4009682752572887E-2</v>
      </c>
      <c r="AB57" s="14" t="s">
        <v>445</v>
      </c>
      <c r="AC57" s="14" t="s">
        <v>446</v>
      </c>
      <c r="AD57" s="14" t="s">
        <v>447</v>
      </c>
    </row>
    <row r="58" spans="2:34" ht="18">
      <c r="B58" s="35"/>
      <c r="E58" s="1132"/>
      <c r="F58" s="45"/>
      <c r="G58" s="45"/>
      <c r="H58" s="50"/>
      <c r="I58" s="1115"/>
      <c r="J58" s="50"/>
      <c r="K58" s="50"/>
      <c r="L58" s="50"/>
      <c r="M58" s="50"/>
      <c r="N58" s="50"/>
      <c r="O58" s="50"/>
      <c r="P58" s="50"/>
      <c r="Q58" s="50"/>
      <c r="R58" s="50"/>
      <c r="AA58" s="9" t="s">
        <v>130</v>
      </c>
      <c r="AC58" s="12" t="e">
        <f>(M48/L48)-1</f>
        <v>#DIV/0!</v>
      </c>
      <c r="AD58" s="12">
        <f>(N48/M48)-1</f>
        <v>-0.18118444577109616</v>
      </c>
    </row>
    <row r="59" spans="2:34" ht="18">
      <c r="B59" s="35"/>
      <c r="E59" s="1132"/>
      <c r="F59" s="57" t="s">
        <v>472</v>
      </c>
      <c r="G59" s="45"/>
      <c r="H59" s="54"/>
      <c r="I59" s="54"/>
      <c r="J59" s="54"/>
      <c r="K59" s="50"/>
      <c r="L59" s="54"/>
      <c r="M59" s="54"/>
      <c r="N59" s="54"/>
      <c r="O59" s="50"/>
      <c r="P59" s="54"/>
      <c r="Q59" s="54"/>
      <c r="R59" s="54"/>
      <c r="AA59" s="9" t="s">
        <v>450</v>
      </c>
    </row>
    <row r="60" spans="2:34" ht="18">
      <c r="E60" s="1132">
        <v>6</v>
      </c>
      <c r="F60" s="44" t="s">
        <v>473</v>
      </c>
      <c r="G60" s="45"/>
      <c r="H60" s="54">
        <f>($E60/H$54)-1</f>
        <v>-0.79725173576260788</v>
      </c>
      <c r="I60" s="54">
        <f>($E60/I$54)-1</f>
        <v>-0.63995527566483179</v>
      </c>
      <c r="J60" s="54">
        <f>($E60/J$54)-1</f>
        <v>-0.69278755610936749</v>
      </c>
      <c r="K60" s="50"/>
      <c r="L60" s="54"/>
      <c r="M60" s="54" t="e">
        <f>($E60/M$54)-1</f>
        <v>#DIV/0!</v>
      </c>
      <c r="N60" s="54" t="e">
        <f>($E60/N$54)-1</f>
        <v>#DIV/0!</v>
      </c>
      <c r="O60" s="50"/>
      <c r="P60" s="54">
        <f>($E60/P$54)-1</f>
        <v>-0.57543644162870478</v>
      </c>
      <c r="Q60" s="54">
        <f>($E60/Q$54)-1</f>
        <v>-0.330133052347512</v>
      </c>
      <c r="R60" s="54">
        <f>($E60/R$54)-1</f>
        <v>-0.62890000083101594</v>
      </c>
      <c r="T60" s="12"/>
      <c r="AA60" s="9" t="s">
        <v>454</v>
      </c>
    </row>
    <row r="61" spans="2:34" ht="18">
      <c r="E61" s="1132">
        <v>3.5</v>
      </c>
      <c r="F61" s="44" t="s">
        <v>496</v>
      </c>
      <c r="G61" s="45"/>
      <c r="H61" s="54">
        <f t="shared" ref="H61:R62" si="8">($E61/H$54)-1</f>
        <v>-0.88173017919485464</v>
      </c>
      <c r="I61" s="54">
        <f t="shared" si="8"/>
        <v>-0.7899739108044852</v>
      </c>
      <c r="J61" s="54">
        <f t="shared" si="8"/>
        <v>-0.82079274106379763</v>
      </c>
      <c r="K61" s="50"/>
      <c r="L61" s="54"/>
      <c r="M61" s="54" t="e">
        <f t="shared" si="8"/>
        <v>#DIV/0!</v>
      </c>
      <c r="N61" s="54" t="e">
        <f t="shared" si="8"/>
        <v>#DIV/0!</v>
      </c>
      <c r="O61" s="50"/>
      <c r="P61" s="54">
        <f t="shared" si="8"/>
        <v>-0.75233792428341117</v>
      </c>
      <c r="Q61" s="54">
        <f t="shared" si="8"/>
        <v>-0.60924428053604873</v>
      </c>
      <c r="R61" s="54">
        <f t="shared" si="8"/>
        <v>-0.78352500048475937</v>
      </c>
      <c r="U61" s="4">
        <f>(L54/E62)-1</f>
        <v>-1</v>
      </c>
      <c r="V61" s="4">
        <f>(L54/E61)-1</f>
        <v>-1</v>
      </c>
    </row>
    <row r="62" spans="2:34" ht="18">
      <c r="E62" s="1132">
        <v>2.8</v>
      </c>
      <c r="F62" s="44" t="s">
        <v>495</v>
      </c>
      <c r="G62" s="45"/>
      <c r="H62" s="54">
        <f>($E62/H$54)-1</f>
        <v>-0.90538414335588369</v>
      </c>
      <c r="I62" s="54">
        <f t="shared" si="8"/>
        <v>-0.83197912864358825</v>
      </c>
      <c r="J62" s="54">
        <f t="shared" si="8"/>
        <v>-0.85663419285103815</v>
      </c>
      <c r="K62" s="50"/>
      <c r="L62" s="54"/>
      <c r="M62" s="54" t="e">
        <f t="shared" si="8"/>
        <v>#DIV/0!</v>
      </c>
      <c r="N62" s="54" t="e">
        <f t="shared" si="8"/>
        <v>#DIV/0!</v>
      </c>
      <c r="O62" s="50"/>
      <c r="P62" s="54">
        <f t="shared" si="8"/>
        <v>-0.80187033942672892</v>
      </c>
      <c r="Q62" s="54">
        <f t="shared" si="8"/>
        <v>-0.68739542442883894</v>
      </c>
      <c r="R62" s="54">
        <f t="shared" si="8"/>
        <v>-0.82682000038780745</v>
      </c>
    </row>
    <row r="63" spans="2:34" ht="18" hidden="1">
      <c r="E63" s="1132"/>
      <c r="F63" s="45"/>
      <c r="G63" s="45"/>
      <c r="H63" s="50"/>
      <c r="I63" s="1115"/>
      <c r="J63" s="50"/>
      <c r="K63" s="50"/>
      <c r="L63" s="50"/>
      <c r="M63" s="50"/>
      <c r="N63" s="50"/>
      <c r="O63" s="50"/>
      <c r="P63" s="50"/>
      <c r="Q63" s="50"/>
      <c r="R63" s="50"/>
    </row>
    <row r="64" spans="2:34" ht="18">
      <c r="E64" s="1132"/>
      <c r="F64" s="45"/>
      <c r="G64" s="45"/>
      <c r="H64" s="50"/>
      <c r="I64" s="1115"/>
      <c r="J64" s="50"/>
      <c r="K64" s="50"/>
      <c r="L64" s="50"/>
      <c r="M64" s="50"/>
      <c r="N64" s="50"/>
      <c r="O64" s="50"/>
      <c r="P64" s="50"/>
      <c r="Q64" s="50"/>
      <c r="R64" s="50"/>
    </row>
    <row r="65" spans="1:46" ht="18">
      <c r="E65" s="1132"/>
      <c r="F65" s="58"/>
      <c r="G65" s="59"/>
      <c r="H65" s="1386" t="s">
        <v>474</v>
      </c>
      <c r="I65" s="1386"/>
      <c r="J65" s="1386"/>
      <c r="K65" s="60"/>
      <c r="L65" s="1386" t="s">
        <v>441</v>
      </c>
      <c r="M65" s="1386"/>
      <c r="N65" s="1386"/>
      <c r="O65" s="60"/>
      <c r="P65" s="1387"/>
      <c r="Q65" s="1387"/>
      <c r="R65" s="1387"/>
    </row>
    <row r="66" spans="1:46" ht="18">
      <c r="E66" s="1132"/>
      <c r="F66" s="58"/>
      <c r="G66" s="59"/>
      <c r="H66" s="38" t="s">
        <v>468</v>
      </c>
      <c r="I66" s="38" t="s">
        <v>469</v>
      </c>
      <c r="J66" s="38" t="s">
        <v>470</v>
      </c>
      <c r="K66" s="37"/>
      <c r="L66" s="38" t="s">
        <v>468</v>
      </c>
      <c r="M66" s="38" t="s">
        <v>469</v>
      </c>
      <c r="N66" s="38" t="s">
        <v>470</v>
      </c>
      <c r="O66" s="37"/>
      <c r="P66" s="1387"/>
      <c r="Q66" s="1387"/>
      <c r="R66" s="1387"/>
    </row>
    <row r="67" spans="1:46" ht="18">
      <c r="E67" s="1132"/>
      <c r="F67" s="61" t="s">
        <v>498</v>
      </c>
      <c r="G67" s="50"/>
      <c r="H67" s="50"/>
      <c r="I67" s="1115"/>
      <c r="J67" s="50"/>
      <c r="K67" s="50"/>
      <c r="L67" s="50"/>
      <c r="M67" s="1115"/>
      <c r="N67" s="50"/>
      <c r="O67" s="62"/>
      <c r="P67" s="62"/>
      <c r="Q67" s="63"/>
      <c r="R67" s="62"/>
    </row>
    <row r="68" spans="1:46" ht="18">
      <c r="F68" s="44" t="s">
        <v>171</v>
      </c>
      <c r="G68" s="45"/>
      <c r="H68" s="46"/>
      <c r="I68" s="46" t="e">
        <f>Model!#REF!</f>
        <v>#REF!</v>
      </c>
      <c r="J68" s="46" t="e">
        <f>I68</f>
        <v>#REF!</v>
      </c>
      <c r="K68" s="50"/>
      <c r="L68" s="46"/>
      <c r="M68" s="46">
        <f>[7]Models!$Q$182</f>
        <v>92.01</v>
      </c>
      <c r="N68" s="46">
        <f t="shared" ref="N68:N75" si="9">M68</f>
        <v>92.01</v>
      </c>
      <c r="O68" s="50"/>
      <c r="P68" s="50"/>
      <c r="Q68" s="1115"/>
      <c r="R68" s="50"/>
    </row>
    <row r="69" spans="1:46" ht="18">
      <c r="B69" s="35"/>
      <c r="F69" s="44" t="s">
        <v>146</v>
      </c>
      <c r="G69" s="45"/>
      <c r="H69" s="46"/>
      <c r="I69" s="46" t="e">
        <f>Model!#REF!</f>
        <v>#REF!</v>
      </c>
      <c r="J69" s="46" t="e">
        <f>I69</f>
        <v>#REF!</v>
      </c>
      <c r="K69" s="50"/>
      <c r="L69" s="46"/>
      <c r="M69" s="46">
        <f>[7]Models!$Q$56</f>
        <v>5739</v>
      </c>
      <c r="N69" s="46">
        <f t="shared" si="9"/>
        <v>5739</v>
      </c>
      <c r="O69" s="50"/>
      <c r="P69" s="50"/>
      <c r="Q69" s="1115"/>
      <c r="R69" s="50"/>
    </row>
    <row r="70" spans="1:46" ht="18">
      <c r="F70" s="44" t="s">
        <v>467</v>
      </c>
      <c r="G70" s="45"/>
      <c r="H70" s="46"/>
      <c r="I70" s="46" t="e">
        <f>Model!#REF!</f>
        <v>#REF!</v>
      </c>
      <c r="J70" s="46" t="e">
        <f>I70</f>
        <v>#REF!</v>
      </c>
      <c r="K70" s="50"/>
      <c r="L70" s="46"/>
      <c r="M70" s="46">
        <f>[7]Models!$Q$295</f>
        <v>158.29</v>
      </c>
      <c r="N70" s="46">
        <f t="shared" si="9"/>
        <v>158.29</v>
      </c>
      <c r="O70" s="50"/>
      <c r="P70" s="50"/>
      <c r="Q70" s="1115"/>
      <c r="R70" s="50"/>
    </row>
    <row r="71" spans="1:46" ht="18">
      <c r="F71" s="73" t="s">
        <v>466</v>
      </c>
      <c r="G71" s="73"/>
      <c r="H71" s="48"/>
      <c r="I71" s="48">
        <f>[6]Models!Q352</f>
        <v>58.5</v>
      </c>
      <c r="J71" s="48">
        <f>[6]Models!T352</f>
        <v>58.5</v>
      </c>
      <c r="K71" s="74"/>
      <c r="L71" s="48"/>
      <c r="M71" s="48">
        <f>[7]Models!$Q$354</f>
        <v>78.650000000000006</v>
      </c>
      <c r="N71" s="48">
        <f t="shared" si="9"/>
        <v>78.650000000000006</v>
      </c>
      <c r="O71" s="74"/>
      <c r="P71" s="74"/>
      <c r="Q71" s="75"/>
      <c r="R71" s="74"/>
    </row>
    <row r="72" spans="1:46" ht="18" hidden="1">
      <c r="A72" s="9"/>
      <c r="F72" s="61" t="s">
        <v>498</v>
      </c>
      <c r="G72" s="50"/>
      <c r="H72" s="50"/>
      <c r="I72" s="1115"/>
      <c r="J72" s="50"/>
      <c r="K72" s="74"/>
      <c r="L72" s="48"/>
      <c r="M72" s="48">
        <f>[7]Models!$AD$9</f>
        <v>12740</v>
      </c>
      <c r="N72" s="48">
        <f t="shared" si="9"/>
        <v>12740</v>
      </c>
      <c r="O72" s="74"/>
      <c r="P72" s="74"/>
      <c r="Q72" s="75"/>
      <c r="R72" s="74"/>
    </row>
    <row r="73" spans="1:46" ht="17.25" hidden="1" customHeight="1">
      <c r="A73" s="9"/>
      <c r="F73" s="44" t="s">
        <v>171</v>
      </c>
      <c r="G73" s="45"/>
      <c r="H73" s="46"/>
      <c r="I73" s="46" t="e">
        <f>Model!#REF!</f>
        <v>#REF!</v>
      </c>
      <c r="J73" s="46" t="e">
        <f>I73</f>
        <v>#REF!</v>
      </c>
      <c r="K73" s="74"/>
      <c r="L73" s="48"/>
      <c r="M73" s="48">
        <f>[7]Models!$AD$10</f>
        <v>985.1</v>
      </c>
      <c r="N73" s="48">
        <f t="shared" si="9"/>
        <v>985.1</v>
      </c>
      <c r="O73" s="74"/>
      <c r="P73" s="74"/>
      <c r="Q73" s="75"/>
      <c r="R73" s="74"/>
    </row>
    <row r="74" spans="1:46" ht="14.25" hidden="1" customHeight="1">
      <c r="A74" s="9"/>
      <c r="F74" s="44" t="s">
        <v>146</v>
      </c>
      <c r="G74" s="45"/>
      <c r="H74" s="46"/>
      <c r="I74" s="46" t="e">
        <f>Model!#REF!</f>
        <v>#REF!</v>
      </c>
      <c r="J74" s="46" t="e">
        <f>I74</f>
        <v>#REF!</v>
      </c>
      <c r="K74" s="74"/>
      <c r="L74" s="48"/>
      <c r="M74" s="48">
        <f>[7]Models!$AD$11</f>
        <v>2699.19</v>
      </c>
      <c r="N74" s="48">
        <f t="shared" si="9"/>
        <v>2699.19</v>
      </c>
      <c r="O74" s="74"/>
      <c r="P74" s="74"/>
      <c r="Q74" s="75"/>
      <c r="R74" s="74"/>
    </row>
    <row r="75" spans="1:46" ht="18" hidden="1">
      <c r="A75" s="9"/>
      <c r="F75" s="44" t="s">
        <v>467</v>
      </c>
      <c r="G75" s="45"/>
      <c r="H75" s="46"/>
      <c r="I75" s="46" t="e">
        <f>Model!#REF!</f>
        <v>#REF!</v>
      </c>
      <c r="J75" s="46" t="e">
        <f>I75</f>
        <v>#REF!</v>
      </c>
      <c r="K75" s="74"/>
      <c r="L75" s="48"/>
      <c r="M75" s="48">
        <f>[7]Models!$AD$12</f>
        <v>12700</v>
      </c>
      <c r="N75" s="48">
        <f t="shared" si="9"/>
        <v>12700</v>
      </c>
      <c r="O75" s="74"/>
      <c r="P75" s="74"/>
      <c r="Q75" s="75"/>
      <c r="R75" s="74"/>
    </row>
    <row r="76" spans="1:46" ht="18" hidden="1">
      <c r="A76" s="9"/>
      <c r="F76" s="44"/>
      <c r="G76" s="45"/>
      <c r="H76" s="46"/>
      <c r="I76" s="46"/>
      <c r="J76" s="46"/>
      <c r="K76" s="50"/>
      <c r="L76" s="46"/>
      <c r="M76" s="46"/>
      <c r="N76" s="46"/>
      <c r="O76" s="50"/>
      <c r="P76" s="50"/>
      <c r="Q76" s="1115"/>
      <c r="R76" s="50"/>
      <c r="V76" s="35"/>
      <c r="W76" s="35"/>
      <c r="AL76" s="4" t="s">
        <v>475</v>
      </c>
      <c r="AM76" s="4" t="s">
        <v>476</v>
      </c>
      <c r="AN76" s="4" t="s">
        <v>477</v>
      </c>
      <c r="AO76" s="4" t="s">
        <v>478</v>
      </c>
      <c r="AP76" s="4" t="s">
        <v>479</v>
      </c>
    </row>
    <row r="77" spans="1:46">
      <c r="A77" s="9"/>
      <c r="H77" s="4">
        <v>1400</v>
      </c>
      <c r="L77" s="4">
        <v>1400</v>
      </c>
      <c r="AL77" s="29">
        <f>B38</f>
        <v>0</v>
      </c>
      <c r="AM77" s="29">
        <f>B42</f>
        <v>0</v>
      </c>
      <c r="AN77" s="29">
        <f>B49</f>
        <v>0</v>
      </c>
      <c r="AO77" s="29">
        <f>B55</f>
        <v>0</v>
      </c>
      <c r="AP77" s="29">
        <f>SUM(AL77:AO77)</f>
        <v>0</v>
      </c>
    </row>
    <row r="78" spans="1:46">
      <c r="A78" s="9"/>
      <c r="H78" s="64">
        <f>H49-H77</f>
        <v>-494.76719479729388</v>
      </c>
      <c r="L78" s="64">
        <f>L49-L77</f>
        <v>-1400</v>
      </c>
      <c r="AL78" s="4">
        <v>0</v>
      </c>
      <c r="AM78" s="29">
        <f>AL77</f>
        <v>0</v>
      </c>
      <c r="AN78" s="29">
        <f>AM77+AM78</f>
        <v>0</v>
      </c>
      <c r="AO78" s="29">
        <f>AN77+AN78</f>
        <v>0</v>
      </c>
    </row>
    <row r="79" spans="1:46">
      <c r="A79" s="9"/>
    </row>
    <row r="80" spans="1:46">
      <c r="A80" s="9"/>
      <c r="AS80" s="5"/>
      <c r="AT80" s="5"/>
    </row>
    <row r="81" spans="1:53">
      <c r="A81" s="9"/>
      <c r="AL81" s="4" t="s">
        <v>475</v>
      </c>
      <c r="AM81" s="4" t="s">
        <v>476</v>
      </c>
      <c r="AN81" s="4" t="s">
        <v>477</v>
      </c>
      <c r="AO81" s="4" t="s">
        <v>478</v>
      </c>
      <c r="AP81" s="4" t="s">
        <v>480</v>
      </c>
      <c r="AQ81" s="4" t="s">
        <v>481</v>
      </c>
      <c r="AR81" s="4" t="s">
        <v>482</v>
      </c>
      <c r="AS81" s="5" t="s">
        <v>483</v>
      </c>
      <c r="AT81" s="4" t="s">
        <v>481</v>
      </c>
      <c r="AU81" s="4" t="s">
        <v>482</v>
      </c>
      <c r="AV81" s="5" t="s">
        <v>484</v>
      </c>
      <c r="AZ81" s="4" t="s">
        <v>485</v>
      </c>
      <c r="BA81" s="12">
        <f>(AZ83/$H$3)-1</f>
        <v>0</v>
      </c>
    </row>
    <row r="82" spans="1:53">
      <c r="A82" s="9"/>
      <c r="AL82" s="35">
        <f>AL78</f>
        <v>0</v>
      </c>
      <c r="AM82" s="35">
        <f>AM78</f>
        <v>0</v>
      </c>
      <c r="AN82" s="35">
        <f>AN78</f>
        <v>0</v>
      </c>
      <c r="AO82" s="35">
        <f>AO78</f>
        <v>0</v>
      </c>
      <c r="AP82" s="35">
        <f>AP78</f>
        <v>0</v>
      </c>
      <c r="AQ82" s="29">
        <f>AP83</f>
        <v>0</v>
      </c>
      <c r="AR82" s="29">
        <f>AQ82+AQ83</f>
        <v>0</v>
      </c>
      <c r="AS82" s="65">
        <v>0</v>
      </c>
      <c r="AT82" s="29">
        <f>AS83</f>
        <v>0</v>
      </c>
      <c r="AU82" s="29">
        <f>AT82+AT83</f>
        <v>6.5000000000000002E-2</v>
      </c>
      <c r="AV82" s="65">
        <v>0</v>
      </c>
    </row>
    <row r="83" spans="1:53">
      <c r="A83" s="9"/>
      <c r="AL83" s="35">
        <f>AL77</f>
        <v>0</v>
      </c>
      <c r="AM83" s="35">
        <f>AM77</f>
        <v>0</v>
      </c>
      <c r="AN83" s="35">
        <f>AN77</f>
        <v>0</v>
      </c>
      <c r="AO83" s="35">
        <f>AO77</f>
        <v>0</v>
      </c>
      <c r="AP83" s="35">
        <f>AP77</f>
        <v>0</v>
      </c>
      <c r="AQ83" s="29">
        <f>B69</f>
        <v>0</v>
      </c>
      <c r="AR83" s="35">
        <v>0</v>
      </c>
      <c r="AS83" s="42">
        <f>SUM(AR82:AR83)</f>
        <v>0</v>
      </c>
      <c r="AT83" s="29">
        <v>6.5000000000000002E-2</v>
      </c>
      <c r="AU83" s="35">
        <v>7.2999999999999995E-2</v>
      </c>
      <c r="AV83" s="42">
        <f>SUM(AU82:AU83)</f>
        <v>0.13800000000000001</v>
      </c>
      <c r="AZ83" s="66">
        <f>$H$3*(1+AQ83+AR83)</f>
        <v>29.81</v>
      </c>
      <c r="BA83" s="4" t="s">
        <v>486</v>
      </c>
    </row>
    <row r="84" spans="1:53">
      <c r="A84" s="9"/>
      <c r="AS84" s="5"/>
      <c r="AV84" s="5"/>
    </row>
    <row r="85" spans="1:53">
      <c r="AL85" s="4" t="str">
        <f>AL81</f>
        <v>Special Dividend*</v>
      </c>
      <c r="AM85" s="4" t="str">
        <f t="shared" ref="AM85:AR87" si="10">AM81</f>
        <v>Interim Dividend**</v>
      </c>
      <c r="AN85" s="4" t="str">
        <f t="shared" si="10"/>
        <v>Earnings Revision</v>
      </c>
      <c r="AO85" s="4" t="str">
        <f t="shared" si="10"/>
        <v>Multiple Expansion</v>
      </c>
      <c r="AP85" s="4" t="str">
        <f t="shared" si="10"/>
        <v>TSR (%) - May '19</v>
      </c>
      <c r="AQ85" s="4" t="str">
        <f t="shared" si="10"/>
        <v>Interim Dividend***</v>
      </c>
      <c r="AR85" s="4" t="str">
        <f t="shared" si="10"/>
        <v>ER/Multiple Expansion</v>
      </c>
      <c r="AS85" s="5" t="s">
        <v>483</v>
      </c>
      <c r="AT85" s="4" t="str">
        <f>AT81</f>
        <v>Interim Dividend***</v>
      </c>
      <c r="AU85" s="4" t="str">
        <f>AU81</f>
        <v>ER/Multiple Expansion</v>
      </c>
      <c r="AV85" s="5" t="s">
        <v>484</v>
      </c>
      <c r="AZ85" s="4" t="s">
        <v>485</v>
      </c>
      <c r="BA85" s="12">
        <f>(AZ87/$H$3)-1</f>
        <v>-1</v>
      </c>
    </row>
    <row r="86" spans="1:53">
      <c r="AF86" s="67"/>
      <c r="AL86" s="29">
        <f>AL82</f>
        <v>0</v>
      </c>
      <c r="AM86" s="29">
        <f t="shared" si="10"/>
        <v>0</v>
      </c>
      <c r="AN86" s="29">
        <f t="shared" si="10"/>
        <v>0</v>
      </c>
      <c r="AO86" s="29">
        <f t="shared" si="10"/>
        <v>0</v>
      </c>
      <c r="AP86" s="29">
        <f t="shared" si="10"/>
        <v>0</v>
      </c>
      <c r="AQ86" s="29">
        <f t="shared" si="10"/>
        <v>0</v>
      </c>
      <c r="AR86" s="29">
        <f>AQ86+AQ87</f>
        <v>0</v>
      </c>
      <c r="AS86" s="65">
        <v>0</v>
      </c>
      <c r="AT86" s="29">
        <f>AS87</f>
        <v>-1</v>
      </c>
      <c r="AU86" s="29">
        <f>AT86+AT87</f>
        <v>-0.93500000000000005</v>
      </c>
      <c r="AV86" s="65">
        <v>0</v>
      </c>
    </row>
    <row r="87" spans="1:53">
      <c r="I87" s="5">
        <v>2019</v>
      </c>
      <c r="J87" s="4">
        <v>2020</v>
      </c>
      <c r="AL87" s="29">
        <f>AL83</f>
        <v>0</v>
      </c>
      <c r="AM87" s="29">
        <f t="shared" si="10"/>
        <v>0</v>
      </c>
      <c r="AN87" s="29">
        <f t="shared" si="10"/>
        <v>0</v>
      </c>
      <c r="AO87" s="29">
        <f t="shared" si="10"/>
        <v>0</v>
      </c>
      <c r="AP87" s="29">
        <f t="shared" si="10"/>
        <v>0</v>
      </c>
      <c r="AQ87" s="29">
        <f t="shared" si="10"/>
        <v>0</v>
      </c>
      <c r="AR87" s="35">
        <f>J102</f>
        <v>-1</v>
      </c>
      <c r="AS87" s="42">
        <f>SUM(AR86:AR87)</f>
        <v>-1</v>
      </c>
      <c r="AT87" s="29">
        <f>AT83</f>
        <v>6.5000000000000002E-2</v>
      </c>
      <c r="AU87" s="35">
        <f>AU83</f>
        <v>7.2999999999999995E-2</v>
      </c>
      <c r="AV87" s="42">
        <f>SUM(AU86:AU87)</f>
        <v>-0.8620000000000001</v>
      </c>
      <c r="AZ87" s="66">
        <f>$H$3*(1+AQ87+AR87)</f>
        <v>0</v>
      </c>
    </row>
    <row r="88" spans="1:53">
      <c r="G88" s="4" t="s">
        <v>487</v>
      </c>
      <c r="I88" s="16">
        <f>H48</f>
        <v>816</v>
      </c>
      <c r="J88" s="68">
        <f>I48</f>
        <v>1449.0703343999999</v>
      </c>
    </row>
    <row r="89" spans="1:53">
      <c r="G89" s="9" t="s">
        <v>488</v>
      </c>
      <c r="I89" s="1113">
        <f>L48</f>
        <v>0</v>
      </c>
      <c r="J89" s="21">
        <f>M48</f>
        <v>9161.9343643725442</v>
      </c>
    </row>
    <row r="90" spans="1:53">
      <c r="G90" s="9" t="s">
        <v>442</v>
      </c>
      <c r="I90" s="1113">
        <f>P48</f>
        <v>1350</v>
      </c>
      <c r="J90" s="21">
        <f>Q48</f>
        <v>2130</v>
      </c>
    </row>
    <row r="91" spans="1:53">
      <c r="G91" s="9"/>
      <c r="AP91" s="4" t="s">
        <v>480</v>
      </c>
      <c r="AQ91" s="4" t="s">
        <v>481</v>
      </c>
      <c r="AR91" s="4" t="s">
        <v>482</v>
      </c>
      <c r="AS91" s="5" t="s">
        <v>483</v>
      </c>
    </row>
    <row r="92" spans="1:53">
      <c r="G92" s="9"/>
      <c r="AP92" s="12">
        <v>0</v>
      </c>
      <c r="AQ92" s="65">
        <f>AP93</f>
        <v>0.15</v>
      </c>
      <c r="AR92" s="65">
        <f>AQ92+AQ93</f>
        <v>0.15</v>
      </c>
      <c r="AS92" s="5">
        <v>0</v>
      </c>
    </row>
    <row r="93" spans="1:53">
      <c r="G93" s="9"/>
      <c r="I93" s="5" t="s">
        <v>487</v>
      </c>
      <c r="J93" s="4" t="s">
        <v>489</v>
      </c>
      <c r="K93" s="4" t="s">
        <v>442</v>
      </c>
      <c r="AP93" s="12">
        <v>0.15</v>
      </c>
      <c r="AQ93" s="65">
        <f>AQ83</f>
        <v>0</v>
      </c>
      <c r="AR93" s="5">
        <v>0</v>
      </c>
      <c r="AS93" s="65">
        <f>AR92+AR93</f>
        <v>0.15</v>
      </c>
    </row>
    <row r="94" spans="1:53">
      <c r="G94" s="9"/>
      <c r="H94" s="4">
        <v>2019</v>
      </c>
      <c r="I94" s="16">
        <f>I88</f>
        <v>816</v>
      </c>
      <c r="J94" s="21">
        <f>I89</f>
        <v>0</v>
      </c>
      <c r="K94" s="1388">
        <f>I90</f>
        <v>1350</v>
      </c>
      <c r="L94" s="1388"/>
    </row>
    <row r="95" spans="1:53">
      <c r="G95" s="9"/>
      <c r="H95" s="4">
        <v>2020</v>
      </c>
      <c r="I95" s="10">
        <f>J88</f>
        <v>1449.0703343999999</v>
      </c>
      <c r="J95" s="21">
        <f>J89</f>
        <v>9161.9343643725442</v>
      </c>
      <c r="K95" s="1388">
        <f>J90</f>
        <v>2130</v>
      </c>
      <c r="L95" s="1388"/>
      <c r="AP95" s="4" t="s">
        <v>490</v>
      </c>
      <c r="AQ95" s="4" t="s">
        <v>481</v>
      </c>
      <c r="AR95" s="4" t="s">
        <v>482</v>
      </c>
      <c r="AS95" s="5" t="s">
        <v>483</v>
      </c>
    </row>
    <row r="96" spans="1:53">
      <c r="G96" s="9"/>
      <c r="AP96" s="29">
        <f>AP92</f>
        <v>0</v>
      </c>
      <c r="AQ96" s="29">
        <f t="shared" ref="AQ96:AS97" si="11">AQ92</f>
        <v>0.15</v>
      </c>
      <c r="AR96" s="29">
        <f t="shared" si="11"/>
        <v>0.15</v>
      </c>
      <c r="AS96" s="29">
        <f t="shared" si="11"/>
        <v>0</v>
      </c>
    </row>
    <row r="97" spans="6:45">
      <c r="G97" s="9"/>
      <c r="AP97" s="29">
        <f>AP93</f>
        <v>0.15</v>
      </c>
      <c r="AQ97" s="29">
        <f t="shared" si="11"/>
        <v>0</v>
      </c>
      <c r="AR97" s="29">
        <v>0.16</v>
      </c>
      <c r="AS97" s="29">
        <f>AR96+AR97</f>
        <v>0.31</v>
      </c>
    </row>
    <row r="98" spans="6:45">
      <c r="G98" s="9"/>
      <c r="I98" s="5" t="s">
        <v>487</v>
      </c>
      <c r="J98" s="4" t="str">
        <f>J93</f>
        <v>BI - Spot</v>
      </c>
      <c r="K98" s="4" t="s">
        <v>442</v>
      </c>
    </row>
    <row r="99" spans="6:45">
      <c r="G99" s="9"/>
      <c r="H99" s="4" t="s">
        <v>491</v>
      </c>
      <c r="I99" s="1114">
        <f t="shared" ref="I99:K100" si="12">I94/1000</f>
        <v>0.81599999999999995</v>
      </c>
      <c r="J99" s="1114">
        <f t="shared" si="12"/>
        <v>0</v>
      </c>
      <c r="K99" s="1389">
        <f t="shared" si="12"/>
        <v>1.35</v>
      </c>
      <c r="L99" s="1389"/>
    </row>
    <row r="100" spans="6:45">
      <c r="G100" s="9"/>
      <c r="H100" s="4" t="s">
        <v>492</v>
      </c>
      <c r="I100" s="1114">
        <f t="shared" si="12"/>
        <v>1.4490703343999998</v>
      </c>
      <c r="J100" s="1114">
        <f t="shared" si="12"/>
        <v>9.161934364372545</v>
      </c>
      <c r="K100" s="1389">
        <f t="shared" si="12"/>
        <v>2.13</v>
      </c>
      <c r="L100" s="1389"/>
    </row>
    <row r="101" spans="6:45">
      <c r="F101" s="9"/>
      <c r="G101" s="9"/>
    </row>
    <row r="102" spans="6:45">
      <c r="F102" s="9"/>
      <c r="G102" s="9"/>
      <c r="H102" s="4" t="s">
        <v>491</v>
      </c>
      <c r="I102" s="31">
        <f>(I99/$K99)-1</f>
        <v>-0.39555555555555566</v>
      </c>
      <c r="J102" s="31">
        <f>(J99/$K99)-1</f>
        <v>-1</v>
      </c>
    </row>
    <row r="103" spans="6:45">
      <c r="F103" s="9"/>
      <c r="G103" s="9"/>
      <c r="H103" s="4" t="s">
        <v>492</v>
      </c>
      <c r="I103" s="31">
        <f>(I100/$K100)-1</f>
        <v>-0.31968528901408455</v>
      </c>
      <c r="J103" s="31">
        <f>(J100/$K100)-1</f>
        <v>3.3013776358556548</v>
      </c>
    </row>
    <row r="104" spans="6:45">
      <c r="F104" s="9"/>
      <c r="G104" s="9"/>
    </row>
    <row r="105" spans="6:45">
      <c r="F105" s="9"/>
      <c r="G105" s="9"/>
    </row>
    <row r="106" spans="6:45">
      <c r="F106" s="9"/>
      <c r="G106" s="9"/>
    </row>
    <row r="107" spans="6:45">
      <c r="F107" s="9"/>
      <c r="G107" s="9"/>
    </row>
    <row r="108" spans="6:45">
      <c r="F108" s="9"/>
      <c r="G108" s="9"/>
    </row>
    <row r="109" spans="6:45">
      <c r="F109" s="9"/>
      <c r="G109" s="9"/>
    </row>
    <row r="110" spans="6:45">
      <c r="F110" s="9"/>
      <c r="G110" s="9"/>
    </row>
    <row r="111" spans="6:45">
      <c r="F111" s="9"/>
      <c r="G111" s="9"/>
    </row>
    <row r="112" spans="6:45">
      <c r="F112" s="9"/>
      <c r="G112" s="9"/>
    </row>
    <row r="113" spans="6:62">
      <c r="F113" s="9"/>
      <c r="G113" s="9"/>
    </row>
    <row r="114" spans="6:62">
      <c r="F114" s="9"/>
      <c r="G114" s="9"/>
    </row>
    <row r="115" spans="6:62">
      <c r="F115" s="9"/>
      <c r="G115" s="9"/>
      <c r="AQ115" s="70"/>
      <c r="BJ115" s="70"/>
    </row>
    <row r="116" spans="6:62">
      <c r="F116" s="9"/>
      <c r="G116" s="9"/>
      <c r="AQ116" s="70"/>
      <c r="BJ116" s="70"/>
    </row>
    <row r="117" spans="6:62">
      <c r="F117" s="9"/>
      <c r="G117" s="9"/>
      <c r="AQ117" s="70"/>
      <c r="BJ117" s="70"/>
    </row>
    <row r="118" spans="6:62">
      <c r="F118" s="9"/>
      <c r="G118" s="9"/>
      <c r="AQ118" s="70"/>
      <c r="BJ118" s="70"/>
    </row>
    <row r="119" spans="6:62">
      <c r="F119" s="9"/>
      <c r="G119" s="9"/>
      <c r="AQ119" s="70"/>
      <c r="BJ119" s="70"/>
    </row>
    <row r="120" spans="6:62">
      <c r="F120" s="9"/>
      <c r="G120" s="9"/>
      <c r="AQ120" s="70"/>
      <c r="BJ120" s="70"/>
    </row>
    <row r="121" spans="6:62">
      <c r="F121" s="9"/>
      <c r="G121" s="9"/>
      <c r="AQ121" s="70"/>
      <c r="BJ121" s="70"/>
    </row>
    <row r="122" spans="6:62">
      <c r="F122" s="9"/>
      <c r="G122" s="9"/>
      <c r="AQ122" s="70"/>
      <c r="BJ122" s="70"/>
    </row>
    <row r="123" spans="6:62">
      <c r="F123" s="9"/>
      <c r="G123" s="9"/>
      <c r="AQ123" s="70"/>
      <c r="BJ123" s="70"/>
    </row>
    <row r="124" spans="6:62">
      <c r="F124" s="9"/>
      <c r="G124" s="9"/>
      <c r="AQ124" s="70"/>
      <c r="BJ124" s="70"/>
    </row>
    <row r="125" spans="6:62">
      <c r="F125" s="9"/>
      <c r="G125" s="9"/>
      <c r="AQ125" s="70"/>
      <c r="BJ125" s="70"/>
    </row>
    <row r="126" spans="6:62">
      <c r="F126" s="9"/>
      <c r="G126" s="9"/>
      <c r="AQ126" s="70"/>
      <c r="BJ126" s="70"/>
    </row>
    <row r="127" spans="6:62">
      <c r="F127" s="9"/>
      <c r="G127" s="9"/>
      <c r="AQ127" s="70"/>
      <c r="BJ127" s="70"/>
    </row>
    <row r="128" spans="6:62">
      <c r="F128" s="9"/>
      <c r="G128" s="9"/>
      <c r="AQ128" s="70"/>
      <c r="BJ128" s="70"/>
    </row>
    <row r="129" spans="6:72">
      <c r="F129" s="9"/>
      <c r="G129" s="9"/>
      <c r="AQ129" s="70"/>
      <c r="BJ129" s="70"/>
    </row>
    <row r="130" spans="6:72">
      <c r="F130" s="9"/>
      <c r="G130" s="9"/>
      <c r="AQ130" s="70"/>
      <c r="BJ130" s="70"/>
    </row>
    <row r="131" spans="6:72">
      <c r="F131" s="9"/>
      <c r="G131" s="9"/>
      <c r="AQ131" s="70"/>
      <c r="BJ131" s="70"/>
    </row>
    <row r="132" spans="6:72">
      <c r="F132" s="9"/>
      <c r="G132" s="9"/>
      <c r="AQ132" s="70"/>
      <c r="BJ132" s="70"/>
    </row>
    <row r="133" spans="6:72">
      <c r="F133" s="9"/>
      <c r="G133" s="9"/>
      <c r="AQ133" s="70"/>
      <c r="BJ133" s="70"/>
    </row>
    <row r="134" spans="6:72">
      <c r="F134" s="9"/>
      <c r="G134" s="9"/>
      <c r="AQ134" s="70"/>
      <c r="BJ134" s="70"/>
    </row>
    <row r="135" spans="6:72">
      <c r="F135" s="9"/>
      <c r="G135" s="9"/>
      <c r="AQ135" s="70"/>
      <c r="BJ135" s="70"/>
    </row>
    <row r="136" spans="6:72" hidden="1">
      <c r="F136" s="9"/>
      <c r="G136" s="9"/>
      <c r="AQ136" s="70"/>
    </row>
    <row r="137" spans="6:72" ht="18">
      <c r="F137" s="9"/>
      <c r="G137" s="9"/>
      <c r="AK137" s="71"/>
      <c r="AL137" s="50" t="s">
        <v>493</v>
      </c>
      <c r="AM137" s="71"/>
      <c r="AN137" s="71"/>
      <c r="AO137" s="71"/>
      <c r="AP137" s="71"/>
      <c r="AQ137" s="71"/>
      <c r="AR137" s="1390" t="s">
        <v>493</v>
      </c>
      <c r="AS137" s="1390"/>
      <c r="AT137" s="1390"/>
      <c r="AU137" s="1390"/>
      <c r="AV137" s="1390"/>
      <c r="AW137" s="1390"/>
      <c r="AX137" s="1390"/>
      <c r="AY137" s="1390"/>
      <c r="BA137" s="71"/>
      <c r="BB137" s="50" t="s">
        <v>493</v>
      </c>
      <c r="BC137" s="71"/>
      <c r="BD137" s="71"/>
      <c r="BE137" s="71"/>
      <c r="BF137" s="71"/>
      <c r="BG137" s="71"/>
      <c r="BH137" s="72"/>
      <c r="BI137" s="72"/>
      <c r="BJ137" s="72"/>
      <c r="BK137" s="71"/>
      <c r="BL137" s="50" t="s">
        <v>493</v>
      </c>
      <c r="BM137" s="72"/>
      <c r="BN137" s="72"/>
      <c r="BO137" s="71"/>
      <c r="BP137" s="71"/>
      <c r="BQ137" s="71"/>
      <c r="BR137" s="71"/>
      <c r="BS137" s="71"/>
      <c r="BT137" s="71"/>
    </row>
    <row r="138" spans="6:72">
      <c r="F138" s="9"/>
      <c r="G138" s="9"/>
      <c r="AK138" s="71"/>
      <c r="AL138" s="71"/>
      <c r="AM138" s="71"/>
      <c r="AN138" s="71"/>
      <c r="AO138" s="71"/>
      <c r="AP138" s="71"/>
      <c r="AQ138" s="71"/>
      <c r="AR138" s="71"/>
      <c r="AS138" s="71"/>
      <c r="AT138" s="71"/>
      <c r="AU138" s="71"/>
      <c r="AV138" s="71"/>
      <c r="AW138" s="71"/>
      <c r="AX138" s="71"/>
      <c r="AY138" s="71"/>
      <c r="BA138" s="71"/>
      <c r="BB138" s="71"/>
      <c r="BC138" s="71"/>
      <c r="BD138" s="71"/>
      <c r="BE138" s="71"/>
      <c r="BF138" s="71"/>
      <c r="BG138" s="71"/>
      <c r="BH138" s="71"/>
      <c r="BI138" s="71"/>
      <c r="BJ138" s="71"/>
      <c r="BK138" s="71"/>
      <c r="BL138" s="71"/>
      <c r="BM138" s="71"/>
      <c r="BN138" s="71"/>
      <c r="BO138" s="71"/>
      <c r="BP138" s="71"/>
      <c r="BQ138" s="71"/>
      <c r="BR138" s="71"/>
      <c r="BS138" s="71"/>
      <c r="BT138" s="71"/>
    </row>
    <row r="139" spans="6:72">
      <c r="F139" s="9"/>
      <c r="G139" s="9"/>
    </row>
    <row r="140" spans="6:72">
      <c r="F140" s="9"/>
      <c r="G140" s="9"/>
    </row>
    <row r="141" spans="6:72">
      <c r="F141" s="9"/>
      <c r="G141" s="9"/>
    </row>
    <row r="142" spans="6:72">
      <c r="F142" s="9"/>
      <c r="G142" s="9"/>
    </row>
    <row r="143" spans="6:72">
      <c r="F143" s="9"/>
      <c r="G143" s="9"/>
    </row>
    <row r="144" spans="6:72">
      <c r="F144" s="9"/>
      <c r="G144" s="9"/>
    </row>
    <row r="145" spans="6:7">
      <c r="F145" s="9"/>
      <c r="G145" s="9"/>
    </row>
    <row r="146" spans="6:7">
      <c r="F146" s="9"/>
      <c r="G146" s="9"/>
    </row>
    <row r="147" spans="6:7">
      <c r="F147" s="9"/>
      <c r="G147" s="9"/>
    </row>
    <row r="148" spans="6:7">
      <c r="F148" s="9"/>
      <c r="G148" s="9"/>
    </row>
    <row r="149" spans="6:7">
      <c r="F149" s="9"/>
      <c r="G149" s="9"/>
    </row>
    <row r="150" spans="6:7">
      <c r="F150" s="9"/>
      <c r="G150" s="9"/>
    </row>
    <row r="151" spans="6:7">
      <c r="F151" s="9"/>
      <c r="G151" s="9"/>
    </row>
    <row r="152" spans="6:7">
      <c r="F152" s="9"/>
      <c r="G152" s="9"/>
    </row>
    <row r="153" spans="6:7">
      <c r="F153" s="9"/>
      <c r="G153" s="9"/>
    </row>
    <row r="154" spans="6:7">
      <c r="F154" s="9"/>
      <c r="G154" s="9"/>
    </row>
    <row r="155" spans="6:7">
      <c r="F155" s="9"/>
      <c r="G155" s="9"/>
    </row>
    <row r="156" spans="6:7">
      <c r="F156" s="9"/>
      <c r="G156" s="9"/>
    </row>
    <row r="157" spans="6:7">
      <c r="F157" s="9"/>
      <c r="G157" s="9"/>
    </row>
    <row r="158" spans="6:7">
      <c r="F158" s="9"/>
      <c r="G158" s="9"/>
    </row>
    <row r="159" spans="6:7">
      <c r="F159" s="9"/>
      <c r="G159" s="9"/>
    </row>
    <row r="160" spans="6:7">
      <c r="F160" s="9"/>
      <c r="G160" s="9"/>
    </row>
    <row r="161" spans="6:7">
      <c r="F161" s="9"/>
      <c r="G161" s="9"/>
    </row>
    <row r="162" spans="6:7">
      <c r="F162" s="9"/>
      <c r="G162" s="9"/>
    </row>
    <row r="163" spans="6:7">
      <c r="F163" s="9"/>
      <c r="G163" s="9"/>
    </row>
    <row r="164" spans="6:7">
      <c r="F164" s="9"/>
      <c r="G164" s="9"/>
    </row>
    <row r="165" spans="6:7">
      <c r="F165" s="9"/>
      <c r="G165" s="9"/>
    </row>
    <row r="166" spans="6:7">
      <c r="F166" s="9"/>
      <c r="G166" s="9"/>
    </row>
    <row r="167" spans="6:7">
      <c r="F167" s="9"/>
      <c r="G167" s="9"/>
    </row>
    <row r="168" spans="6:7">
      <c r="F168" s="9"/>
      <c r="G168" s="9"/>
    </row>
    <row r="169" spans="6:7">
      <c r="F169" s="9"/>
      <c r="G169" s="9"/>
    </row>
    <row r="170" spans="6:7">
      <c r="F170" s="9"/>
      <c r="G170" s="9"/>
    </row>
    <row r="171" spans="6:7">
      <c r="F171" s="9"/>
      <c r="G171" s="9"/>
    </row>
    <row r="172" spans="6:7">
      <c r="F172" s="9"/>
      <c r="G172" s="9"/>
    </row>
    <row r="173" spans="6:7">
      <c r="F173" s="9"/>
      <c r="G173" s="9"/>
    </row>
    <row r="174" spans="6:7">
      <c r="F174" s="9"/>
      <c r="G174" s="9"/>
    </row>
    <row r="175" spans="6:7">
      <c r="F175" s="9"/>
      <c r="G175" s="9"/>
    </row>
    <row r="176" spans="6:7">
      <c r="F176" s="9"/>
      <c r="G176" s="9"/>
    </row>
    <row r="177" spans="6:7">
      <c r="F177" s="9"/>
      <c r="G177" s="9"/>
    </row>
    <row r="178" spans="6:7">
      <c r="F178" s="9"/>
      <c r="G178" s="9"/>
    </row>
    <row r="179" spans="6:7">
      <c r="F179" s="9"/>
      <c r="G179" s="9"/>
    </row>
    <row r="180" spans="6:7">
      <c r="F180" s="9"/>
      <c r="G180" s="9"/>
    </row>
    <row r="181" spans="6:7">
      <c r="F181" s="9"/>
      <c r="G181" s="9"/>
    </row>
    <row r="182" spans="6:7">
      <c r="F182" s="9"/>
      <c r="G182" s="9"/>
    </row>
    <row r="183" spans="6:7">
      <c r="F183" s="9"/>
      <c r="G183" s="9"/>
    </row>
    <row r="184" spans="6:7">
      <c r="F184" s="9"/>
      <c r="G184" s="9"/>
    </row>
    <row r="185" spans="6:7">
      <c r="F185" s="9"/>
      <c r="G185" s="9"/>
    </row>
    <row r="186" spans="6:7">
      <c r="F186" s="9"/>
      <c r="G186" s="9"/>
    </row>
    <row r="187" spans="6:7">
      <c r="F187" s="9"/>
      <c r="G187" s="9"/>
    </row>
    <row r="188" spans="6:7">
      <c r="F188" s="9"/>
      <c r="G188" s="9"/>
    </row>
    <row r="189" spans="6:7">
      <c r="F189" s="9"/>
      <c r="G189" s="9"/>
    </row>
    <row r="190" spans="6:7">
      <c r="F190" s="9"/>
      <c r="G190" s="9"/>
    </row>
    <row r="191" spans="6:7">
      <c r="F191" s="9"/>
      <c r="G191" s="9"/>
    </row>
    <row r="192" spans="6:7">
      <c r="F192" s="9"/>
      <c r="G192" s="9"/>
    </row>
    <row r="193" spans="6:7">
      <c r="F193" s="9"/>
      <c r="G193" s="9"/>
    </row>
    <row r="194" spans="6:7">
      <c r="F194" s="9"/>
      <c r="G194" s="9"/>
    </row>
    <row r="195" spans="6:7">
      <c r="F195" s="9"/>
      <c r="G195" s="9"/>
    </row>
    <row r="196" spans="6:7">
      <c r="F196" s="9"/>
      <c r="G196" s="9"/>
    </row>
    <row r="197" spans="6:7">
      <c r="F197" s="9"/>
      <c r="G197" s="9"/>
    </row>
    <row r="198" spans="6:7">
      <c r="F198" s="9"/>
      <c r="G198" s="9"/>
    </row>
    <row r="199" spans="6:7">
      <c r="F199" s="9"/>
      <c r="G199" s="9"/>
    </row>
    <row r="200" spans="6:7">
      <c r="F200" s="9"/>
      <c r="G200" s="9"/>
    </row>
    <row r="201" spans="6:7">
      <c r="F201" s="9"/>
      <c r="G201" s="9"/>
    </row>
    <row r="202" spans="6:7">
      <c r="F202" s="9"/>
      <c r="G202" s="9"/>
    </row>
    <row r="203" spans="6:7">
      <c r="F203" s="9"/>
      <c r="G203" s="9"/>
    </row>
    <row r="204" spans="6:7">
      <c r="F204" s="9"/>
      <c r="G204" s="9"/>
    </row>
    <row r="205" spans="6:7">
      <c r="F205" s="9"/>
      <c r="G205" s="9"/>
    </row>
    <row r="206" spans="6:7">
      <c r="F206" s="9"/>
      <c r="G206" s="9"/>
    </row>
    <row r="207" spans="6:7">
      <c r="F207" s="9"/>
      <c r="G207" s="9"/>
    </row>
    <row r="208" spans="6:7">
      <c r="F208" s="9"/>
      <c r="G208" s="9"/>
    </row>
    <row r="209" spans="6:7">
      <c r="F209" s="9"/>
      <c r="G209" s="9"/>
    </row>
    <row r="210" spans="6:7">
      <c r="F210" s="9"/>
      <c r="G210" s="9"/>
    </row>
    <row r="211" spans="6:7">
      <c r="F211" s="9"/>
      <c r="G211" s="9"/>
    </row>
    <row r="212" spans="6:7">
      <c r="F212" s="9"/>
      <c r="G212" s="9"/>
    </row>
    <row r="213" spans="6:7">
      <c r="F213" s="9"/>
      <c r="G213" s="9"/>
    </row>
    <row r="214" spans="6:7">
      <c r="F214" s="9"/>
      <c r="G214" s="9"/>
    </row>
    <row r="215" spans="6:7">
      <c r="F215" s="9"/>
      <c r="G215" s="9"/>
    </row>
    <row r="216" spans="6:7">
      <c r="F216" s="9"/>
      <c r="G216" s="9"/>
    </row>
    <row r="217" spans="6:7">
      <c r="F217" s="9"/>
      <c r="G217" s="9"/>
    </row>
    <row r="218" spans="6:7">
      <c r="F218" s="9"/>
      <c r="G218" s="9"/>
    </row>
    <row r="219" spans="6:7">
      <c r="F219" s="9"/>
      <c r="G219" s="9"/>
    </row>
    <row r="220" spans="6:7">
      <c r="F220" s="9"/>
      <c r="G220" s="9"/>
    </row>
    <row r="221" spans="6:7">
      <c r="F221" s="9"/>
      <c r="G221" s="9"/>
    </row>
    <row r="222" spans="6:7">
      <c r="F222" s="9"/>
      <c r="G222" s="9"/>
    </row>
    <row r="223" spans="6:7">
      <c r="F223" s="9"/>
      <c r="G223" s="9"/>
    </row>
    <row r="224" spans="6:7">
      <c r="F224" s="9"/>
      <c r="G224" s="9"/>
    </row>
    <row r="225" spans="6:7">
      <c r="F225" s="9"/>
      <c r="G225" s="9"/>
    </row>
    <row r="226" spans="6:7">
      <c r="F226" s="9"/>
      <c r="G226" s="9"/>
    </row>
    <row r="227" spans="6:7">
      <c r="F227" s="9"/>
      <c r="G227" s="9"/>
    </row>
    <row r="228" spans="6:7">
      <c r="F228" s="9"/>
      <c r="G228" s="9"/>
    </row>
    <row r="229" spans="6:7">
      <c r="F229" s="9"/>
      <c r="G229" s="9"/>
    </row>
    <row r="230" spans="6:7">
      <c r="F230" s="9"/>
      <c r="G230" s="9"/>
    </row>
    <row r="231" spans="6:7">
      <c r="F231" s="9"/>
      <c r="G231" s="9"/>
    </row>
    <row r="232" spans="6:7">
      <c r="F232" s="9"/>
      <c r="G232" s="9"/>
    </row>
    <row r="233" spans="6:7">
      <c r="F233" s="9"/>
      <c r="G233" s="9"/>
    </row>
    <row r="234" spans="6:7">
      <c r="F234" s="9"/>
      <c r="G234" s="9"/>
    </row>
    <row r="235" spans="6:7">
      <c r="F235" s="9"/>
      <c r="G235" s="9"/>
    </row>
    <row r="236" spans="6:7">
      <c r="F236" s="9"/>
      <c r="G236" s="9"/>
    </row>
    <row r="237" spans="6:7">
      <c r="F237" s="9"/>
      <c r="G237" s="9"/>
    </row>
    <row r="238" spans="6:7">
      <c r="F238" s="9"/>
      <c r="G238" s="9"/>
    </row>
    <row r="239" spans="6:7">
      <c r="F239" s="9"/>
      <c r="G239" s="9"/>
    </row>
    <row r="240" spans="6:7">
      <c r="F240" s="9"/>
      <c r="G240" s="9"/>
    </row>
    <row r="241" spans="6:7">
      <c r="F241" s="9"/>
      <c r="G241" s="9"/>
    </row>
    <row r="242" spans="6:7">
      <c r="F242" s="9"/>
      <c r="G242" s="9"/>
    </row>
    <row r="243" spans="6:7">
      <c r="F243" s="9"/>
      <c r="G243" s="9"/>
    </row>
    <row r="244" spans="6:7">
      <c r="F244" s="9"/>
      <c r="G244" s="9"/>
    </row>
    <row r="245" spans="6:7">
      <c r="F245" s="9"/>
      <c r="G245" s="9"/>
    </row>
    <row r="246" spans="6:7">
      <c r="F246" s="9"/>
      <c r="G246" s="9"/>
    </row>
    <row r="247" spans="6:7">
      <c r="F247" s="9"/>
      <c r="G247" s="9"/>
    </row>
    <row r="248" spans="6:7">
      <c r="F248" s="9"/>
      <c r="G248" s="9"/>
    </row>
    <row r="249" spans="6:7">
      <c r="F249" s="9"/>
      <c r="G249" s="9"/>
    </row>
    <row r="250" spans="6:7">
      <c r="F250" s="9"/>
      <c r="G250" s="9"/>
    </row>
    <row r="251" spans="6:7">
      <c r="F251" s="9"/>
      <c r="G251" s="9"/>
    </row>
    <row r="252" spans="6:7">
      <c r="F252" s="9"/>
      <c r="G252" s="9"/>
    </row>
    <row r="253" spans="6:7">
      <c r="F253" s="9"/>
      <c r="G253" s="9"/>
    </row>
    <row r="254" spans="6:7">
      <c r="F254" s="9"/>
      <c r="G254" s="9"/>
    </row>
    <row r="255" spans="6:7">
      <c r="F255" s="9"/>
      <c r="G255" s="9"/>
    </row>
    <row r="256" spans="6:7">
      <c r="F256" s="9"/>
      <c r="G256" s="9"/>
    </row>
    <row r="257" spans="6:7">
      <c r="F257" s="9"/>
      <c r="G257" s="9"/>
    </row>
    <row r="258" spans="6:7">
      <c r="F258" s="9"/>
      <c r="G258" s="9"/>
    </row>
    <row r="259" spans="6:7">
      <c r="F259" s="9"/>
      <c r="G259" s="9"/>
    </row>
    <row r="260" spans="6:7">
      <c r="F260" s="9"/>
      <c r="G260" s="9"/>
    </row>
    <row r="261" spans="6:7">
      <c r="F261" s="9"/>
      <c r="G261" s="9"/>
    </row>
    <row r="262" spans="6:7">
      <c r="F262" s="9"/>
      <c r="G262" s="9"/>
    </row>
    <row r="263" spans="6:7">
      <c r="F263" s="9"/>
      <c r="G263" s="9"/>
    </row>
    <row r="264" spans="6:7">
      <c r="F264" s="9"/>
      <c r="G264" s="9"/>
    </row>
    <row r="265" spans="6:7">
      <c r="F265" s="9"/>
      <c r="G265" s="9"/>
    </row>
    <row r="266" spans="6:7">
      <c r="F266" s="9"/>
      <c r="G266" s="9"/>
    </row>
    <row r="267" spans="6:7">
      <c r="F267" s="9"/>
      <c r="G267" s="9"/>
    </row>
    <row r="268" spans="6:7">
      <c r="F268" s="9"/>
      <c r="G268" s="9"/>
    </row>
    <row r="269" spans="6:7">
      <c r="F269" s="9"/>
      <c r="G269" s="9"/>
    </row>
    <row r="270" spans="6:7">
      <c r="F270" s="9"/>
      <c r="G270" s="9"/>
    </row>
    <row r="271" spans="6:7">
      <c r="F271" s="9"/>
      <c r="G271" s="9"/>
    </row>
    <row r="272" spans="6:7">
      <c r="F272" s="9"/>
      <c r="G272" s="9"/>
    </row>
    <row r="273" spans="6:7">
      <c r="F273" s="9"/>
      <c r="G273" s="9"/>
    </row>
    <row r="274" spans="6:7">
      <c r="F274" s="9"/>
      <c r="G274" s="9"/>
    </row>
    <row r="275" spans="6:7">
      <c r="F275" s="9"/>
      <c r="G275" s="9"/>
    </row>
    <row r="276" spans="6:7">
      <c r="F276" s="9"/>
      <c r="G276" s="9"/>
    </row>
    <row r="277" spans="6:7">
      <c r="F277" s="9"/>
      <c r="G277" s="9"/>
    </row>
    <row r="278" spans="6:7">
      <c r="F278" s="9"/>
      <c r="G278" s="9"/>
    </row>
    <row r="279" spans="6:7">
      <c r="F279" s="9"/>
      <c r="G279" s="9"/>
    </row>
    <row r="280" spans="6:7">
      <c r="F280" s="9"/>
      <c r="G280" s="9"/>
    </row>
    <row r="281" spans="6:7">
      <c r="F281" s="9"/>
      <c r="G281" s="9"/>
    </row>
    <row r="282" spans="6:7">
      <c r="F282" s="9"/>
      <c r="G282" s="9"/>
    </row>
    <row r="283" spans="6:7">
      <c r="F283" s="9"/>
      <c r="G283" s="9"/>
    </row>
    <row r="284" spans="6:7">
      <c r="F284" s="9"/>
      <c r="G284" s="9"/>
    </row>
    <row r="285" spans="6:7">
      <c r="F285" s="9"/>
      <c r="G285" s="9"/>
    </row>
    <row r="286" spans="6:7">
      <c r="F286" s="9"/>
      <c r="G286" s="9"/>
    </row>
    <row r="287" spans="6:7">
      <c r="F287" s="9"/>
      <c r="G287" s="9"/>
    </row>
    <row r="288" spans="6:7">
      <c r="F288" s="9"/>
      <c r="G288" s="9"/>
    </row>
    <row r="289" spans="6:7">
      <c r="F289" s="9"/>
      <c r="G289" s="9"/>
    </row>
    <row r="290" spans="6:7">
      <c r="F290" s="9"/>
      <c r="G290" s="9"/>
    </row>
    <row r="291" spans="6:7">
      <c r="F291" s="9"/>
      <c r="G291" s="9"/>
    </row>
    <row r="292" spans="6:7">
      <c r="F292" s="9"/>
      <c r="G292" s="9"/>
    </row>
    <row r="293" spans="6:7">
      <c r="F293" s="9"/>
      <c r="G293" s="9"/>
    </row>
    <row r="294" spans="6:7">
      <c r="F294" s="9"/>
      <c r="G294" s="9"/>
    </row>
    <row r="295" spans="6:7">
      <c r="F295" s="9"/>
      <c r="G295" s="9"/>
    </row>
    <row r="296" spans="6:7">
      <c r="F296" s="9"/>
      <c r="G296" s="9"/>
    </row>
    <row r="297" spans="6:7">
      <c r="F297" s="9"/>
      <c r="G297" s="9"/>
    </row>
    <row r="298" spans="6:7">
      <c r="F298" s="9"/>
      <c r="G298" s="9"/>
    </row>
    <row r="299" spans="6:7">
      <c r="F299" s="9"/>
      <c r="G299" s="9"/>
    </row>
    <row r="300" spans="6:7">
      <c r="F300" s="9"/>
      <c r="G300" s="9"/>
    </row>
    <row r="301" spans="6:7">
      <c r="F301" s="9"/>
      <c r="G301" s="9"/>
    </row>
    <row r="302" spans="6:7">
      <c r="F302" s="9"/>
      <c r="G302" s="9"/>
    </row>
    <row r="303" spans="6:7">
      <c r="F303" s="9"/>
      <c r="G303" s="9"/>
    </row>
    <row r="304" spans="6:7">
      <c r="F304" s="9"/>
      <c r="G304" s="9"/>
    </row>
    <row r="305" spans="6:7">
      <c r="F305" s="9"/>
      <c r="G305" s="9"/>
    </row>
    <row r="306" spans="6:7">
      <c r="F306" s="9"/>
      <c r="G306" s="9"/>
    </row>
    <row r="307" spans="6:7">
      <c r="F307" s="9"/>
      <c r="G307" s="9"/>
    </row>
    <row r="308" spans="6:7">
      <c r="F308" s="9"/>
      <c r="G308" s="9"/>
    </row>
    <row r="309" spans="6:7">
      <c r="F309" s="9"/>
      <c r="G309" s="9"/>
    </row>
    <row r="310" spans="6:7">
      <c r="F310" s="9"/>
      <c r="G310" s="9"/>
    </row>
    <row r="311" spans="6:7">
      <c r="F311" s="9"/>
      <c r="G311" s="9"/>
    </row>
    <row r="312" spans="6:7">
      <c r="F312" s="9"/>
      <c r="G312" s="9"/>
    </row>
    <row r="313" spans="6:7">
      <c r="F313" s="9"/>
      <c r="G313" s="9"/>
    </row>
    <row r="314" spans="6:7">
      <c r="F314" s="9"/>
      <c r="G314" s="9"/>
    </row>
    <row r="315" spans="6:7">
      <c r="F315" s="9"/>
      <c r="G315" s="9"/>
    </row>
    <row r="316" spans="6:7">
      <c r="F316" s="9"/>
      <c r="G316" s="9"/>
    </row>
    <row r="317" spans="6:7">
      <c r="F317" s="9"/>
      <c r="G317" s="9"/>
    </row>
    <row r="318" spans="6:7">
      <c r="F318" s="9"/>
      <c r="G318" s="9"/>
    </row>
    <row r="319" spans="6:7">
      <c r="F319" s="9"/>
      <c r="G319" s="9"/>
    </row>
    <row r="320" spans="6:7">
      <c r="F320" s="9"/>
      <c r="G320" s="9"/>
    </row>
    <row r="321" spans="6:7">
      <c r="F321" s="9"/>
      <c r="G321" s="9"/>
    </row>
    <row r="322" spans="6:7">
      <c r="F322" s="9"/>
      <c r="G322" s="9"/>
    </row>
    <row r="323" spans="6:7">
      <c r="F323" s="9"/>
      <c r="G323" s="9"/>
    </row>
    <row r="324" spans="6:7">
      <c r="F324" s="9"/>
      <c r="G324" s="9"/>
    </row>
    <row r="325" spans="6:7">
      <c r="F325" s="9"/>
      <c r="G325" s="9"/>
    </row>
    <row r="326" spans="6:7">
      <c r="F326" s="9"/>
      <c r="G326" s="9"/>
    </row>
    <row r="327" spans="6:7">
      <c r="F327" s="9"/>
      <c r="G327" s="9"/>
    </row>
    <row r="328" spans="6:7">
      <c r="F328" s="9"/>
      <c r="G328" s="9"/>
    </row>
    <row r="329" spans="6:7">
      <c r="F329" s="9"/>
      <c r="G329" s="9"/>
    </row>
    <row r="330" spans="6:7">
      <c r="F330" s="9"/>
      <c r="G330" s="9"/>
    </row>
    <row r="331" spans="6:7">
      <c r="F331" s="9"/>
      <c r="G331" s="9"/>
    </row>
    <row r="332" spans="6:7">
      <c r="F332" s="9"/>
      <c r="G332" s="9"/>
    </row>
    <row r="333" spans="6:7">
      <c r="F333" s="9"/>
      <c r="G333" s="9"/>
    </row>
    <row r="334" spans="6:7">
      <c r="F334" s="9"/>
      <c r="G334" s="9"/>
    </row>
    <row r="335" spans="6:7">
      <c r="F335" s="9"/>
      <c r="G335" s="9"/>
    </row>
    <row r="336" spans="6:7">
      <c r="F336" s="9"/>
      <c r="G336" s="9"/>
    </row>
    <row r="337" spans="6:7">
      <c r="F337" s="9"/>
      <c r="G337" s="9"/>
    </row>
    <row r="338" spans="6:7">
      <c r="F338" s="9"/>
      <c r="G338" s="9"/>
    </row>
    <row r="339" spans="6:7">
      <c r="F339" s="9"/>
      <c r="G339" s="9"/>
    </row>
    <row r="340" spans="6:7">
      <c r="F340" s="9"/>
      <c r="G340" s="9"/>
    </row>
    <row r="341" spans="6:7">
      <c r="F341" s="9"/>
      <c r="G341" s="9"/>
    </row>
    <row r="342" spans="6:7">
      <c r="F342" s="9"/>
      <c r="G342" s="9"/>
    </row>
    <row r="343" spans="6:7">
      <c r="F343" s="9"/>
      <c r="G343" s="9"/>
    </row>
    <row r="344" spans="6:7">
      <c r="F344" s="9"/>
      <c r="G344" s="9"/>
    </row>
    <row r="345" spans="6:7">
      <c r="F345" s="9"/>
      <c r="G345" s="9"/>
    </row>
    <row r="346" spans="6:7">
      <c r="F346" s="9"/>
      <c r="G346" s="9"/>
    </row>
    <row r="347" spans="6:7">
      <c r="F347" s="9"/>
      <c r="G347" s="9"/>
    </row>
    <row r="348" spans="6:7">
      <c r="F348" s="9"/>
      <c r="G348" s="9"/>
    </row>
    <row r="349" spans="6:7">
      <c r="F349" s="9"/>
      <c r="G349" s="9"/>
    </row>
    <row r="350" spans="6:7">
      <c r="F350" s="9"/>
      <c r="G350" s="9"/>
    </row>
    <row r="351" spans="6:7">
      <c r="F351" s="9"/>
      <c r="G351" s="9"/>
    </row>
    <row r="352" spans="6:7">
      <c r="F352" s="9"/>
      <c r="G352" s="9"/>
    </row>
    <row r="353" spans="6:7">
      <c r="F353" s="9"/>
      <c r="G353" s="9"/>
    </row>
    <row r="354" spans="6:7">
      <c r="F354" s="9"/>
      <c r="G354" s="9"/>
    </row>
    <row r="355" spans="6:7">
      <c r="F355" s="9"/>
      <c r="G355" s="9"/>
    </row>
    <row r="356" spans="6:7">
      <c r="F356" s="9"/>
      <c r="G356" s="9"/>
    </row>
    <row r="357" spans="6:7">
      <c r="F357" s="9"/>
      <c r="G357" s="9"/>
    </row>
    <row r="358" spans="6:7">
      <c r="F358" s="9"/>
      <c r="G358" s="9"/>
    </row>
    <row r="359" spans="6:7">
      <c r="F359" s="9"/>
      <c r="G359" s="9"/>
    </row>
    <row r="360" spans="6:7">
      <c r="F360" s="9"/>
      <c r="G360" s="9"/>
    </row>
    <row r="361" spans="6:7">
      <c r="F361" s="9"/>
      <c r="G361" s="9"/>
    </row>
    <row r="362" spans="6:7">
      <c r="F362" s="9"/>
      <c r="G362" s="9"/>
    </row>
    <row r="363" spans="6:7">
      <c r="F363" s="9"/>
      <c r="G363" s="9"/>
    </row>
    <row r="364" spans="6:7">
      <c r="F364" s="9"/>
      <c r="G364" s="9"/>
    </row>
    <row r="365" spans="6:7">
      <c r="F365" s="9"/>
      <c r="G365" s="9"/>
    </row>
    <row r="366" spans="6:7">
      <c r="F366" s="9"/>
      <c r="G366" s="9"/>
    </row>
    <row r="367" spans="6:7">
      <c r="F367" s="9"/>
      <c r="G367" s="9"/>
    </row>
    <row r="368" spans="6:7">
      <c r="F368" s="9"/>
      <c r="G368" s="9"/>
    </row>
    <row r="369" spans="6:7">
      <c r="F369" s="9"/>
      <c r="G369" s="9"/>
    </row>
    <row r="370" spans="6:7">
      <c r="F370" s="9"/>
      <c r="G370" s="9"/>
    </row>
    <row r="371" spans="6:7">
      <c r="F371" s="9"/>
      <c r="G371" s="9"/>
    </row>
    <row r="372" spans="6:7">
      <c r="F372" s="9"/>
      <c r="G372" s="9"/>
    </row>
    <row r="373" spans="6:7">
      <c r="F373" s="9"/>
      <c r="G373" s="9"/>
    </row>
    <row r="374" spans="6:7">
      <c r="F374" s="9"/>
      <c r="G374" s="9"/>
    </row>
    <row r="375" spans="6:7">
      <c r="F375" s="9"/>
      <c r="G375" s="9"/>
    </row>
    <row r="376" spans="6:7">
      <c r="F376" s="9"/>
      <c r="G376" s="9"/>
    </row>
    <row r="377" spans="6:7">
      <c r="F377" s="9"/>
      <c r="G377" s="9"/>
    </row>
    <row r="378" spans="6:7">
      <c r="F378" s="9"/>
      <c r="G378" s="9"/>
    </row>
    <row r="379" spans="6:7">
      <c r="F379" s="9"/>
      <c r="G379" s="9"/>
    </row>
    <row r="380" spans="6:7">
      <c r="F380" s="9"/>
      <c r="G380" s="9"/>
    </row>
    <row r="381" spans="6:7">
      <c r="F381" s="9"/>
      <c r="G381" s="9"/>
    </row>
    <row r="382" spans="6:7">
      <c r="F382" s="9"/>
      <c r="G382" s="9"/>
    </row>
    <row r="383" spans="6:7">
      <c r="F383" s="9"/>
      <c r="G383" s="9"/>
    </row>
    <row r="384" spans="6:7">
      <c r="F384" s="9"/>
      <c r="G384" s="9"/>
    </row>
    <row r="385" spans="6:7">
      <c r="F385" s="9"/>
      <c r="G385" s="9"/>
    </row>
    <row r="386" spans="6:7">
      <c r="F386" s="9"/>
      <c r="G386" s="9"/>
    </row>
    <row r="387" spans="6:7">
      <c r="F387" s="9"/>
      <c r="G387" s="9"/>
    </row>
    <row r="388" spans="6:7">
      <c r="F388" s="9"/>
      <c r="G388" s="9"/>
    </row>
    <row r="389" spans="6:7">
      <c r="F389" s="9"/>
      <c r="G389" s="9"/>
    </row>
    <row r="390" spans="6:7">
      <c r="F390" s="9"/>
      <c r="G390" s="9"/>
    </row>
    <row r="391" spans="6:7">
      <c r="F391" s="9"/>
      <c r="G391" s="9"/>
    </row>
    <row r="392" spans="6:7">
      <c r="F392" s="9"/>
      <c r="G392" s="9"/>
    </row>
    <row r="393" spans="6:7">
      <c r="F393" s="9"/>
      <c r="G393" s="9"/>
    </row>
    <row r="394" spans="6:7">
      <c r="F394" s="9"/>
      <c r="G394" s="9"/>
    </row>
    <row r="395" spans="6:7">
      <c r="F395" s="9"/>
      <c r="G395" s="9"/>
    </row>
    <row r="396" spans="6:7">
      <c r="F396" s="9"/>
      <c r="G396" s="9"/>
    </row>
    <row r="397" spans="6:7">
      <c r="F397" s="9"/>
      <c r="G397" s="9"/>
    </row>
    <row r="398" spans="6:7">
      <c r="F398" s="9"/>
      <c r="G398" s="9"/>
    </row>
    <row r="399" spans="6:7">
      <c r="F399" s="9"/>
      <c r="G399" s="9"/>
    </row>
    <row r="400" spans="6:7">
      <c r="F400" s="9"/>
      <c r="G400" s="9"/>
    </row>
    <row r="401" spans="6:7">
      <c r="F401" s="9"/>
      <c r="G401" s="9"/>
    </row>
    <row r="402" spans="6:7">
      <c r="F402" s="9"/>
      <c r="G402" s="9"/>
    </row>
    <row r="403" spans="6:7">
      <c r="F403" s="9"/>
      <c r="G403" s="9"/>
    </row>
    <row r="404" spans="6:7">
      <c r="F404" s="9"/>
      <c r="G404" s="9"/>
    </row>
    <row r="405" spans="6:7">
      <c r="F405" s="9"/>
      <c r="G405" s="9"/>
    </row>
    <row r="406" spans="6:7">
      <c r="F406" s="9"/>
      <c r="G406" s="9"/>
    </row>
    <row r="407" spans="6:7">
      <c r="F407" s="9"/>
      <c r="G407" s="9"/>
    </row>
    <row r="408" spans="6:7">
      <c r="F408" s="9"/>
      <c r="G408" s="9"/>
    </row>
    <row r="409" spans="6:7">
      <c r="F409" s="9"/>
      <c r="G409" s="9"/>
    </row>
    <row r="410" spans="6:7">
      <c r="F410" s="9"/>
      <c r="G410" s="9"/>
    </row>
    <row r="411" spans="6:7">
      <c r="F411" s="9"/>
      <c r="G411" s="9"/>
    </row>
    <row r="412" spans="6:7">
      <c r="F412" s="9"/>
      <c r="G412" s="9"/>
    </row>
    <row r="413" spans="6:7">
      <c r="F413" s="9"/>
      <c r="G413" s="9"/>
    </row>
    <row r="414" spans="6:7">
      <c r="F414" s="9"/>
      <c r="G414" s="9"/>
    </row>
    <row r="415" spans="6:7">
      <c r="F415" s="9"/>
      <c r="G415" s="9"/>
    </row>
    <row r="416" spans="6:7">
      <c r="F416" s="9"/>
      <c r="G416" s="9"/>
    </row>
    <row r="417" spans="6:7">
      <c r="F417" s="9"/>
      <c r="G417" s="9"/>
    </row>
    <row r="418" spans="6:7">
      <c r="F418" s="9"/>
      <c r="G418" s="9"/>
    </row>
    <row r="419" spans="6:7">
      <c r="F419" s="9"/>
      <c r="G419" s="9"/>
    </row>
    <row r="420" spans="6:7">
      <c r="F420" s="9"/>
      <c r="G420" s="9"/>
    </row>
    <row r="421" spans="6:7">
      <c r="F421" s="9"/>
      <c r="G421" s="9"/>
    </row>
    <row r="422" spans="6:7">
      <c r="F422" s="9"/>
      <c r="G422" s="9"/>
    </row>
    <row r="423" spans="6:7">
      <c r="F423" s="9"/>
      <c r="G423" s="9"/>
    </row>
    <row r="424" spans="6:7">
      <c r="F424" s="9"/>
      <c r="G424" s="9"/>
    </row>
    <row r="425" spans="6:7">
      <c r="F425" s="9"/>
      <c r="G425" s="9"/>
    </row>
    <row r="426" spans="6:7">
      <c r="F426" s="9"/>
      <c r="G426" s="9"/>
    </row>
    <row r="427" spans="6:7">
      <c r="F427" s="9"/>
      <c r="G427" s="9"/>
    </row>
    <row r="428" spans="6:7">
      <c r="F428" s="9"/>
      <c r="G428" s="9"/>
    </row>
    <row r="429" spans="6:7">
      <c r="F429" s="9"/>
      <c r="G429" s="9"/>
    </row>
    <row r="430" spans="6:7">
      <c r="F430" s="9"/>
      <c r="G430" s="9"/>
    </row>
    <row r="431" spans="6:7">
      <c r="F431" s="9"/>
      <c r="G431" s="9"/>
    </row>
    <row r="432" spans="6:7">
      <c r="F432" s="9"/>
      <c r="G432" s="9"/>
    </row>
    <row r="433" spans="6:7">
      <c r="F433" s="9"/>
      <c r="G433" s="9"/>
    </row>
    <row r="434" spans="6:7">
      <c r="F434" s="9"/>
      <c r="G434" s="9"/>
    </row>
    <row r="435" spans="6:7">
      <c r="F435" s="9"/>
      <c r="G435" s="9"/>
    </row>
    <row r="436" spans="6:7">
      <c r="F436" s="9"/>
      <c r="G436" s="9"/>
    </row>
    <row r="437" spans="6:7">
      <c r="F437" s="9"/>
      <c r="G437" s="9"/>
    </row>
    <row r="438" spans="6:7">
      <c r="F438" s="9"/>
      <c r="G438" s="9"/>
    </row>
    <row r="439" spans="6:7">
      <c r="F439" s="9"/>
      <c r="G439" s="9"/>
    </row>
    <row r="440" spans="6:7">
      <c r="F440" s="9"/>
      <c r="G440" s="9"/>
    </row>
    <row r="441" spans="6:7">
      <c r="F441" s="9"/>
      <c r="G441" s="9"/>
    </row>
    <row r="442" spans="6:7">
      <c r="F442" s="9"/>
      <c r="G442" s="9"/>
    </row>
    <row r="443" spans="6:7">
      <c r="F443" s="9"/>
      <c r="G443" s="9"/>
    </row>
    <row r="444" spans="6:7">
      <c r="F444" s="9"/>
      <c r="G444" s="9"/>
    </row>
    <row r="445" spans="6:7">
      <c r="F445" s="9"/>
      <c r="G445" s="9"/>
    </row>
    <row r="446" spans="6:7">
      <c r="F446" s="9"/>
      <c r="G446" s="9"/>
    </row>
    <row r="447" spans="6:7">
      <c r="F447" s="9"/>
      <c r="G447" s="9"/>
    </row>
    <row r="448" spans="6:7">
      <c r="F448" s="9"/>
      <c r="G448" s="9"/>
    </row>
    <row r="449" spans="6:7">
      <c r="F449" s="9"/>
      <c r="G449" s="9"/>
    </row>
    <row r="450" spans="6:7">
      <c r="F450" s="9"/>
      <c r="G450" s="9"/>
    </row>
    <row r="451" spans="6:7">
      <c r="F451" s="9"/>
      <c r="G451" s="9"/>
    </row>
    <row r="452" spans="6:7">
      <c r="F452" s="9"/>
      <c r="G452" s="9"/>
    </row>
    <row r="453" spans="6:7">
      <c r="F453" s="9"/>
      <c r="G453" s="9"/>
    </row>
    <row r="454" spans="6:7">
      <c r="F454" s="9"/>
      <c r="G454" s="9"/>
    </row>
    <row r="455" spans="6:7">
      <c r="F455" s="9"/>
      <c r="G455" s="9"/>
    </row>
    <row r="456" spans="6:7">
      <c r="F456" s="9"/>
      <c r="G456" s="9"/>
    </row>
    <row r="457" spans="6:7">
      <c r="F457" s="9"/>
      <c r="G457" s="9"/>
    </row>
    <row r="458" spans="6:7">
      <c r="F458" s="9"/>
      <c r="G458" s="9"/>
    </row>
    <row r="459" spans="6:7">
      <c r="F459" s="9"/>
      <c r="G459" s="9"/>
    </row>
    <row r="460" spans="6:7">
      <c r="F460" s="9"/>
      <c r="G460" s="9"/>
    </row>
    <row r="461" spans="6:7">
      <c r="F461" s="9"/>
      <c r="G461" s="9"/>
    </row>
    <row r="462" spans="6:7">
      <c r="F462" s="9"/>
      <c r="G462" s="9"/>
    </row>
    <row r="463" spans="6:7">
      <c r="F463" s="9"/>
      <c r="G463" s="9"/>
    </row>
    <row r="464" spans="6:7">
      <c r="F464" s="9"/>
      <c r="G464" s="9"/>
    </row>
    <row r="465" spans="6:7">
      <c r="F465" s="9"/>
      <c r="G465" s="9"/>
    </row>
    <row r="466" spans="6:7">
      <c r="F466" s="9"/>
      <c r="G466" s="9"/>
    </row>
    <row r="467" spans="6:7">
      <c r="F467" s="9"/>
      <c r="G467" s="9"/>
    </row>
    <row r="468" spans="6:7">
      <c r="F468" s="9"/>
      <c r="G468" s="9"/>
    </row>
    <row r="469" spans="6:7">
      <c r="F469" s="9"/>
      <c r="G469" s="9"/>
    </row>
    <row r="470" spans="6:7">
      <c r="F470" s="9"/>
      <c r="G470" s="9"/>
    </row>
    <row r="471" spans="6:7">
      <c r="F471" s="9"/>
      <c r="G471" s="9"/>
    </row>
    <row r="472" spans="6:7">
      <c r="F472" s="9"/>
      <c r="G472" s="9"/>
    </row>
    <row r="473" spans="6:7">
      <c r="F473" s="9"/>
      <c r="G473" s="9"/>
    </row>
    <row r="474" spans="6:7">
      <c r="F474" s="9"/>
      <c r="G474" s="9"/>
    </row>
    <row r="475" spans="6:7">
      <c r="F475" s="9"/>
      <c r="G475" s="9"/>
    </row>
    <row r="476" spans="6:7">
      <c r="F476" s="9"/>
      <c r="G476" s="9"/>
    </row>
    <row r="477" spans="6:7">
      <c r="F477" s="9"/>
      <c r="G477" s="9"/>
    </row>
    <row r="478" spans="6:7">
      <c r="F478" s="9"/>
      <c r="G478" s="9"/>
    </row>
    <row r="479" spans="6:7">
      <c r="F479" s="9"/>
      <c r="G479" s="9"/>
    </row>
    <row r="480" spans="6:7">
      <c r="F480" s="9"/>
      <c r="G480" s="9"/>
    </row>
    <row r="481" spans="6:7">
      <c r="F481" s="9"/>
      <c r="G481" s="9"/>
    </row>
    <row r="482" spans="6:7">
      <c r="F482" s="9"/>
      <c r="G482" s="9"/>
    </row>
    <row r="483" spans="6:7">
      <c r="F483" s="9"/>
      <c r="G483" s="9"/>
    </row>
    <row r="484" spans="6:7">
      <c r="F484" s="9"/>
      <c r="G484" s="9"/>
    </row>
    <row r="485" spans="6:7">
      <c r="F485" s="9"/>
      <c r="G485" s="9"/>
    </row>
    <row r="486" spans="6:7">
      <c r="F486" s="9"/>
      <c r="G486" s="9"/>
    </row>
    <row r="487" spans="6:7">
      <c r="F487" s="9"/>
      <c r="G487" s="9"/>
    </row>
    <row r="488" spans="6:7">
      <c r="F488" s="9"/>
      <c r="G488" s="9"/>
    </row>
    <row r="489" spans="6:7">
      <c r="F489" s="9"/>
      <c r="G489" s="9"/>
    </row>
    <row r="490" spans="6:7">
      <c r="F490" s="9"/>
      <c r="G490" s="9"/>
    </row>
    <row r="491" spans="6:7">
      <c r="F491" s="9"/>
      <c r="G491" s="9"/>
    </row>
    <row r="492" spans="6:7">
      <c r="F492" s="9"/>
      <c r="G492" s="9"/>
    </row>
    <row r="493" spans="6:7">
      <c r="F493" s="9"/>
      <c r="G493" s="9"/>
    </row>
    <row r="494" spans="6:7">
      <c r="F494" s="9"/>
      <c r="G494" s="9"/>
    </row>
    <row r="495" spans="6:7">
      <c r="F495" s="9"/>
      <c r="G495" s="9"/>
    </row>
    <row r="496" spans="6:7">
      <c r="F496" s="9"/>
      <c r="G496" s="9"/>
    </row>
    <row r="497" spans="6:7">
      <c r="F497" s="9"/>
      <c r="G497" s="9"/>
    </row>
    <row r="498" spans="6:7">
      <c r="F498" s="9"/>
      <c r="G498" s="9"/>
    </row>
    <row r="499" spans="6:7">
      <c r="F499" s="9"/>
      <c r="G499" s="9"/>
    </row>
    <row r="500" spans="6:7">
      <c r="F500" s="9"/>
      <c r="G500" s="9"/>
    </row>
    <row r="501" spans="6:7">
      <c r="F501" s="9"/>
      <c r="G501" s="9"/>
    </row>
    <row r="502" spans="6:7">
      <c r="F502" s="9"/>
      <c r="G502" s="9"/>
    </row>
    <row r="503" spans="6:7">
      <c r="F503" s="9"/>
      <c r="G503" s="9"/>
    </row>
    <row r="504" spans="6:7">
      <c r="F504" s="9"/>
      <c r="G504" s="9"/>
    </row>
    <row r="505" spans="6:7">
      <c r="F505" s="9"/>
      <c r="G505" s="9"/>
    </row>
    <row r="506" spans="6:7">
      <c r="F506" s="9"/>
      <c r="G506" s="9"/>
    </row>
    <row r="507" spans="6:7">
      <c r="F507" s="9"/>
      <c r="G507" s="9"/>
    </row>
    <row r="508" spans="6:7">
      <c r="F508" s="9"/>
      <c r="G508" s="9"/>
    </row>
    <row r="509" spans="6:7">
      <c r="F509" s="9"/>
      <c r="G509" s="9"/>
    </row>
    <row r="510" spans="6:7">
      <c r="F510" s="9"/>
      <c r="G510" s="9"/>
    </row>
    <row r="511" spans="6:7">
      <c r="F511" s="9"/>
      <c r="G511" s="9"/>
    </row>
    <row r="512" spans="6:7">
      <c r="F512" s="9"/>
      <c r="G512" s="9"/>
    </row>
    <row r="513" spans="6:7">
      <c r="F513" s="9"/>
      <c r="G513" s="9"/>
    </row>
    <row r="514" spans="6:7">
      <c r="F514" s="9"/>
      <c r="G514" s="9"/>
    </row>
    <row r="515" spans="6:7">
      <c r="F515" s="9"/>
      <c r="G515" s="9"/>
    </row>
    <row r="516" spans="6:7">
      <c r="F516" s="9"/>
      <c r="G516" s="9"/>
    </row>
    <row r="517" spans="6:7">
      <c r="F517" s="9"/>
      <c r="G517" s="9"/>
    </row>
    <row r="518" spans="6:7">
      <c r="F518" s="9"/>
      <c r="G518" s="9"/>
    </row>
    <row r="519" spans="6:7">
      <c r="F519" s="9"/>
      <c r="G519" s="9"/>
    </row>
    <row r="520" spans="6:7">
      <c r="F520" s="9"/>
      <c r="G520" s="9"/>
    </row>
    <row r="521" spans="6:7">
      <c r="F521" s="9"/>
      <c r="G521" s="9"/>
    </row>
    <row r="522" spans="6:7">
      <c r="F522" s="9"/>
      <c r="G522" s="9"/>
    </row>
    <row r="523" spans="6:7">
      <c r="F523" s="9"/>
      <c r="G523" s="9"/>
    </row>
    <row r="524" spans="6:7">
      <c r="F524" s="9"/>
      <c r="G524" s="9"/>
    </row>
    <row r="525" spans="6:7">
      <c r="F525" s="9"/>
      <c r="G525" s="9"/>
    </row>
    <row r="526" spans="6:7">
      <c r="F526" s="9"/>
      <c r="G526" s="9"/>
    </row>
    <row r="527" spans="6:7">
      <c r="F527" s="9"/>
      <c r="G527" s="9"/>
    </row>
    <row r="528" spans="6:7">
      <c r="F528" s="9"/>
      <c r="G528" s="9"/>
    </row>
    <row r="529" spans="6:7">
      <c r="F529" s="9"/>
      <c r="G529" s="9"/>
    </row>
    <row r="530" spans="6:7">
      <c r="F530" s="9"/>
      <c r="G530" s="9"/>
    </row>
    <row r="531" spans="6:7">
      <c r="F531" s="9"/>
      <c r="G531" s="9"/>
    </row>
    <row r="532" spans="6:7">
      <c r="F532" s="9"/>
      <c r="G532" s="9"/>
    </row>
    <row r="533" spans="6:7">
      <c r="F533" s="9"/>
      <c r="G533" s="9"/>
    </row>
    <row r="534" spans="6:7">
      <c r="F534" s="9"/>
      <c r="G534" s="9"/>
    </row>
    <row r="535" spans="6:7">
      <c r="F535" s="9"/>
      <c r="G535" s="9"/>
    </row>
    <row r="536" spans="6:7">
      <c r="F536" s="9"/>
      <c r="G536" s="9"/>
    </row>
    <row r="537" spans="6:7">
      <c r="F537" s="9"/>
      <c r="G537" s="9"/>
    </row>
    <row r="538" spans="6:7">
      <c r="F538" s="9"/>
      <c r="G538" s="9"/>
    </row>
    <row r="539" spans="6:7">
      <c r="F539" s="9"/>
      <c r="G539" s="9"/>
    </row>
    <row r="540" spans="6:7">
      <c r="F540" s="9"/>
      <c r="G540" s="9"/>
    </row>
    <row r="541" spans="6:7">
      <c r="F541" s="9"/>
      <c r="G541" s="9"/>
    </row>
    <row r="542" spans="6:7">
      <c r="F542" s="9"/>
      <c r="G542" s="9"/>
    </row>
    <row r="543" spans="6:7">
      <c r="F543" s="9"/>
      <c r="G543" s="9"/>
    </row>
    <row r="544" spans="6:7">
      <c r="F544" s="9"/>
      <c r="G544" s="9"/>
    </row>
    <row r="545" spans="6:7">
      <c r="F545" s="9"/>
      <c r="G545" s="9"/>
    </row>
    <row r="546" spans="6:7">
      <c r="F546" s="9"/>
      <c r="G546" s="9"/>
    </row>
    <row r="547" spans="6:7">
      <c r="F547" s="9"/>
      <c r="G547" s="9"/>
    </row>
    <row r="548" spans="6:7">
      <c r="F548" s="9"/>
      <c r="G548" s="9"/>
    </row>
    <row r="549" spans="6:7">
      <c r="F549" s="9"/>
      <c r="G549" s="9"/>
    </row>
    <row r="550" spans="6:7">
      <c r="F550" s="9"/>
      <c r="G550" s="9"/>
    </row>
    <row r="551" spans="6:7">
      <c r="F551" s="9"/>
      <c r="G551" s="9"/>
    </row>
    <row r="552" spans="6:7">
      <c r="F552" s="9"/>
      <c r="G552" s="9"/>
    </row>
    <row r="553" spans="6:7">
      <c r="F553" s="9"/>
      <c r="G553" s="9"/>
    </row>
    <row r="554" spans="6:7">
      <c r="F554" s="9"/>
      <c r="G554" s="9"/>
    </row>
    <row r="555" spans="6:7">
      <c r="F555" s="9"/>
      <c r="G555" s="9"/>
    </row>
    <row r="556" spans="6:7">
      <c r="F556" s="9"/>
      <c r="G556" s="9"/>
    </row>
    <row r="557" spans="6:7">
      <c r="F557" s="9"/>
      <c r="G557" s="9"/>
    </row>
    <row r="558" spans="6:7">
      <c r="F558" s="9"/>
      <c r="G558" s="9"/>
    </row>
    <row r="559" spans="6:7">
      <c r="F559" s="9"/>
      <c r="G559" s="9"/>
    </row>
    <row r="560" spans="6:7">
      <c r="F560" s="9"/>
      <c r="G560" s="9"/>
    </row>
    <row r="561" spans="6:7">
      <c r="F561" s="9"/>
      <c r="G561" s="9"/>
    </row>
    <row r="562" spans="6:7">
      <c r="F562" s="9"/>
      <c r="G562" s="9"/>
    </row>
    <row r="563" spans="6:7">
      <c r="F563" s="9"/>
      <c r="G563" s="9"/>
    </row>
    <row r="564" spans="6:7">
      <c r="F564" s="9"/>
      <c r="G564" s="9"/>
    </row>
    <row r="565" spans="6:7">
      <c r="F565" s="9"/>
      <c r="G565" s="9"/>
    </row>
    <row r="566" spans="6:7">
      <c r="F566" s="9"/>
      <c r="G566" s="9"/>
    </row>
    <row r="567" spans="6:7">
      <c r="F567" s="9"/>
      <c r="G567" s="9"/>
    </row>
    <row r="568" spans="6:7">
      <c r="F568" s="9"/>
      <c r="G568" s="9"/>
    </row>
    <row r="569" spans="6:7">
      <c r="F569" s="9"/>
      <c r="G569" s="9"/>
    </row>
    <row r="570" spans="6:7">
      <c r="F570" s="9"/>
      <c r="G570" s="9"/>
    </row>
    <row r="571" spans="6:7">
      <c r="F571" s="9"/>
      <c r="G571" s="9"/>
    </row>
    <row r="572" spans="6:7">
      <c r="F572" s="9"/>
      <c r="G572" s="9"/>
    </row>
    <row r="573" spans="6:7">
      <c r="F573" s="9"/>
      <c r="G573" s="9"/>
    </row>
    <row r="574" spans="6:7">
      <c r="F574" s="9"/>
      <c r="G574" s="9"/>
    </row>
    <row r="575" spans="6:7">
      <c r="F575" s="9"/>
      <c r="G575" s="9"/>
    </row>
    <row r="576" spans="6:7">
      <c r="F576" s="9"/>
      <c r="G576" s="9"/>
    </row>
    <row r="577" spans="6:7">
      <c r="F577" s="9"/>
      <c r="G577" s="9"/>
    </row>
    <row r="578" spans="6:7">
      <c r="F578" s="9"/>
      <c r="G578" s="9"/>
    </row>
    <row r="579" spans="6:7">
      <c r="F579" s="9"/>
      <c r="G579" s="9"/>
    </row>
    <row r="580" spans="6:7">
      <c r="F580" s="9"/>
      <c r="G580" s="9"/>
    </row>
    <row r="581" spans="6:7">
      <c r="F581" s="9"/>
      <c r="G581" s="9"/>
    </row>
    <row r="582" spans="6:7">
      <c r="F582" s="9"/>
      <c r="G582" s="9"/>
    </row>
    <row r="583" spans="6:7">
      <c r="F583" s="9"/>
      <c r="G583" s="9"/>
    </row>
    <row r="584" spans="6:7">
      <c r="F584" s="9"/>
      <c r="G584" s="9"/>
    </row>
    <row r="585" spans="6:7">
      <c r="F585" s="9"/>
      <c r="G585" s="9"/>
    </row>
    <row r="586" spans="6:7">
      <c r="F586" s="9"/>
      <c r="G586" s="9"/>
    </row>
    <row r="587" spans="6:7">
      <c r="F587" s="9"/>
      <c r="G587" s="9"/>
    </row>
    <row r="588" spans="6:7">
      <c r="F588" s="9"/>
      <c r="G588" s="9"/>
    </row>
    <row r="589" spans="6:7">
      <c r="F589" s="9"/>
      <c r="G589" s="9"/>
    </row>
    <row r="590" spans="6:7">
      <c r="F590" s="9"/>
      <c r="G590" s="9"/>
    </row>
    <row r="591" spans="6:7">
      <c r="F591" s="9"/>
      <c r="G591" s="9"/>
    </row>
    <row r="592" spans="6:7">
      <c r="F592" s="9"/>
      <c r="G592" s="9"/>
    </row>
    <row r="593" spans="6:7">
      <c r="F593" s="9"/>
      <c r="G593" s="9"/>
    </row>
    <row r="594" spans="6:7">
      <c r="F594" s="9"/>
      <c r="G594" s="9"/>
    </row>
    <row r="595" spans="6:7">
      <c r="F595" s="9"/>
      <c r="G595" s="9"/>
    </row>
    <row r="596" spans="6:7">
      <c r="F596" s="9"/>
      <c r="G596" s="9"/>
    </row>
    <row r="597" spans="6:7">
      <c r="F597" s="9"/>
      <c r="G597" s="9"/>
    </row>
    <row r="598" spans="6:7">
      <c r="F598" s="9"/>
      <c r="G598" s="9"/>
    </row>
    <row r="599" spans="6:7">
      <c r="F599" s="9"/>
      <c r="G599" s="9"/>
    </row>
    <row r="600" spans="6:7">
      <c r="F600" s="9"/>
      <c r="G600" s="9"/>
    </row>
    <row r="601" spans="6:7">
      <c r="F601" s="9"/>
      <c r="G601" s="9"/>
    </row>
    <row r="602" spans="6:7">
      <c r="F602" s="9"/>
      <c r="G602" s="9"/>
    </row>
    <row r="603" spans="6:7">
      <c r="F603" s="9"/>
      <c r="G603" s="9"/>
    </row>
    <row r="604" spans="6:7">
      <c r="F604" s="9"/>
      <c r="G604" s="9"/>
    </row>
    <row r="605" spans="6:7">
      <c r="F605" s="9"/>
      <c r="G605" s="9"/>
    </row>
    <row r="606" spans="6:7">
      <c r="F606" s="9"/>
      <c r="G606" s="9"/>
    </row>
    <row r="607" spans="6:7">
      <c r="F607" s="9"/>
      <c r="G607" s="9"/>
    </row>
    <row r="608" spans="6:7">
      <c r="F608" s="9"/>
      <c r="G608" s="9"/>
    </row>
    <row r="609" spans="6:7">
      <c r="F609" s="9"/>
      <c r="G609" s="9"/>
    </row>
    <row r="610" spans="6:7">
      <c r="F610" s="9"/>
      <c r="G610" s="9"/>
    </row>
    <row r="611" spans="6:7">
      <c r="F611" s="9"/>
      <c r="G611" s="9"/>
    </row>
    <row r="612" spans="6:7">
      <c r="F612" s="9"/>
      <c r="G612" s="9"/>
    </row>
    <row r="613" spans="6:7">
      <c r="F613" s="9"/>
      <c r="G613" s="9"/>
    </row>
    <row r="614" spans="6:7">
      <c r="F614" s="9"/>
      <c r="G614" s="9"/>
    </row>
    <row r="615" spans="6:7">
      <c r="F615" s="9"/>
      <c r="G615" s="9"/>
    </row>
    <row r="616" spans="6:7">
      <c r="F616" s="9"/>
      <c r="G616" s="9"/>
    </row>
    <row r="617" spans="6:7">
      <c r="F617" s="9"/>
      <c r="G617" s="9"/>
    </row>
    <row r="618" spans="6:7">
      <c r="F618" s="9"/>
      <c r="G618" s="9"/>
    </row>
    <row r="619" spans="6:7">
      <c r="F619" s="9"/>
      <c r="G619" s="9"/>
    </row>
    <row r="620" spans="6:7">
      <c r="F620" s="9"/>
      <c r="G620" s="9"/>
    </row>
    <row r="621" spans="6:7">
      <c r="F621" s="9"/>
      <c r="G621" s="9"/>
    </row>
    <row r="622" spans="6:7">
      <c r="F622" s="9"/>
      <c r="G622" s="9"/>
    </row>
    <row r="623" spans="6:7">
      <c r="F623" s="9"/>
      <c r="G623" s="9"/>
    </row>
    <row r="624" spans="6:7">
      <c r="F624" s="9"/>
      <c r="G624" s="9"/>
    </row>
    <row r="625" spans="6:7">
      <c r="F625" s="9"/>
      <c r="G625" s="9"/>
    </row>
    <row r="626" spans="6:7">
      <c r="F626" s="9"/>
      <c r="G626" s="9"/>
    </row>
    <row r="627" spans="6:7">
      <c r="F627" s="9"/>
      <c r="G627" s="9"/>
    </row>
    <row r="628" spans="6:7">
      <c r="F628" s="9"/>
      <c r="G628" s="9"/>
    </row>
    <row r="629" spans="6:7">
      <c r="F629" s="9"/>
      <c r="G629" s="9"/>
    </row>
    <row r="630" spans="6:7">
      <c r="F630" s="9"/>
      <c r="G630" s="9"/>
    </row>
    <row r="631" spans="6:7">
      <c r="F631" s="9"/>
      <c r="G631" s="9"/>
    </row>
    <row r="632" spans="6:7">
      <c r="F632" s="9"/>
      <c r="G632" s="9"/>
    </row>
    <row r="633" spans="6:7">
      <c r="F633" s="9"/>
      <c r="G633" s="9"/>
    </row>
    <row r="634" spans="6:7">
      <c r="F634" s="9"/>
      <c r="G634" s="9"/>
    </row>
    <row r="635" spans="6:7">
      <c r="F635" s="9"/>
      <c r="G635" s="9"/>
    </row>
    <row r="636" spans="6:7">
      <c r="F636" s="9"/>
      <c r="G636" s="9"/>
    </row>
    <row r="637" spans="6:7">
      <c r="F637" s="9"/>
      <c r="G637" s="9"/>
    </row>
    <row r="638" spans="6:7">
      <c r="F638" s="9"/>
      <c r="G638" s="9"/>
    </row>
    <row r="639" spans="6:7">
      <c r="F639" s="9"/>
      <c r="G639" s="9"/>
    </row>
    <row r="640" spans="6:7">
      <c r="F640" s="9"/>
      <c r="G640" s="9"/>
    </row>
    <row r="641" spans="6:7">
      <c r="F641" s="9"/>
      <c r="G641" s="9"/>
    </row>
    <row r="642" spans="6:7">
      <c r="F642" s="9"/>
      <c r="G642" s="9"/>
    </row>
    <row r="643" spans="6:7">
      <c r="F643" s="9"/>
      <c r="G643" s="9"/>
    </row>
    <row r="644" spans="6:7">
      <c r="F644" s="9"/>
      <c r="G644" s="9"/>
    </row>
    <row r="645" spans="6:7">
      <c r="F645" s="9"/>
      <c r="G645" s="9"/>
    </row>
    <row r="646" spans="6:7">
      <c r="F646" s="9"/>
      <c r="G646" s="9"/>
    </row>
    <row r="647" spans="6:7">
      <c r="F647" s="9"/>
      <c r="G647" s="9"/>
    </row>
    <row r="648" spans="6:7">
      <c r="F648" s="9"/>
      <c r="G648" s="9"/>
    </row>
    <row r="649" spans="6:7">
      <c r="F649" s="9"/>
      <c r="G649" s="9"/>
    </row>
    <row r="650" spans="6:7">
      <c r="F650" s="9"/>
      <c r="G650" s="9"/>
    </row>
    <row r="651" spans="6:7">
      <c r="F651" s="9"/>
      <c r="G651" s="9"/>
    </row>
    <row r="652" spans="6:7">
      <c r="F652" s="9"/>
      <c r="G652" s="9"/>
    </row>
    <row r="653" spans="6:7">
      <c r="F653" s="9"/>
      <c r="G653" s="9"/>
    </row>
    <row r="654" spans="6:7">
      <c r="F654" s="9"/>
      <c r="G654" s="9"/>
    </row>
    <row r="655" spans="6:7">
      <c r="F655" s="9"/>
      <c r="G655" s="9"/>
    </row>
    <row r="656" spans="6:7">
      <c r="F656" s="9"/>
      <c r="G656" s="9"/>
    </row>
    <row r="657" spans="6:7">
      <c r="F657" s="9"/>
      <c r="G657" s="9"/>
    </row>
    <row r="658" spans="6:7">
      <c r="F658" s="9"/>
      <c r="G658" s="9"/>
    </row>
    <row r="659" spans="6:7">
      <c r="F659" s="9"/>
      <c r="G659" s="9"/>
    </row>
    <row r="660" spans="6:7">
      <c r="F660" s="9"/>
      <c r="G660" s="9"/>
    </row>
    <row r="661" spans="6:7">
      <c r="F661" s="9"/>
      <c r="G661" s="9"/>
    </row>
    <row r="662" spans="6:7">
      <c r="F662" s="9"/>
      <c r="G662" s="9"/>
    </row>
    <row r="663" spans="6:7">
      <c r="F663" s="9"/>
      <c r="G663" s="9"/>
    </row>
    <row r="664" spans="6:7">
      <c r="F664" s="9"/>
      <c r="G664" s="9"/>
    </row>
    <row r="665" spans="6:7">
      <c r="F665" s="9"/>
      <c r="G665" s="9"/>
    </row>
    <row r="666" spans="6:7">
      <c r="F666" s="9"/>
      <c r="G666" s="9"/>
    </row>
    <row r="667" spans="6:7">
      <c r="F667" s="9"/>
      <c r="G667" s="9"/>
    </row>
    <row r="668" spans="6:7">
      <c r="F668" s="9"/>
      <c r="G668" s="9"/>
    </row>
    <row r="669" spans="6:7">
      <c r="F669" s="9"/>
      <c r="G669" s="9"/>
    </row>
    <row r="670" spans="6:7">
      <c r="F670" s="9"/>
      <c r="G670" s="9"/>
    </row>
    <row r="671" spans="6:7">
      <c r="F671" s="9"/>
      <c r="G671" s="9"/>
    </row>
    <row r="672" spans="6:7">
      <c r="F672" s="9"/>
      <c r="G672" s="9"/>
    </row>
  </sheetData>
  <mergeCells count="25">
    <mergeCell ref="K94:L94"/>
    <mergeCell ref="K95:L95"/>
    <mergeCell ref="K99:L99"/>
    <mergeCell ref="K100:L100"/>
    <mergeCell ref="AR137:AY137"/>
    <mergeCell ref="P66:R66"/>
    <mergeCell ref="H33:J33"/>
    <mergeCell ref="L33:N33"/>
    <mergeCell ref="P33:R33"/>
    <mergeCell ref="AB39:AD39"/>
    <mergeCell ref="AB48:AD48"/>
    <mergeCell ref="AB56:AD56"/>
    <mergeCell ref="H65:J65"/>
    <mergeCell ref="L65:N65"/>
    <mergeCell ref="P65:R65"/>
    <mergeCell ref="AF39:AH39"/>
    <mergeCell ref="H44:J44"/>
    <mergeCell ref="L44:N44"/>
    <mergeCell ref="P44:R44"/>
    <mergeCell ref="H13:J13"/>
    <mergeCell ref="L13:N13"/>
    <mergeCell ref="P13:R13"/>
    <mergeCell ref="AB13:AD13"/>
    <mergeCell ref="AF13:AH13"/>
    <mergeCell ref="AB22:AD22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T726"/>
  <sheetViews>
    <sheetView topLeftCell="A58" zoomScale="60" zoomScaleNormal="60" workbookViewId="0">
      <selection activeCell="AG129" sqref="AF129:AG129"/>
    </sheetView>
  </sheetViews>
  <sheetFormatPr defaultColWidth="9" defaultRowHeight="17.5"/>
  <cols>
    <col min="1" max="1" width="9" style="4"/>
    <col min="2" max="2" width="9.33203125" style="4" customWidth="1"/>
    <col min="3" max="4" width="9" style="4"/>
    <col min="5" max="5" width="13.83203125" style="4" customWidth="1"/>
    <col min="6" max="6" width="55.83203125" style="4" bestFit="1" customWidth="1"/>
    <col min="7" max="7" width="5.25" style="4" customWidth="1"/>
    <col min="8" max="8" width="13.08203125" style="4" bestFit="1" customWidth="1"/>
    <col min="9" max="9" width="10.58203125" style="5" customWidth="1"/>
    <col min="10" max="10" width="10.58203125" style="4" customWidth="1"/>
    <col min="11" max="11" width="5" style="4" customWidth="1"/>
    <col min="12" max="14" width="10.58203125" style="4" hidden="1" customWidth="1"/>
    <col min="15" max="15" width="5" style="4" hidden="1" customWidth="1"/>
    <col min="16" max="21" width="10.58203125" style="4" customWidth="1"/>
    <col min="22" max="22" width="13.58203125" style="4" customWidth="1"/>
    <col min="23" max="24" width="9" style="4"/>
    <col min="25" max="25" width="9.33203125" style="5" customWidth="1"/>
    <col min="26" max="26" width="9" style="4"/>
    <col min="27" max="27" width="11.75" style="4" customWidth="1"/>
    <col min="28" max="30" width="10.58203125" style="4" customWidth="1"/>
    <col min="31" max="31" width="9" style="4"/>
    <col min="32" max="34" width="9.83203125" style="4" customWidth="1"/>
    <col min="35" max="36" width="9" style="4"/>
    <col min="37" max="37" width="11.83203125" style="4" customWidth="1"/>
    <col min="38" max="38" width="17.58203125" style="4" customWidth="1"/>
    <col min="39" max="39" width="17.83203125" style="4" customWidth="1"/>
    <col min="40" max="40" width="18.25" style="4" customWidth="1"/>
    <col min="41" max="41" width="18.83203125" style="4" customWidth="1"/>
    <col min="42" max="42" width="9.33203125" style="4" customWidth="1"/>
    <col min="43" max="43" width="16.25" style="4" customWidth="1"/>
    <col min="44" max="44" width="17.58203125" style="4" customWidth="1"/>
    <col min="45" max="45" width="18.83203125" style="4" customWidth="1"/>
    <col min="46" max="48" width="9.33203125" style="4" customWidth="1"/>
    <col min="49" max="51" width="9" style="4"/>
    <col min="52" max="52" width="15.5" style="4" customWidth="1"/>
    <col min="53" max="53" width="9.33203125" style="4" customWidth="1"/>
    <col min="54" max="16384" width="9" style="4"/>
  </cols>
  <sheetData>
    <row r="2" spans="2:34">
      <c r="P2" s="4" t="s">
        <v>418</v>
      </c>
      <c r="T2" s="4" t="s">
        <v>419</v>
      </c>
    </row>
    <row r="3" spans="2:34">
      <c r="B3" s="4" t="s">
        <v>420</v>
      </c>
      <c r="C3" s="4" t="s">
        <v>494</v>
      </c>
      <c r="E3" s="4" t="s">
        <v>421</v>
      </c>
      <c r="F3" s="6">
        <f>_xll.BDP($C$3,$B$8)</f>
        <v>29.81</v>
      </c>
      <c r="G3" s="6"/>
      <c r="H3" s="6">
        <f>_xll.BDP($C$3,"PR005")</f>
        <v>29.81</v>
      </c>
      <c r="N3" s="7"/>
      <c r="O3" s="8"/>
      <c r="P3" s="4" t="s">
        <v>422</v>
      </c>
      <c r="Q3" s="4" t="s">
        <v>423</v>
      </c>
      <c r="R3" s="4" t="s">
        <v>424</v>
      </c>
      <c r="T3" s="4" t="s">
        <v>422</v>
      </c>
      <c r="U3" s="4" t="s">
        <v>423</v>
      </c>
      <c r="V3" s="4" t="s">
        <v>942</v>
      </c>
    </row>
    <row r="4" spans="2:34">
      <c r="N4" s="7"/>
      <c r="O4" s="8"/>
    </row>
    <row r="5" spans="2:34">
      <c r="B5" s="4" t="s">
        <v>425</v>
      </c>
      <c r="C5" s="4" t="s">
        <v>426</v>
      </c>
      <c r="P5" s="4" t="s">
        <v>427</v>
      </c>
      <c r="Q5" s="4" t="s">
        <v>428</v>
      </c>
      <c r="R5" s="4" t="s">
        <v>429</v>
      </c>
      <c r="T5" s="4" t="s">
        <v>427</v>
      </c>
      <c r="U5" s="4" t="s">
        <v>428</v>
      </c>
      <c r="V5" s="4" t="s">
        <v>429</v>
      </c>
    </row>
    <row r="7" spans="2:34">
      <c r="B7" s="4" t="s">
        <v>430</v>
      </c>
      <c r="C7" s="4" t="s">
        <v>431</v>
      </c>
      <c r="T7" s="4" t="s">
        <v>432</v>
      </c>
      <c r="U7" s="4" t="s">
        <v>433</v>
      </c>
      <c r="V7" s="4" t="s">
        <v>434</v>
      </c>
    </row>
    <row r="8" spans="2:34">
      <c r="B8" s="4" t="s">
        <v>435</v>
      </c>
      <c r="C8" s="4" t="s">
        <v>436</v>
      </c>
      <c r="F8" s="9"/>
      <c r="G8" s="9"/>
    </row>
    <row r="9" spans="2:34">
      <c r="B9" s="4" t="s">
        <v>425</v>
      </c>
      <c r="C9" s="4" t="s">
        <v>437</v>
      </c>
      <c r="E9" s="10">
        <f>_xll.BDP($C$3,$B$9)</f>
        <v>524.65519999999992</v>
      </c>
      <c r="F9" s="4">
        <v>7.7</v>
      </c>
      <c r="H9" s="11">
        <f>H18/[4]Model!S785</f>
        <v>0.10998615780106781</v>
      </c>
    </row>
    <row r="10" spans="2:34">
      <c r="B10" s="4" t="s">
        <v>438</v>
      </c>
      <c r="C10" s="4" t="s">
        <v>439</v>
      </c>
      <c r="E10" s="10">
        <f>_xll.BDP($C$3,$B$10,$U$3,$V$3)</f>
        <v>15906.172209589999</v>
      </c>
      <c r="H10" s="12">
        <f>H9/F3</f>
        <v>3.6895725528704399E-3</v>
      </c>
    </row>
    <row r="11" spans="2:34" ht="8.25" customHeight="1"/>
    <row r="12" spans="2:34">
      <c r="E12" s="13">
        <f>(E9+F9)*F3</f>
        <v>15869.508511999999</v>
      </c>
    </row>
    <row r="13" spans="2:34" ht="18">
      <c r="F13" s="9"/>
      <c r="G13" s="9"/>
      <c r="H13" s="1385" t="s">
        <v>440</v>
      </c>
      <c r="I13" s="1385"/>
      <c r="J13" s="1385"/>
      <c r="L13" s="1385" t="s">
        <v>441</v>
      </c>
      <c r="M13" s="1385"/>
      <c r="N13" s="1385"/>
      <c r="P13" s="1385" t="s">
        <v>442</v>
      </c>
      <c r="Q13" s="1385"/>
      <c r="R13" s="1385"/>
      <c r="AB13" s="1385" t="s">
        <v>443</v>
      </c>
      <c r="AC13" s="1385"/>
      <c r="AD13" s="1385"/>
      <c r="AF13" s="1385" t="s">
        <v>444</v>
      </c>
      <c r="AG13" s="1385"/>
      <c r="AH13" s="1385"/>
    </row>
    <row r="14" spans="2:34" ht="18" thickBot="1">
      <c r="F14" s="9"/>
      <c r="G14" s="9"/>
      <c r="H14" s="14" t="s">
        <v>446</v>
      </c>
      <c r="I14" s="14" t="s">
        <v>447</v>
      </c>
      <c r="J14" s="14" t="s">
        <v>936</v>
      </c>
      <c r="L14" s="14" t="s">
        <v>445</v>
      </c>
      <c r="M14" s="14" t="s">
        <v>446</v>
      </c>
      <c r="N14" s="14" t="s">
        <v>447</v>
      </c>
      <c r="P14" s="14" t="s">
        <v>446</v>
      </c>
      <c r="Q14" s="14" t="s">
        <v>447</v>
      </c>
      <c r="R14" s="14" t="s">
        <v>936</v>
      </c>
      <c r="AB14" s="14" t="s">
        <v>445</v>
      </c>
      <c r="AC14" s="14" t="s">
        <v>446</v>
      </c>
      <c r="AD14" s="14" t="s">
        <v>447</v>
      </c>
      <c r="AF14" s="14" t="s">
        <v>445</v>
      </c>
      <c r="AG14" s="14" t="s">
        <v>446</v>
      </c>
      <c r="AH14" s="14" t="s">
        <v>447</v>
      </c>
    </row>
    <row r="15" spans="2:34" ht="18" thickTop="1">
      <c r="F15" s="9"/>
      <c r="G15" s="9"/>
      <c r="H15" s="15"/>
      <c r="I15" s="15"/>
      <c r="J15" s="15"/>
      <c r="L15" s="15"/>
      <c r="M15" s="15"/>
      <c r="N15" s="15"/>
      <c r="P15" s="15"/>
      <c r="Q15" s="15"/>
      <c r="R15" s="15"/>
      <c r="AB15" s="15"/>
      <c r="AC15" s="15"/>
      <c r="AD15" s="15"/>
      <c r="AF15" s="15"/>
      <c r="AG15" s="15"/>
      <c r="AH15" s="15"/>
    </row>
    <row r="16" spans="2:34">
      <c r="F16" s="9"/>
      <c r="G16" s="9"/>
      <c r="M16" s="5"/>
      <c r="Q16" s="5"/>
      <c r="AC16" s="5"/>
      <c r="AG16" s="5"/>
    </row>
    <row r="17" spans="2:34" ht="18">
      <c r="F17" s="9" t="s">
        <v>130</v>
      </c>
      <c r="G17" s="9"/>
      <c r="H17" s="16">
        <f>Model!Z527</f>
        <v>919</v>
      </c>
      <c r="I17" s="16">
        <f>Model!AE527</f>
        <v>1706.0700337612168</v>
      </c>
      <c r="J17" s="16">
        <f>Model!AF527</f>
        <v>2064.7996795530653</v>
      </c>
      <c r="K17" s="5"/>
      <c r="L17" s="1113">
        <f>[5]Model!$T$823</f>
        <v>23881.836092005338</v>
      </c>
      <c r="M17" s="1113">
        <f>[5]Model!$W$823</f>
        <v>22869.720466994779</v>
      </c>
      <c r="N17" s="1113">
        <f>[5]Model!$Z$823</f>
        <v>24248.074282585199</v>
      </c>
      <c r="O17" s="5"/>
      <c r="P17" s="1113">
        <v>1010</v>
      </c>
      <c r="Q17" s="1113">
        <v>1200</v>
      </c>
      <c r="R17" s="1113">
        <v>1880</v>
      </c>
      <c r="U17" s="18">
        <f>M17-Q17</f>
        <v>21669.720466994779</v>
      </c>
      <c r="V17" s="19" t="s">
        <v>448</v>
      </c>
      <c r="W17" s="19"/>
      <c r="X17" s="19"/>
      <c r="Y17" s="20" t="s">
        <v>449</v>
      </c>
      <c r="AA17" s="9" t="s">
        <v>130</v>
      </c>
      <c r="AB17" s="12">
        <f t="shared" ref="AB17:AD18" si="0">(L17/H17)-1</f>
        <v>24.986763973890465</v>
      </c>
      <c r="AC17" s="12">
        <f t="shared" si="0"/>
        <v>12.404913054229079</v>
      </c>
      <c r="AD17" s="12">
        <f t="shared" si="0"/>
        <v>10.743548065560432</v>
      </c>
      <c r="AE17" s="5"/>
      <c r="AF17" s="12">
        <f t="shared" ref="AF17:AH18" si="1">(P17/H17)-1</f>
        <v>9.9020674646354667E-2</v>
      </c>
      <c r="AG17" s="12">
        <f t="shared" si="1"/>
        <v>-0.29662910885641103</v>
      </c>
      <c r="AH17" s="12">
        <f t="shared" si="1"/>
        <v>-8.9500052418191922E-2</v>
      </c>
    </row>
    <row r="18" spans="2:34">
      <c r="F18" s="9" t="s">
        <v>938</v>
      </c>
      <c r="G18" s="9"/>
      <c r="H18" s="16">
        <f>Model!Z559</f>
        <v>556.19999999999993</v>
      </c>
      <c r="I18" s="16">
        <f>Model!AE559</f>
        <v>1105.747704082059</v>
      </c>
      <c r="J18" s="16">
        <f>Model!AF559</f>
        <v>1367.489118762081</v>
      </c>
      <c r="K18" s="5"/>
      <c r="L18" s="1113">
        <f>[5]Model!$T$836</f>
        <v>8660.8360920053383</v>
      </c>
      <c r="M18" s="1113">
        <f>[5]Model!$W$836</f>
        <v>8352.2903502460831</v>
      </c>
      <c r="N18" s="1113">
        <f>[5]Model!$Z$836</f>
        <v>9386.0557119388977</v>
      </c>
      <c r="O18" s="5"/>
      <c r="P18" s="1113"/>
      <c r="Q18" s="1113"/>
      <c r="R18" s="1113"/>
      <c r="U18" s="21">
        <f>U82*2</f>
        <v>0</v>
      </c>
      <c r="V18" s="4" t="s">
        <v>451</v>
      </c>
      <c r="Y18" s="22">
        <f>I36</f>
        <v>90</v>
      </c>
      <c r="AA18" s="9" t="s">
        <v>450</v>
      </c>
      <c r="AB18" s="12">
        <f t="shared" si="0"/>
        <v>14.571442092781984</v>
      </c>
      <c r="AC18" s="12">
        <f t="shared" si="0"/>
        <v>6.5535226701463252</v>
      </c>
      <c r="AD18" s="12">
        <f t="shared" si="0"/>
        <v>5.8637150988342936</v>
      </c>
      <c r="AE18" s="5"/>
      <c r="AF18" s="12">
        <f t="shared" si="1"/>
        <v>-1</v>
      </c>
      <c r="AG18" s="12">
        <f t="shared" si="1"/>
        <v>-1</v>
      </c>
      <c r="AH18" s="12">
        <f t="shared" si="1"/>
        <v>-1</v>
      </c>
    </row>
    <row r="19" spans="2:34">
      <c r="F19" s="23" t="s">
        <v>452</v>
      </c>
      <c r="G19" s="23"/>
      <c r="H19" s="24">
        <f>H18/H17</f>
        <v>0.60522306855277463</v>
      </c>
      <c r="I19" s="24">
        <f>I18/I17</f>
        <v>0.64812562333347945</v>
      </c>
      <c r="J19" s="24">
        <f>J18/J17</f>
        <v>0.66228658029338705</v>
      </c>
      <c r="L19" s="24">
        <f>L18/L17</f>
        <v>0.36265369457521029</v>
      </c>
      <c r="M19" s="24">
        <f>M18/M17</f>
        <v>0.36521173760300119</v>
      </c>
      <c r="N19" s="24">
        <f>N18/N17</f>
        <v>0.38708458257569339</v>
      </c>
      <c r="P19" s="24"/>
      <c r="Q19" s="24"/>
      <c r="R19" s="24"/>
      <c r="U19" s="21">
        <f>X78*25</f>
        <v>0</v>
      </c>
      <c r="V19" s="4" t="s">
        <v>453</v>
      </c>
      <c r="Y19" s="22">
        <f>I38</f>
        <v>75</v>
      </c>
      <c r="AA19" s="9" t="s">
        <v>454</v>
      </c>
      <c r="AB19" s="12">
        <f>(L23/H23)-1</f>
        <v>-0.96151887164539906</v>
      </c>
      <c r="AC19" s="12">
        <f>(M23/I23)-1</f>
        <v>-0.94886106230977896</v>
      </c>
      <c r="AD19" s="12">
        <f>(N23/J23)-1</f>
        <v>-0.97481806438416141</v>
      </c>
      <c r="AF19" s="12">
        <f>(P23/H23)-1</f>
        <v>-9.0099009900990179E-2</v>
      </c>
      <c r="AG19" s="12">
        <f>(Q23/I23)-1</f>
        <v>0.48995001831798768</v>
      </c>
      <c r="AH19" s="12">
        <f>(R23/J23)-1</f>
        <v>0.22361988949009559</v>
      </c>
    </row>
    <row r="20" spans="2:34" ht="18" thickBot="1">
      <c r="F20" s="9"/>
      <c r="G20" s="9"/>
      <c r="M20" s="5"/>
      <c r="Q20" s="5"/>
      <c r="U20" s="25">
        <v>425</v>
      </c>
      <c r="V20" s="26" t="s">
        <v>453</v>
      </c>
      <c r="W20" s="26"/>
      <c r="X20" s="26"/>
      <c r="Y20" s="27">
        <f>I39</f>
        <v>160</v>
      </c>
    </row>
    <row r="21" spans="2:34" ht="18" thickTop="1">
      <c r="F21" s="9"/>
      <c r="G21" s="9"/>
      <c r="M21" s="5"/>
      <c r="Q21" s="5"/>
      <c r="U21" s="21">
        <f>U17-U18-U19-U20</f>
        <v>21244.720466994779</v>
      </c>
    </row>
    <row r="22" spans="2:34" ht="18">
      <c r="B22" s="4">
        <f>1.57/0.71</f>
        <v>2.211267605633803</v>
      </c>
      <c r="F22" s="9" t="s">
        <v>455</v>
      </c>
      <c r="G22" s="9"/>
      <c r="H22" s="10">
        <f>_xll.BDP($C$3,$B$7,$U$3,$V$3)</f>
        <v>24148.172209589997</v>
      </c>
      <c r="I22" s="10">
        <f>H22-I18</f>
        <v>23042.424505507937</v>
      </c>
      <c r="J22" s="10">
        <f>I22-J18</f>
        <v>21674.935386745856</v>
      </c>
      <c r="L22" s="10">
        <f>_xll.BDP($C$3,$B$7,$U$3,$V$3)</f>
        <v>24148.172209589997</v>
      </c>
      <c r="M22" s="10">
        <f>L22-M18</f>
        <v>15795.881859343914</v>
      </c>
      <c r="N22" s="10">
        <f>M22-N18</f>
        <v>6409.8261474050159</v>
      </c>
      <c r="P22" s="10">
        <f>_xll.BDP($C$3,$B$7,$U$3,$V$3)</f>
        <v>24148.172209589997</v>
      </c>
      <c r="Q22" s="10">
        <f>P22-Q18</f>
        <v>24148.172209589997</v>
      </c>
      <c r="R22" s="10">
        <f>Q22-R18</f>
        <v>24148.172209589997</v>
      </c>
      <c r="AB22" s="1385" t="s">
        <v>456</v>
      </c>
      <c r="AC22" s="1385"/>
      <c r="AD22" s="1385"/>
    </row>
    <row r="23" spans="2:34" ht="18" thickBot="1">
      <c r="B23" s="4">
        <v>37.86</v>
      </c>
      <c r="F23" s="9" t="s">
        <v>454</v>
      </c>
      <c r="G23" s="9"/>
      <c r="H23" s="28">
        <f>H22/H17</f>
        <v>26.276574765603915</v>
      </c>
      <c r="I23" s="28">
        <f>I22/I17</f>
        <v>13.506142215456659</v>
      </c>
      <c r="J23" s="28">
        <f>J22/J17</f>
        <v>10.497355070995308</v>
      </c>
      <c r="L23" s="28">
        <f>L22/L17</f>
        <v>1.0111522462744738</v>
      </c>
      <c r="M23" s="28">
        <f>M22/M17</f>
        <v>0.69068976519150216</v>
      </c>
      <c r="N23" s="28">
        <f>N22/N17</f>
        <v>0.26434371953440067</v>
      </c>
      <c r="P23" s="28">
        <f>P22/P17</f>
        <v>23.90908139563366</v>
      </c>
      <c r="Q23" s="28">
        <f>Q22/Q17</f>
        <v>20.123476841324997</v>
      </c>
      <c r="R23" s="28">
        <f>R22/R17</f>
        <v>12.844772451909574</v>
      </c>
      <c r="AB23" s="14" t="s">
        <v>445</v>
      </c>
      <c r="AC23" s="14" t="s">
        <v>446</v>
      </c>
      <c r="AD23" s="14" t="s">
        <v>447</v>
      </c>
    </row>
    <row r="24" spans="2:34" ht="18" thickTop="1">
      <c r="B24" s="4">
        <f>B22/B23</f>
        <v>5.8406434380184974E-2</v>
      </c>
      <c r="F24" s="9" t="s">
        <v>457</v>
      </c>
      <c r="G24" s="9"/>
      <c r="H24" s="12">
        <f>(H18/($E$9+$F$9))/$F$3</f>
        <v>3.5048344413402592E-2</v>
      </c>
      <c r="I24" s="12">
        <f>(I18/($E$9+$F$9))/$F$3</f>
        <v>6.9677501558786728E-2</v>
      </c>
      <c r="J24" s="12">
        <f>(J18/($E$9+$F$9))/$F$3</f>
        <v>8.6170855116781409E-2</v>
      </c>
      <c r="K24" s="29"/>
      <c r="L24" s="12">
        <f>(L18/($E$9+$F$9))/$F$3</f>
        <v>0.54575326548117731</v>
      </c>
      <c r="M24" s="12">
        <f>(M18/($E$9+$F$9))/$F$3</f>
        <v>0.5263105876234514</v>
      </c>
      <c r="N24" s="12">
        <f>(N18/($E$9+$F$9))/$F$3</f>
        <v>0.59145219934451476</v>
      </c>
      <c r="O24" s="29"/>
      <c r="P24" s="12">
        <f>(P18/($E$9+$F$9))/$F$3</f>
        <v>0</v>
      </c>
      <c r="Q24" s="12">
        <f>(Q18/($E$9+$F$9))/$F$3</f>
        <v>0</v>
      </c>
      <c r="R24" s="12">
        <f>(R18/($E$9+$F$9))/$F$3</f>
        <v>0</v>
      </c>
      <c r="AB24" s="15"/>
      <c r="AC24" s="15"/>
      <c r="AD24" s="15"/>
    </row>
    <row r="25" spans="2:34">
      <c r="F25" s="9" t="s">
        <v>458</v>
      </c>
      <c r="G25" s="9"/>
      <c r="H25" s="12">
        <f>H18/H22</f>
        <v>2.3032799135791961E-2</v>
      </c>
      <c r="I25" s="12">
        <f>I18/I22</f>
        <v>4.7987472143729802E-2</v>
      </c>
      <c r="J25" s="12">
        <f>J18/J22</f>
        <v>6.309080485648394E-2</v>
      </c>
      <c r="L25" s="12">
        <f>L18/L22</f>
        <v>0.35865389797766345</v>
      </c>
      <c r="M25" s="12">
        <f>M18/M22</f>
        <v>0.52876378948766067</v>
      </c>
      <c r="N25" s="12">
        <f>N18/N22</f>
        <v>1.4643229778921216</v>
      </c>
      <c r="P25" s="12">
        <f>P18/P22</f>
        <v>0</v>
      </c>
      <c r="Q25" s="12">
        <f>Q18/Q22</f>
        <v>0</v>
      </c>
      <c r="R25" s="12">
        <f>R18/R22</f>
        <v>0</v>
      </c>
      <c r="AC25" s="5"/>
    </row>
    <row r="26" spans="2:34">
      <c r="F26" s="9" t="s">
        <v>459</v>
      </c>
      <c r="G26" s="9"/>
      <c r="H26" s="12">
        <f>H18/$E$10</f>
        <v>3.4967558044207585E-2</v>
      </c>
      <c r="I26" s="12">
        <f>I18/$E$10</f>
        <v>6.9516895046275937E-2</v>
      </c>
      <c r="J26" s="12">
        <f>J18/$E$10</f>
        <v>8.5972231454756132E-2</v>
      </c>
      <c r="L26" s="12">
        <f>L18/$E$10</f>
        <v>0.54449530521137124</v>
      </c>
      <c r="M26" s="12">
        <f>M18/$E$10</f>
        <v>0.52509744269022807</v>
      </c>
      <c r="N26" s="12">
        <f>N18/$E$10</f>
        <v>0.59008890311648621</v>
      </c>
      <c r="P26" s="12">
        <f>P18/$E$10</f>
        <v>0</v>
      </c>
      <c r="Q26" s="12">
        <f>Q18/$E$10</f>
        <v>0</v>
      </c>
      <c r="R26" s="12">
        <f>R18/$E$10</f>
        <v>0</v>
      </c>
      <c r="AA26" s="9" t="s">
        <v>130</v>
      </c>
      <c r="AB26" s="12">
        <f t="shared" ref="AB26:AD27" si="2">(L17/P17)-1</f>
        <v>22.645382269312215</v>
      </c>
      <c r="AC26" s="12">
        <f t="shared" si="2"/>
        <v>18.058100389162316</v>
      </c>
      <c r="AD26" s="12">
        <f t="shared" si="2"/>
        <v>11.897911852438936</v>
      </c>
    </row>
    <row r="27" spans="2:34">
      <c r="F27" s="9"/>
      <c r="G27" s="9"/>
      <c r="I27" s="12"/>
      <c r="J27" s="12"/>
      <c r="L27" s="12"/>
      <c r="M27" s="12"/>
      <c r="N27" s="12"/>
      <c r="P27" s="12"/>
      <c r="Q27" s="12"/>
      <c r="R27" s="12"/>
      <c r="AA27" s="9" t="s">
        <v>450</v>
      </c>
      <c r="AB27" s="12" t="e">
        <f t="shared" si="2"/>
        <v>#DIV/0!</v>
      </c>
      <c r="AC27" s="12" t="e">
        <f t="shared" si="2"/>
        <v>#DIV/0!</v>
      </c>
      <c r="AD27" s="12" t="e">
        <f t="shared" si="2"/>
        <v>#DIV/0!</v>
      </c>
    </row>
    <row r="28" spans="2:34">
      <c r="F28" s="9" t="s">
        <v>460</v>
      </c>
      <c r="G28" s="9"/>
      <c r="H28" s="12"/>
      <c r="I28" s="12"/>
      <c r="J28" s="12"/>
      <c r="L28" s="12"/>
      <c r="M28" s="12"/>
      <c r="N28" s="12"/>
      <c r="P28" s="12"/>
      <c r="Q28" s="12"/>
      <c r="R28" s="12"/>
      <c r="AA28" s="9" t="s">
        <v>454</v>
      </c>
      <c r="AB28" s="12">
        <f>(L23/P23)-1</f>
        <v>-0.95770844435457347</v>
      </c>
      <c r="AC28" s="12">
        <f>(M23/Q23)-1</f>
        <v>-0.96567741396590467</v>
      </c>
      <c r="AD28" s="12">
        <f>(N23/R23)-1</f>
        <v>-0.9794201321569459</v>
      </c>
    </row>
    <row r="29" spans="2:34">
      <c r="E29" s="30">
        <v>6.6</v>
      </c>
      <c r="F29" s="9" t="s">
        <v>461</v>
      </c>
      <c r="G29" s="9"/>
      <c r="H29" s="12">
        <f>($E29/H$23)-1</f>
        <v>-0.74882571039512302</v>
      </c>
      <c r="I29" s="12">
        <f>($E29/I$23)-1</f>
        <v>-0.51133344409428427</v>
      </c>
      <c r="J29" s="12">
        <f>($E29/J$23)-1</f>
        <v>-0.37127019564803387</v>
      </c>
      <c r="L29" s="12">
        <f>($E29/L$23)-1</f>
        <v>5.5272069802715471</v>
      </c>
      <c r="M29" s="12">
        <f>($E29/M$23)-1</f>
        <v>8.5556649781397436</v>
      </c>
      <c r="N29" s="12">
        <f>($E29/N$23)-1</f>
        <v>23.967493124576016</v>
      </c>
      <c r="P29" s="12">
        <f>($E29/P$23)-1</f>
        <v>-0.72395426278462915</v>
      </c>
      <c r="Q29" s="12">
        <f>($E29/Q$23)-1</f>
        <v>-0.67202486667480699</v>
      </c>
      <c r="R29" s="12">
        <f>($E29/R$23)-1</f>
        <v>-0.48617229112386429</v>
      </c>
    </row>
    <row r="30" spans="2:34">
      <c r="E30" s="30">
        <v>6.2</v>
      </c>
      <c r="F30" s="9" t="s">
        <v>462</v>
      </c>
      <c r="G30" s="9"/>
      <c r="H30" s="12">
        <f t="shared" ref="H30:R31" si="3">($E30/H$23)-1</f>
        <v>-0.76404839461360041</v>
      </c>
      <c r="I30" s="12">
        <f t="shared" si="3"/>
        <v>-0.54094959899766093</v>
      </c>
      <c r="J30" s="12">
        <f t="shared" si="3"/>
        <v>-0.40937503227542571</v>
      </c>
      <c r="L30" s="12">
        <f t="shared" si="3"/>
        <v>5.1316186784369089</v>
      </c>
      <c r="M30" s="12">
        <f t="shared" si="3"/>
        <v>7.9765337673433958</v>
      </c>
      <c r="N30" s="12">
        <f t="shared" si="3"/>
        <v>22.454311723086562</v>
      </c>
      <c r="P30" s="12">
        <f t="shared" si="3"/>
        <v>-0.74068430746434866</v>
      </c>
      <c r="Q30" s="12">
        <f t="shared" si="3"/>
        <v>-0.69190214748239443</v>
      </c>
      <c r="R30" s="12">
        <f t="shared" si="3"/>
        <v>-0.5173133643890846</v>
      </c>
    </row>
    <row r="31" spans="2:34">
      <c r="E31" s="30">
        <v>5.8</v>
      </c>
      <c r="F31" s="9" t="s">
        <v>463</v>
      </c>
      <c r="G31" s="9"/>
      <c r="H31" s="12">
        <f t="shared" si="3"/>
        <v>-0.7792710788320778</v>
      </c>
      <c r="I31" s="12">
        <f t="shared" si="3"/>
        <v>-0.57056575390103759</v>
      </c>
      <c r="J31" s="12">
        <f t="shared" si="3"/>
        <v>-0.44747986890281766</v>
      </c>
      <c r="L31" s="12">
        <f t="shared" si="3"/>
        <v>4.7360303766022689</v>
      </c>
      <c r="M31" s="12">
        <f t="shared" si="3"/>
        <v>7.3974025565470463</v>
      </c>
      <c r="N31" s="12">
        <f t="shared" si="3"/>
        <v>20.941130321597107</v>
      </c>
      <c r="P31" s="12">
        <f t="shared" si="3"/>
        <v>-0.75741435214406816</v>
      </c>
      <c r="Q31" s="12">
        <f t="shared" si="3"/>
        <v>-0.71177942828998186</v>
      </c>
      <c r="R31" s="12">
        <f t="shared" si="3"/>
        <v>-0.54845443765430502</v>
      </c>
    </row>
    <row r="32" spans="2:34">
      <c r="B32" s="31"/>
      <c r="E32" s="30"/>
      <c r="F32" s="9"/>
      <c r="G32" s="9"/>
      <c r="M32" s="5"/>
      <c r="Q32" s="5"/>
    </row>
    <row r="33" spans="2:39" ht="18">
      <c r="E33" s="30"/>
      <c r="F33" s="32"/>
      <c r="G33" s="9"/>
      <c r="H33" s="1385" t="s">
        <v>440</v>
      </c>
      <c r="I33" s="1385"/>
      <c r="J33" s="1385"/>
      <c r="L33" s="1385" t="s">
        <v>441</v>
      </c>
      <c r="M33" s="1385"/>
      <c r="N33" s="1385"/>
      <c r="P33" s="1385" t="s">
        <v>442</v>
      </c>
      <c r="Q33" s="1385"/>
      <c r="R33" s="1385"/>
    </row>
    <row r="34" spans="2:39" ht="18.5" thickBot="1">
      <c r="E34" s="30"/>
      <c r="F34" s="33" t="s">
        <v>464</v>
      </c>
      <c r="G34" s="9"/>
      <c r="H34" s="14" t="s">
        <v>445</v>
      </c>
      <c r="I34" s="14" t="s">
        <v>446</v>
      </c>
      <c r="J34" s="14" t="s">
        <v>447</v>
      </c>
      <c r="L34" s="14" t="s">
        <v>445</v>
      </c>
      <c r="M34" s="14" t="s">
        <v>446</v>
      </c>
      <c r="N34" s="14" t="s">
        <v>447</v>
      </c>
      <c r="P34" s="14" t="s">
        <v>445</v>
      </c>
      <c r="Q34" s="14" t="s">
        <v>446</v>
      </c>
      <c r="R34" s="14" t="s">
        <v>447</v>
      </c>
    </row>
    <row r="35" spans="2:39">
      <c r="E35" s="30"/>
      <c r="F35" s="34"/>
      <c r="M35" s="5"/>
      <c r="Q35" s="5"/>
    </row>
    <row r="36" spans="2:39">
      <c r="E36" s="30"/>
      <c r="F36" s="9" t="s">
        <v>465</v>
      </c>
      <c r="G36" s="9"/>
      <c r="H36" s="1113">
        <f>[4]Model!T443</f>
        <v>80.445349999999991</v>
      </c>
      <c r="I36" s="1113">
        <f>[4]Model!W443</f>
        <v>90</v>
      </c>
      <c r="J36" s="1113">
        <f>[4]Model!Z443</f>
        <v>75</v>
      </c>
      <c r="M36" s="1113">
        <f>[5]Model!$AF$5</f>
        <v>81.47</v>
      </c>
      <c r="N36" s="1113">
        <f>M36</f>
        <v>81.47</v>
      </c>
      <c r="Q36" s="5"/>
    </row>
    <row r="37" spans="2:39">
      <c r="E37" s="30"/>
      <c r="F37" s="9" t="s">
        <v>146</v>
      </c>
      <c r="G37" s="9"/>
      <c r="H37" s="1113">
        <f>[4]Model!T252</f>
        <v>6161.5990423387102</v>
      </c>
      <c r="I37" s="1113">
        <f>[4]Model!W252</f>
        <v>6300</v>
      </c>
      <c r="J37" s="1113">
        <f>[4]Model!Z252</f>
        <v>6500</v>
      </c>
      <c r="M37" s="1113">
        <f>[5]Model!$AG$5</f>
        <v>5728</v>
      </c>
      <c r="N37" s="1113">
        <f>M37</f>
        <v>5728</v>
      </c>
      <c r="Q37" s="5"/>
    </row>
    <row r="38" spans="2:39">
      <c r="B38" s="35"/>
      <c r="E38" s="30"/>
      <c r="F38" s="9" t="s">
        <v>466</v>
      </c>
      <c r="G38" s="9"/>
      <c r="H38" s="1113">
        <f>[4]Model!T528</f>
        <v>99.721193216232578</v>
      </c>
      <c r="I38" s="1113">
        <f>[4]Model!W528</f>
        <v>75</v>
      </c>
      <c r="J38" s="1113">
        <f>[4]Model!Z528</f>
        <v>75</v>
      </c>
      <c r="M38" s="1113">
        <f>[5]Model!$AH$5</f>
        <v>65.600000000000009</v>
      </c>
      <c r="N38" s="1113">
        <f>M38</f>
        <v>65.600000000000009</v>
      </c>
      <c r="Q38" s="5"/>
      <c r="T38" s="34"/>
      <c r="U38" s="34"/>
      <c r="V38" s="15"/>
      <c r="W38" s="34"/>
      <c r="X38" s="34"/>
      <c r="Y38" s="15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4"/>
    </row>
    <row r="39" spans="2:39" ht="18">
      <c r="E39" s="30"/>
      <c r="F39" s="9" t="s">
        <v>467</v>
      </c>
      <c r="G39" s="9"/>
      <c r="H39" s="1113">
        <f>[4]Model!T488</f>
        <v>204.56035</v>
      </c>
      <c r="I39" s="1113">
        <f>[4]Model!W488</f>
        <v>160</v>
      </c>
      <c r="J39" s="1113">
        <f>[4]Model!Z488</f>
        <v>155</v>
      </c>
      <c r="M39" s="1113">
        <f>[5]Model!$AI$5</f>
        <v>149</v>
      </c>
      <c r="N39" s="1113">
        <f>M39</f>
        <v>149</v>
      </c>
      <c r="Q39" s="5"/>
      <c r="T39" s="34"/>
      <c r="U39" s="34"/>
      <c r="V39" s="15"/>
      <c r="W39" s="34"/>
      <c r="X39" s="34"/>
      <c r="Y39" s="15"/>
      <c r="Z39" s="34"/>
      <c r="AA39" s="34"/>
      <c r="AB39" s="1391"/>
      <c r="AC39" s="1391"/>
      <c r="AD39" s="1391"/>
      <c r="AE39" s="34"/>
      <c r="AF39" s="1391"/>
      <c r="AG39" s="1391"/>
      <c r="AH39" s="1391"/>
      <c r="AI39" s="34"/>
      <c r="AJ39" s="34"/>
      <c r="AK39" s="34"/>
      <c r="AL39" s="34"/>
      <c r="AM39" s="34"/>
    </row>
    <row r="40" spans="2:39">
      <c r="E40" s="30"/>
      <c r="F40" s="9"/>
      <c r="G40" s="9"/>
      <c r="T40" s="34"/>
      <c r="U40" s="34"/>
      <c r="V40" s="34"/>
      <c r="W40" s="34"/>
      <c r="X40" s="34"/>
      <c r="Y40" s="15"/>
      <c r="Z40" s="34"/>
      <c r="AA40" s="34"/>
      <c r="AB40" s="15"/>
      <c r="AC40" s="15"/>
      <c r="AD40" s="15"/>
      <c r="AE40" s="34"/>
      <c r="AF40" s="15"/>
      <c r="AG40" s="15"/>
      <c r="AH40" s="15"/>
      <c r="AI40" s="34"/>
      <c r="AJ40" s="34"/>
      <c r="AK40" s="34"/>
      <c r="AL40" s="34"/>
      <c r="AM40" s="34"/>
    </row>
    <row r="41" spans="2:39">
      <c r="E41" s="30"/>
      <c r="F41" s="9"/>
      <c r="G41" s="9"/>
      <c r="T41" s="34"/>
      <c r="U41" s="34"/>
      <c r="V41" s="34"/>
      <c r="W41" s="34"/>
      <c r="X41" s="34"/>
      <c r="Y41" s="15"/>
      <c r="Z41" s="34"/>
      <c r="AA41" s="34"/>
      <c r="AB41" s="15"/>
      <c r="AC41" s="15"/>
      <c r="AD41" s="15"/>
      <c r="AE41" s="34"/>
      <c r="AF41" s="15"/>
      <c r="AG41" s="15"/>
      <c r="AH41" s="15"/>
      <c r="AI41" s="34"/>
      <c r="AJ41" s="34"/>
      <c r="AK41" s="34"/>
      <c r="AL41" s="34"/>
      <c r="AM41" s="34"/>
    </row>
    <row r="42" spans="2:39">
      <c r="E42" s="30"/>
      <c r="F42" s="9"/>
      <c r="G42" s="9"/>
      <c r="T42" s="34"/>
      <c r="U42" s="34"/>
      <c r="V42" s="34"/>
      <c r="W42" s="34"/>
      <c r="X42" s="34"/>
      <c r="Y42" s="15"/>
      <c r="Z42" s="34"/>
      <c r="AA42" s="34"/>
      <c r="AB42" s="15"/>
      <c r="AC42" s="15"/>
      <c r="AD42" s="15"/>
      <c r="AE42" s="34"/>
      <c r="AF42" s="15"/>
      <c r="AG42" s="15"/>
      <c r="AH42" s="15"/>
      <c r="AI42" s="34"/>
      <c r="AJ42" s="34"/>
      <c r="AK42" s="34"/>
      <c r="AL42" s="34"/>
      <c r="AM42" s="34"/>
    </row>
    <row r="43" spans="2:39">
      <c r="E43" s="30"/>
      <c r="F43" s="9"/>
      <c r="G43" s="9"/>
      <c r="T43" s="34"/>
      <c r="U43" s="34"/>
      <c r="V43" s="34"/>
      <c r="W43" s="34"/>
      <c r="X43" s="34"/>
      <c r="Y43" s="15"/>
      <c r="Z43" s="34"/>
      <c r="AA43" s="34"/>
      <c r="AB43" s="15"/>
      <c r="AC43" s="15"/>
      <c r="AD43" s="15"/>
      <c r="AE43" s="34"/>
      <c r="AF43" s="15"/>
      <c r="AG43" s="15"/>
      <c r="AH43" s="15"/>
      <c r="AI43" s="34"/>
      <c r="AJ43" s="34"/>
      <c r="AK43" s="34"/>
      <c r="AL43" s="34"/>
      <c r="AM43" s="34"/>
    </row>
    <row r="44" spans="2:39">
      <c r="E44" s="30"/>
      <c r="F44" s="9"/>
      <c r="G44" s="9"/>
      <c r="T44" s="34"/>
      <c r="U44" s="34"/>
      <c r="V44" s="34"/>
      <c r="W44" s="34"/>
      <c r="X44" s="34"/>
      <c r="Y44" s="15"/>
      <c r="Z44" s="34"/>
      <c r="AA44" s="34"/>
      <c r="AB44" s="15"/>
      <c r="AC44" s="15"/>
      <c r="AD44" s="15"/>
      <c r="AE44" s="34"/>
      <c r="AF44" s="15"/>
      <c r="AG44" s="15"/>
      <c r="AH44" s="15"/>
      <c r="AI44" s="34"/>
      <c r="AJ44" s="34"/>
      <c r="AK44" s="34"/>
      <c r="AL44" s="34"/>
      <c r="AM44" s="34"/>
    </row>
    <row r="45" spans="2:39">
      <c r="E45" s="30"/>
      <c r="F45" s="9"/>
      <c r="G45" s="9"/>
      <c r="T45" s="34"/>
      <c r="U45" s="34"/>
      <c r="V45" s="34"/>
      <c r="W45" s="34"/>
      <c r="X45" s="34"/>
      <c r="Y45" s="15"/>
      <c r="Z45" s="34"/>
      <c r="AA45" s="34"/>
      <c r="AB45" s="15"/>
      <c r="AC45" s="15"/>
      <c r="AD45" s="15"/>
      <c r="AE45" s="34"/>
      <c r="AF45" s="15"/>
      <c r="AG45" s="15"/>
      <c r="AH45" s="15"/>
      <c r="AI45" s="34"/>
      <c r="AJ45" s="34"/>
      <c r="AK45" s="34"/>
      <c r="AL45" s="34"/>
      <c r="AM45" s="34"/>
    </row>
    <row r="46" spans="2:39">
      <c r="E46" s="30"/>
      <c r="F46" s="9"/>
      <c r="G46" s="9"/>
      <c r="T46" s="34"/>
      <c r="U46" s="34"/>
      <c r="V46" s="34"/>
      <c r="W46" s="34"/>
      <c r="X46" s="34"/>
      <c r="Y46" s="15"/>
      <c r="Z46" s="34"/>
      <c r="AA46" s="34"/>
      <c r="AB46" s="15"/>
      <c r="AC46" s="15"/>
      <c r="AD46" s="15"/>
      <c r="AE46" s="34"/>
      <c r="AF46" s="15"/>
      <c r="AG46" s="15"/>
      <c r="AH46" s="15"/>
      <c r="AI46" s="34"/>
      <c r="AJ46" s="34"/>
      <c r="AK46" s="34"/>
      <c r="AL46" s="34"/>
      <c r="AM46" s="34"/>
    </row>
    <row r="47" spans="2:39">
      <c r="E47" s="30"/>
      <c r="F47" s="9"/>
      <c r="G47" s="9"/>
      <c r="T47" s="34"/>
      <c r="U47" s="34"/>
      <c r="V47" s="34"/>
      <c r="W47" s="34"/>
      <c r="X47" s="34"/>
      <c r="Y47" s="15"/>
      <c r="Z47" s="34"/>
      <c r="AA47" s="34"/>
      <c r="AB47" s="15"/>
      <c r="AC47" s="15"/>
      <c r="AD47" s="15"/>
      <c r="AE47" s="34"/>
      <c r="AF47" s="15"/>
      <c r="AG47" s="15"/>
      <c r="AH47" s="15"/>
      <c r="AI47" s="34"/>
      <c r="AJ47" s="34"/>
      <c r="AK47" s="34"/>
      <c r="AL47" s="34"/>
      <c r="AM47" s="34"/>
    </row>
    <row r="48" spans="2:39">
      <c r="E48" s="30"/>
      <c r="F48" s="9"/>
      <c r="G48" s="9"/>
      <c r="T48" s="34"/>
      <c r="U48" s="34"/>
      <c r="V48" s="34"/>
      <c r="W48" s="34"/>
      <c r="X48" s="34"/>
      <c r="Y48" s="15"/>
      <c r="Z48" s="34"/>
      <c r="AA48" s="34"/>
      <c r="AB48" s="15"/>
      <c r="AC48" s="15"/>
      <c r="AD48" s="15"/>
      <c r="AE48" s="34"/>
      <c r="AF48" s="15"/>
      <c r="AG48" s="15"/>
      <c r="AH48" s="15"/>
      <c r="AI48" s="34"/>
      <c r="AJ48" s="34"/>
      <c r="AK48" s="34"/>
      <c r="AL48" s="34"/>
      <c r="AM48" s="34"/>
    </row>
    <row r="49" spans="5:39">
      <c r="E49" s="30"/>
      <c r="F49" s="9"/>
      <c r="G49" s="9"/>
      <c r="T49" s="34"/>
      <c r="U49" s="34"/>
      <c r="V49" s="34"/>
      <c r="W49" s="34"/>
      <c r="X49" s="34"/>
      <c r="Y49" s="15"/>
      <c r="Z49" s="34"/>
      <c r="AA49" s="34"/>
      <c r="AB49" s="15"/>
      <c r="AC49" s="15"/>
      <c r="AD49" s="15"/>
      <c r="AE49" s="34"/>
      <c r="AF49" s="15"/>
      <c r="AG49" s="15"/>
      <c r="AH49" s="15"/>
      <c r="AI49" s="34"/>
      <c r="AJ49" s="34"/>
      <c r="AK49" s="34"/>
      <c r="AL49" s="34"/>
      <c r="AM49" s="34"/>
    </row>
    <row r="50" spans="5:39">
      <c r="E50" s="30"/>
      <c r="F50" s="9"/>
      <c r="G50" s="9"/>
      <c r="T50" s="34"/>
      <c r="U50" s="34"/>
      <c r="V50" s="34"/>
      <c r="W50" s="34"/>
      <c r="X50" s="34"/>
      <c r="Y50" s="15"/>
      <c r="Z50" s="34"/>
      <c r="AA50" s="34"/>
      <c r="AB50" s="15"/>
      <c r="AC50" s="15"/>
      <c r="AD50" s="15"/>
      <c r="AE50" s="34"/>
      <c r="AF50" s="15"/>
      <c r="AG50" s="15"/>
      <c r="AH50" s="15"/>
      <c r="AI50" s="34"/>
      <c r="AJ50" s="34"/>
      <c r="AK50" s="34"/>
      <c r="AL50" s="34"/>
      <c r="AM50" s="34"/>
    </row>
    <row r="51" spans="5:39">
      <c r="E51" s="30"/>
      <c r="F51" s="9"/>
      <c r="G51" s="9"/>
      <c r="T51" s="34"/>
      <c r="U51" s="34"/>
      <c r="V51" s="34"/>
      <c r="W51" s="34"/>
      <c r="X51" s="34"/>
      <c r="Y51" s="15"/>
      <c r="Z51" s="34"/>
      <c r="AA51" s="34"/>
      <c r="AB51" s="15"/>
      <c r="AC51" s="15"/>
      <c r="AD51" s="15"/>
      <c r="AE51" s="34"/>
      <c r="AF51" s="15"/>
      <c r="AG51" s="15"/>
      <c r="AH51" s="15"/>
      <c r="AI51" s="34"/>
      <c r="AJ51" s="34"/>
      <c r="AK51" s="34"/>
      <c r="AL51" s="34"/>
      <c r="AM51" s="34"/>
    </row>
    <row r="52" spans="5:39">
      <c r="E52" s="30"/>
      <c r="F52" s="9"/>
      <c r="G52" s="9"/>
      <c r="T52" s="34"/>
      <c r="U52" s="34"/>
      <c r="V52" s="34"/>
      <c r="W52" s="34"/>
      <c r="X52" s="34"/>
      <c r="Y52" s="15"/>
      <c r="Z52" s="34"/>
      <c r="AA52" s="34"/>
      <c r="AB52" s="15"/>
      <c r="AC52" s="15"/>
      <c r="AD52" s="15"/>
      <c r="AE52" s="34"/>
      <c r="AF52" s="15"/>
      <c r="AG52" s="15"/>
      <c r="AH52" s="15"/>
      <c r="AI52" s="34"/>
      <c r="AJ52" s="34"/>
      <c r="AK52" s="34"/>
      <c r="AL52" s="34"/>
      <c r="AM52" s="34"/>
    </row>
    <row r="53" spans="5:39">
      <c r="E53" s="30"/>
      <c r="F53" s="9"/>
      <c r="G53" s="9"/>
      <c r="T53" s="34"/>
      <c r="U53" s="34"/>
      <c r="V53" s="34"/>
      <c r="W53" s="34"/>
      <c r="X53" s="34"/>
      <c r="Y53" s="15"/>
      <c r="Z53" s="34"/>
      <c r="AA53" s="34"/>
      <c r="AB53" s="15"/>
      <c r="AC53" s="15"/>
      <c r="AD53" s="15"/>
      <c r="AE53" s="34"/>
      <c r="AF53" s="15"/>
      <c r="AG53" s="15"/>
      <c r="AH53" s="15"/>
      <c r="AI53" s="34"/>
      <c r="AJ53" s="34"/>
      <c r="AK53" s="34"/>
      <c r="AL53" s="34"/>
      <c r="AM53" s="34"/>
    </row>
    <row r="54" spans="5:39">
      <c r="E54" s="30"/>
      <c r="F54" s="9"/>
      <c r="G54" s="9"/>
      <c r="T54" s="34"/>
      <c r="U54" s="34"/>
      <c r="V54" s="34"/>
      <c r="W54" s="34"/>
      <c r="X54" s="34"/>
      <c r="Y54" s="15"/>
      <c r="Z54" s="34"/>
      <c r="AA54" s="34"/>
      <c r="AB54" s="15"/>
      <c r="AC54" s="15"/>
      <c r="AD54" s="15"/>
      <c r="AE54" s="34"/>
      <c r="AF54" s="15"/>
      <c r="AG54" s="15"/>
      <c r="AH54" s="15"/>
      <c r="AI54" s="34"/>
      <c r="AJ54" s="34"/>
      <c r="AK54" s="34"/>
      <c r="AL54" s="34"/>
      <c r="AM54" s="34"/>
    </row>
    <row r="55" spans="5:39">
      <c r="E55" s="30"/>
      <c r="F55" s="9"/>
      <c r="G55" s="9"/>
      <c r="T55" s="34"/>
      <c r="U55" s="34"/>
      <c r="V55" s="34"/>
      <c r="W55" s="34"/>
      <c r="X55" s="34"/>
      <c r="Y55" s="15"/>
      <c r="Z55" s="34"/>
      <c r="AA55" s="34"/>
      <c r="AB55" s="15"/>
      <c r="AC55" s="15"/>
      <c r="AD55" s="15"/>
      <c r="AE55" s="34"/>
      <c r="AF55" s="15"/>
      <c r="AG55" s="15"/>
      <c r="AH55" s="15"/>
      <c r="AI55" s="34"/>
      <c r="AJ55" s="34"/>
      <c r="AK55" s="34"/>
      <c r="AL55" s="34"/>
      <c r="AM55" s="34"/>
    </row>
    <row r="56" spans="5:39">
      <c r="E56" s="30"/>
      <c r="F56" s="9"/>
      <c r="G56" s="9"/>
      <c r="T56" s="34"/>
      <c r="U56" s="34"/>
      <c r="V56" s="34"/>
      <c r="W56" s="34"/>
      <c r="X56" s="34"/>
      <c r="Y56" s="15"/>
      <c r="Z56" s="34"/>
      <c r="AA56" s="34"/>
      <c r="AB56" s="15"/>
      <c r="AC56" s="15"/>
      <c r="AD56" s="15"/>
      <c r="AE56" s="34"/>
      <c r="AF56" s="15"/>
      <c r="AG56" s="15"/>
      <c r="AH56" s="15"/>
      <c r="AI56" s="34"/>
      <c r="AJ56" s="34"/>
      <c r="AK56" s="34"/>
      <c r="AL56" s="34"/>
      <c r="AM56" s="34"/>
    </row>
    <row r="57" spans="5:39">
      <c r="E57" s="30"/>
      <c r="F57" s="9"/>
      <c r="G57" s="9"/>
      <c r="T57" s="34"/>
      <c r="U57" s="34"/>
      <c r="V57" s="34"/>
      <c r="W57" s="34"/>
      <c r="X57" s="34"/>
      <c r="Y57" s="15"/>
      <c r="Z57" s="34"/>
      <c r="AA57" s="34"/>
      <c r="AB57" s="15"/>
      <c r="AC57" s="15"/>
      <c r="AD57" s="15"/>
      <c r="AE57" s="34"/>
      <c r="AF57" s="15"/>
      <c r="AG57" s="15"/>
      <c r="AH57" s="15"/>
      <c r="AI57" s="34"/>
      <c r="AJ57" s="34"/>
      <c r="AK57" s="34"/>
      <c r="AL57" s="34"/>
      <c r="AM57" s="34"/>
    </row>
    <row r="58" spans="5:39">
      <c r="E58" s="30"/>
      <c r="F58" s="9"/>
      <c r="G58" s="9"/>
      <c r="T58" s="34"/>
      <c r="U58" s="34"/>
      <c r="V58" s="34"/>
      <c r="W58" s="34"/>
      <c r="X58" s="34"/>
      <c r="Y58" s="15"/>
      <c r="Z58" s="34"/>
      <c r="AA58" s="34"/>
      <c r="AB58" s="15"/>
      <c r="AC58" s="15"/>
      <c r="AD58" s="15"/>
      <c r="AE58" s="34"/>
      <c r="AF58" s="15"/>
      <c r="AG58" s="15"/>
      <c r="AH58" s="15"/>
      <c r="AI58" s="34"/>
      <c r="AJ58" s="34"/>
      <c r="AK58" s="34"/>
      <c r="AL58" s="34"/>
      <c r="AM58" s="34"/>
    </row>
    <row r="59" spans="5:39">
      <c r="E59" s="30"/>
      <c r="F59" s="9"/>
      <c r="G59" s="9"/>
      <c r="T59" s="34"/>
      <c r="U59" s="34"/>
      <c r="V59" s="34"/>
      <c r="W59" s="34"/>
      <c r="X59" s="34"/>
      <c r="Y59" s="15"/>
      <c r="Z59" s="34"/>
      <c r="AA59" s="34"/>
      <c r="AB59" s="15"/>
      <c r="AC59" s="15"/>
      <c r="AD59" s="15"/>
      <c r="AE59" s="34"/>
      <c r="AF59" s="15"/>
      <c r="AG59" s="15"/>
      <c r="AH59" s="15"/>
      <c r="AI59" s="34"/>
      <c r="AJ59" s="34"/>
      <c r="AK59" s="34"/>
      <c r="AL59" s="34"/>
      <c r="AM59" s="34"/>
    </row>
    <row r="60" spans="5:39">
      <c r="E60" s="30"/>
      <c r="F60" s="9"/>
      <c r="G60" s="9"/>
      <c r="T60" s="34"/>
      <c r="U60" s="34"/>
      <c r="V60" s="34"/>
      <c r="W60" s="34"/>
      <c r="X60" s="34"/>
      <c r="Y60" s="15"/>
      <c r="Z60" s="34"/>
      <c r="AA60" s="34"/>
      <c r="AB60" s="15"/>
      <c r="AC60" s="15"/>
      <c r="AD60" s="15"/>
      <c r="AE60" s="34"/>
      <c r="AF60" s="15"/>
      <c r="AG60" s="15"/>
      <c r="AH60" s="15"/>
      <c r="AI60" s="34"/>
      <c r="AJ60" s="34"/>
      <c r="AK60" s="34"/>
      <c r="AL60" s="34"/>
      <c r="AM60" s="34"/>
    </row>
    <row r="61" spans="5:39">
      <c r="E61" s="30"/>
      <c r="F61" s="9"/>
      <c r="G61" s="9"/>
      <c r="T61" s="34"/>
      <c r="U61" s="34"/>
      <c r="V61" s="34"/>
      <c r="W61" s="34"/>
      <c r="X61" s="34"/>
      <c r="Y61" s="15"/>
      <c r="Z61" s="34"/>
      <c r="AA61" s="34"/>
      <c r="AB61" s="15"/>
      <c r="AC61" s="15"/>
      <c r="AD61" s="15"/>
      <c r="AE61" s="34"/>
      <c r="AF61" s="15"/>
      <c r="AG61" s="15"/>
      <c r="AH61" s="15"/>
      <c r="AI61" s="34"/>
      <c r="AJ61" s="34"/>
      <c r="AK61" s="34"/>
      <c r="AL61" s="34"/>
      <c r="AM61" s="34"/>
    </row>
    <row r="62" spans="5:39">
      <c r="E62" s="30"/>
      <c r="F62" s="9"/>
      <c r="G62" s="9"/>
      <c r="T62" s="34"/>
      <c r="U62" s="34"/>
      <c r="V62" s="34"/>
      <c r="W62" s="34"/>
      <c r="X62" s="34"/>
      <c r="Y62" s="15"/>
      <c r="Z62" s="34"/>
      <c r="AA62" s="34"/>
      <c r="AB62" s="15"/>
      <c r="AC62" s="15"/>
      <c r="AD62" s="15"/>
      <c r="AE62" s="34"/>
      <c r="AF62" s="15"/>
      <c r="AG62" s="15"/>
      <c r="AH62" s="15"/>
      <c r="AI62" s="34"/>
      <c r="AJ62" s="34"/>
      <c r="AK62" s="34"/>
      <c r="AL62" s="34"/>
      <c r="AM62" s="34"/>
    </row>
    <row r="63" spans="5:39">
      <c r="E63" s="30"/>
      <c r="F63" s="9"/>
      <c r="G63" s="9"/>
      <c r="T63" s="34"/>
      <c r="U63" s="34"/>
      <c r="V63" s="34"/>
      <c r="W63" s="34"/>
      <c r="X63" s="34"/>
      <c r="Y63" s="15"/>
      <c r="Z63" s="34"/>
      <c r="AA63" s="34"/>
      <c r="AB63" s="15"/>
      <c r="AC63" s="15"/>
      <c r="AD63" s="15"/>
      <c r="AE63" s="34"/>
      <c r="AF63" s="15"/>
      <c r="AG63" s="15"/>
      <c r="AH63" s="15"/>
      <c r="AI63" s="34"/>
      <c r="AJ63" s="34"/>
      <c r="AK63" s="34"/>
      <c r="AL63" s="34"/>
      <c r="AM63" s="34"/>
    </row>
    <row r="64" spans="5:39">
      <c r="E64" s="30"/>
      <c r="F64" s="9"/>
      <c r="G64" s="9"/>
      <c r="T64" s="34"/>
      <c r="U64" s="34"/>
      <c r="V64" s="34"/>
      <c r="W64" s="34"/>
      <c r="X64" s="34"/>
      <c r="Y64" s="15"/>
      <c r="Z64" s="34"/>
      <c r="AA64" s="34"/>
      <c r="AB64" s="15"/>
      <c r="AC64" s="15"/>
      <c r="AD64" s="15"/>
      <c r="AE64" s="34"/>
      <c r="AF64" s="15"/>
      <c r="AG64" s="15"/>
      <c r="AH64" s="15"/>
      <c r="AI64" s="34"/>
      <c r="AJ64" s="34"/>
      <c r="AK64" s="34"/>
      <c r="AL64" s="34"/>
      <c r="AM64" s="34"/>
    </row>
    <row r="65" spans="2:39">
      <c r="E65" s="30"/>
      <c r="F65" s="9"/>
      <c r="G65" s="9"/>
      <c r="T65" s="34"/>
      <c r="U65" s="34"/>
      <c r="V65" s="34"/>
      <c r="W65" s="34"/>
      <c r="X65" s="34"/>
      <c r="Y65" s="15"/>
      <c r="Z65" s="34"/>
      <c r="AA65" s="34"/>
      <c r="AB65" s="15"/>
      <c r="AC65" s="15"/>
      <c r="AD65" s="15"/>
      <c r="AE65" s="34"/>
      <c r="AF65" s="15"/>
      <c r="AG65" s="15"/>
      <c r="AH65" s="15"/>
      <c r="AI65" s="34"/>
      <c r="AJ65" s="34"/>
      <c r="AK65" s="34"/>
      <c r="AL65" s="34"/>
      <c r="AM65" s="34"/>
    </row>
    <row r="66" spans="2:39">
      <c r="E66" s="30"/>
      <c r="F66" s="9"/>
      <c r="G66" s="9"/>
      <c r="T66" s="34"/>
      <c r="U66" s="34"/>
      <c r="V66" s="34"/>
      <c r="W66" s="34"/>
      <c r="X66" s="34"/>
      <c r="Y66" s="15"/>
      <c r="Z66" s="34"/>
      <c r="AA66" s="34"/>
      <c r="AB66" s="15"/>
      <c r="AC66" s="15"/>
      <c r="AD66" s="15"/>
      <c r="AE66" s="34"/>
      <c r="AF66" s="15"/>
      <c r="AG66" s="15"/>
      <c r="AH66" s="15"/>
      <c r="AI66" s="34"/>
      <c r="AJ66" s="34"/>
      <c r="AK66" s="34"/>
      <c r="AL66" s="34"/>
      <c r="AM66" s="34"/>
    </row>
    <row r="67" spans="2:39">
      <c r="E67" s="30"/>
      <c r="F67" s="9"/>
      <c r="G67" s="9"/>
      <c r="T67" s="34"/>
      <c r="U67" s="34"/>
      <c r="V67" s="34"/>
      <c r="W67" s="34"/>
      <c r="X67" s="34"/>
      <c r="Y67" s="15"/>
      <c r="Z67" s="34"/>
      <c r="AA67" s="34"/>
      <c r="AB67" s="15"/>
      <c r="AC67" s="15"/>
      <c r="AD67" s="15"/>
      <c r="AE67" s="34"/>
      <c r="AF67" s="15"/>
      <c r="AG67" s="15"/>
      <c r="AH67" s="15"/>
      <c r="AI67" s="34"/>
      <c r="AJ67" s="34"/>
      <c r="AK67" s="34"/>
      <c r="AL67" s="34"/>
      <c r="AM67" s="34"/>
    </row>
    <row r="68" spans="2:39">
      <c r="E68" s="30"/>
      <c r="F68" s="9"/>
      <c r="G68" s="9"/>
      <c r="T68" s="34"/>
      <c r="U68" s="34"/>
      <c r="V68" s="34"/>
      <c r="W68" s="34"/>
      <c r="X68" s="34"/>
      <c r="Y68" s="15"/>
      <c r="Z68" s="34"/>
      <c r="AA68" s="34"/>
      <c r="AB68" s="15"/>
      <c r="AC68" s="15"/>
      <c r="AD68" s="15"/>
      <c r="AE68" s="34"/>
      <c r="AF68" s="15"/>
      <c r="AG68" s="15"/>
      <c r="AH68" s="15"/>
      <c r="AI68" s="34"/>
      <c r="AJ68" s="34"/>
      <c r="AK68" s="34"/>
      <c r="AL68" s="34"/>
      <c r="AM68" s="34"/>
    </row>
    <row r="69" spans="2:39">
      <c r="E69" s="30"/>
      <c r="F69" s="9"/>
      <c r="G69" s="9"/>
      <c r="T69" s="34"/>
      <c r="U69" s="34"/>
      <c r="V69" s="34"/>
      <c r="W69" s="34"/>
      <c r="X69" s="34"/>
      <c r="Y69" s="15"/>
      <c r="Z69" s="34"/>
      <c r="AA69" s="34"/>
      <c r="AB69" s="15"/>
      <c r="AC69" s="15"/>
      <c r="AD69" s="15"/>
      <c r="AE69" s="34"/>
      <c r="AF69" s="15"/>
      <c r="AG69" s="15"/>
      <c r="AH69" s="15"/>
      <c r="AI69" s="34"/>
      <c r="AJ69" s="34"/>
      <c r="AK69" s="34"/>
      <c r="AL69" s="34"/>
      <c r="AM69" s="34"/>
    </row>
    <row r="70" spans="2:39">
      <c r="E70" s="30"/>
      <c r="F70" s="9"/>
      <c r="G70" s="9"/>
      <c r="T70" s="34"/>
      <c r="U70" s="34"/>
      <c r="V70" s="34"/>
      <c r="W70" s="34"/>
      <c r="X70" s="34"/>
      <c r="Y70" s="15"/>
      <c r="Z70" s="34"/>
      <c r="AA70" s="34"/>
      <c r="AB70" s="15"/>
      <c r="AC70" s="15"/>
      <c r="AD70" s="15"/>
      <c r="AE70" s="34"/>
      <c r="AF70" s="15"/>
      <c r="AG70" s="15"/>
      <c r="AH70" s="15"/>
      <c r="AI70" s="34"/>
      <c r="AJ70" s="34"/>
      <c r="AK70" s="34"/>
      <c r="AL70" s="34"/>
      <c r="AM70" s="34"/>
    </row>
    <row r="71" spans="2:39">
      <c r="E71" s="30"/>
      <c r="F71" s="9"/>
      <c r="G71" s="9"/>
      <c r="T71" s="34"/>
      <c r="U71" s="34"/>
      <c r="V71" s="34"/>
      <c r="W71" s="34"/>
      <c r="X71" s="34"/>
      <c r="Y71" s="15"/>
      <c r="Z71" s="34"/>
      <c r="AA71" s="34"/>
      <c r="AB71" s="15"/>
      <c r="AC71" s="15"/>
      <c r="AD71" s="15"/>
      <c r="AE71" s="34"/>
      <c r="AF71" s="15"/>
      <c r="AG71" s="15"/>
      <c r="AH71" s="15"/>
      <c r="AI71" s="34"/>
      <c r="AJ71" s="34"/>
      <c r="AK71" s="34"/>
      <c r="AL71" s="34"/>
      <c r="AM71" s="34"/>
    </row>
    <row r="72" spans="2:39">
      <c r="E72" s="30"/>
      <c r="F72" s="9"/>
      <c r="G72" s="9"/>
      <c r="T72" s="34"/>
      <c r="U72" s="34"/>
      <c r="V72" s="34"/>
      <c r="W72" s="34"/>
      <c r="X72" s="34"/>
      <c r="Y72" s="15"/>
      <c r="Z72" s="34"/>
      <c r="AA72" s="34"/>
      <c r="AB72" s="15"/>
      <c r="AC72" s="15"/>
      <c r="AD72" s="15"/>
      <c r="AE72" s="34"/>
      <c r="AF72" s="15"/>
      <c r="AG72" s="15"/>
      <c r="AH72" s="15"/>
      <c r="AI72" s="34"/>
      <c r="AJ72" s="34"/>
      <c r="AK72" s="34"/>
      <c r="AL72" s="34"/>
      <c r="AM72" s="34"/>
    </row>
    <row r="73" spans="2:39">
      <c r="E73" s="30"/>
      <c r="F73" s="9"/>
      <c r="G73" s="9"/>
      <c r="T73" s="34"/>
      <c r="U73" s="34"/>
      <c r="V73" s="34"/>
      <c r="W73" s="34"/>
      <c r="X73" s="34"/>
      <c r="Y73" s="15"/>
      <c r="Z73" s="34"/>
      <c r="AA73" s="34"/>
      <c r="AB73" s="15"/>
      <c r="AC73" s="15"/>
      <c r="AD73" s="15"/>
      <c r="AE73" s="34"/>
      <c r="AF73" s="15"/>
      <c r="AG73" s="15"/>
      <c r="AH73" s="15"/>
      <c r="AI73" s="34"/>
      <c r="AJ73" s="34"/>
      <c r="AK73" s="34"/>
      <c r="AL73" s="34"/>
      <c r="AM73" s="34"/>
    </row>
    <row r="74" spans="2:39">
      <c r="E74" s="30"/>
      <c r="F74" s="9"/>
      <c r="G74" s="9"/>
      <c r="T74" s="34"/>
      <c r="U74" s="34"/>
      <c r="V74" s="34"/>
      <c r="W74" s="34"/>
      <c r="X74" s="34"/>
      <c r="Y74" s="15"/>
      <c r="Z74" s="34"/>
      <c r="AA74" s="34"/>
      <c r="AB74" s="15"/>
      <c r="AC74" s="15"/>
      <c r="AD74" s="15"/>
      <c r="AE74" s="34"/>
      <c r="AF74" s="15"/>
      <c r="AG74" s="15"/>
      <c r="AH74" s="15"/>
      <c r="AI74" s="34"/>
      <c r="AJ74" s="34"/>
      <c r="AK74" s="34"/>
      <c r="AL74" s="34"/>
      <c r="AM74" s="34"/>
    </row>
    <row r="75" spans="2:39">
      <c r="E75" s="30"/>
      <c r="F75" s="9"/>
      <c r="G75" s="9"/>
      <c r="T75" s="34"/>
      <c r="U75" s="34"/>
      <c r="V75" s="34"/>
      <c r="W75" s="34"/>
      <c r="X75" s="34"/>
      <c r="Y75" s="15"/>
      <c r="Z75" s="34"/>
      <c r="AA75" s="34"/>
      <c r="AB75" s="15"/>
      <c r="AC75" s="15"/>
      <c r="AD75" s="15"/>
      <c r="AE75" s="34"/>
      <c r="AF75" s="15"/>
      <c r="AG75" s="15"/>
      <c r="AH75" s="15"/>
      <c r="AI75" s="34"/>
      <c r="AJ75" s="34"/>
      <c r="AK75" s="34"/>
      <c r="AL75" s="34"/>
      <c r="AM75" s="34"/>
    </row>
    <row r="76" spans="2:39">
      <c r="E76" s="30"/>
      <c r="F76" s="9"/>
      <c r="G76" s="9"/>
      <c r="T76" s="34"/>
      <c r="U76" s="34"/>
      <c r="V76" s="34"/>
      <c r="W76" s="34"/>
      <c r="X76" s="34"/>
      <c r="Y76" s="15"/>
      <c r="Z76" s="34"/>
      <c r="AA76" s="34"/>
      <c r="AB76" s="15"/>
      <c r="AC76" s="15"/>
      <c r="AD76" s="15"/>
      <c r="AE76" s="34"/>
      <c r="AF76" s="15"/>
      <c r="AG76" s="15"/>
      <c r="AH76" s="15"/>
      <c r="AI76" s="34"/>
      <c r="AJ76" s="34"/>
      <c r="AK76" s="34"/>
      <c r="AL76" s="34"/>
      <c r="AM76" s="34"/>
    </row>
    <row r="77" spans="2:39">
      <c r="B77" s="35"/>
      <c r="E77" s="30"/>
      <c r="F77" s="9"/>
      <c r="G77" s="9"/>
      <c r="T77" s="34"/>
      <c r="U77" s="15"/>
      <c r="V77" s="15"/>
      <c r="W77" s="15"/>
      <c r="X77" s="15"/>
      <c r="Y77" s="15"/>
      <c r="Z77" s="34"/>
      <c r="AA77" s="34"/>
      <c r="AB77" s="34"/>
      <c r="AC77" s="15"/>
      <c r="AD77" s="34"/>
      <c r="AE77" s="34"/>
      <c r="AF77" s="34"/>
      <c r="AG77" s="15"/>
      <c r="AH77" s="34"/>
      <c r="AI77" s="34"/>
      <c r="AJ77" s="34"/>
      <c r="AK77" s="34"/>
      <c r="AL77" s="34"/>
      <c r="AM77" s="34"/>
    </row>
    <row r="78" spans="2:39">
      <c r="E78" s="30"/>
      <c r="F78" s="9"/>
      <c r="G78" s="9"/>
      <c r="T78" s="34"/>
      <c r="U78" s="15"/>
      <c r="V78" s="15"/>
      <c r="W78" s="15"/>
      <c r="X78" s="15"/>
      <c r="Y78" s="15"/>
      <c r="Z78" s="34"/>
      <c r="AA78" s="32"/>
      <c r="AB78" s="1138"/>
      <c r="AC78" s="1138"/>
      <c r="AD78" s="1138"/>
      <c r="AE78" s="15"/>
      <c r="AF78" s="1138"/>
      <c r="AG78" s="1138"/>
      <c r="AH78" s="1138"/>
      <c r="AI78" s="34"/>
      <c r="AJ78" s="34"/>
      <c r="AK78" s="34"/>
      <c r="AL78" s="34"/>
      <c r="AM78" s="34"/>
    </row>
    <row r="79" spans="2:39" ht="18">
      <c r="E79" s="30"/>
      <c r="F79" s="36"/>
      <c r="G79" s="36"/>
      <c r="H79" s="1386" t="s">
        <v>565</v>
      </c>
      <c r="I79" s="1386"/>
      <c r="J79" s="1386"/>
      <c r="K79" s="37"/>
      <c r="L79" s="1386" t="s">
        <v>441</v>
      </c>
      <c r="M79" s="1386"/>
      <c r="N79" s="1386"/>
      <c r="O79" s="37"/>
      <c r="P79" s="1386" t="s">
        <v>442</v>
      </c>
      <c r="Q79" s="1386"/>
      <c r="R79" s="1386"/>
      <c r="T79" s="34"/>
      <c r="U79" s="15"/>
      <c r="V79" s="15"/>
      <c r="W79" s="15"/>
      <c r="X79" s="15"/>
      <c r="Y79" s="15"/>
      <c r="Z79" s="34"/>
      <c r="AA79" s="32"/>
      <c r="AB79" s="1138"/>
      <c r="AC79" s="1138"/>
      <c r="AD79" s="1138"/>
      <c r="AE79" s="15"/>
      <c r="AF79" s="1138"/>
      <c r="AG79" s="1138"/>
      <c r="AH79" s="1138"/>
      <c r="AI79" s="34"/>
      <c r="AJ79" s="34"/>
      <c r="AK79" s="34"/>
      <c r="AL79" s="34"/>
      <c r="AM79" s="34"/>
    </row>
    <row r="80" spans="2:39" ht="18">
      <c r="E80" s="30"/>
      <c r="F80" s="36"/>
      <c r="G80" s="36"/>
      <c r="H80" s="38" t="s">
        <v>469</v>
      </c>
      <c r="I80" s="38" t="s">
        <v>470</v>
      </c>
      <c r="J80" s="38" t="s">
        <v>925</v>
      </c>
      <c r="K80" s="37"/>
      <c r="L80" s="38" t="s">
        <v>468</v>
      </c>
      <c r="M80" s="38" t="s">
        <v>469</v>
      </c>
      <c r="N80" s="38" t="s">
        <v>470</v>
      </c>
      <c r="O80" s="37"/>
      <c r="P80" s="38" t="s">
        <v>469</v>
      </c>
      <c r="Q80" s="38" t="s">
        <v>470</v>
      </c>
      <c r="R80" s="38" t="s">
        <v>925</v>
      </c>
      <c r="T80" s="34"/>
      <c r="U80" s="15"/>
      <c r="V80" s="15"/>
      <c r="W80" s="15"/>
      <c r="X80" s="15"/>
      <c r="Y80" s="15"/>
      <c r="Z80" s="34"/>
      <c r="AA80" s="32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</row>
    <row r="81" spans="2:39">
      <c r="E81" s="1132"/>
      <c r="F81" s="39"/>
      <c r="G81" s="39"/>
      <c r="H81" s="40"/>
      <c r="I81" s="40"/>
      <c r="J81" s="40"/>
      <c r="K81" s="41"/>
      <c r="L81" s="40"/>
      <c r="M81" s="40"/>
      <c r="N81" s="40"/>
      <c r="O81" s="41"/>
      <c r="P81" s="40"/>
      <c r="Q81" s="40"/>
      <c r="R81" s="40"/>
      <c r="T81" s="34"/>
      <c r="U81" s="1139"/>
      <c r="V81" s="1139"/>
      <c r="W81" s="1139"/>
      <c r="X81" s="1139"/>
      <c r="Y81" s="15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</row>
    <row r="82" spans="2:39" hidden="1">
      <c r="E82" s="1132"/>
      <c r="F82" s="39"/>
      <c r="G82" s="39"/>
      <c r="H82" s="41"/>
      <c r="I82" s="43"/>
      <c r="J82" s="41"/>
      <c r="K82" s="41"/>
      <c r="L82" s="41"/>
      <c r="M82" s="43"/>
      <c r="N82" s="41"/>
      <c r="O82" s="41"/>
      <c r="P82" s="41"/>
      <c r="Q82" s="43"/>
      <c r="R82" s="41"/>
      <c r="T82" s="34"/>
      <c r="U82" s="1140"/>
      <c r="V82" s="1140"/>
      <c r="W82" s="1140"/>
      <c r="X82" s="1140"/>
      <c r="Y82" s="15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</row>
    <row r="83" spans="2:39" ht="18">
      <c r="E83" s="1132"/>
      <c r="F83" s="44" t="s">
        <v>130</v>
      </c>
      <c r="G83" s="45"/>
      <c r="H83" s="52">
        <f t="shared" ref="H83:J84" si="4">H17</f>
        <v>919</v>
      </c>
      <c r="I83" s="52">
        <f t="shared" si="4"/>
        <v>1706.0700337612168</v>
      </c>
      <c r="J83" s="52">
        <f t="shared" si="4"/>
        <v>2064.7996795530653</v>
      </c>
      <c r="K83" s="1115"/>
      <c r="L83" s="46"/>
      <c r="M83" s="46">
        <f>'[6]Simplied Earns by BU'!AN134</f>
        <v>9161.9343643725442</v>
      </c>
      <c r="N83" s="46">
        <f>'[6]Simplied Earns by BU'!AT128</f>
        <v>7501.9343643725442</v>
      </c>
      <c r="O83" s="1115"/>
      <c r="P83" s="46">
        <f>P17</f>
        <v>1010</v>
      </c>
      <c r="Q83" s="46">
        <f>Q17</f>
        <v>1200</v>
      </c>
      <c r="R83" s="46">
        <f>R17</f>
        <v>1880</v>
      </c>
      <c r="T83" s="34"/>
      <c r="U83" s="34"/>
      <c r="V83" s="34"/>
      <c r="W83" s="34"/>
      <c r="X83" s="34"/>
      <c r="Y83" s="15"/>
      <c r="Z83" s="34"/>
      <c r="AA83" s="34"/>
      <c r="AB83" s="1391"/>
      <c r="AC83" s="1391"/>
      <c r="AD83" s="1391"/>
      <c r="AE83" s="34"/>
      <c r="AF83" s="34"/>
      <c r="AG83" s="34"/>
      <c r="AH83" s="34"/>
      <c r="AI83" s="34"/>
      <c r="AJ83" s="34"/>
      <c r="AK83" s="34"/>
      <c r="AL83" s="34"/>
      <c r="AM83" s="34"/>
    </row>
    <row r="84" spans="2:39" ht="18">
      <c r="B84" s="35"/>
      <c r="E84" s="1132"/>
      <c r="F84" s="44" t="s">
        <v>450</v>
      </c>
      <c r="G84" s="45"/>
      <c r="H84" s="46">
        <f t="shared" si="4"/>
        <v>556.19999999999993</v>
      </c>
      <c r="I84" s="46">
        <f t="shared" si="4"/>
        <v>1105.747704082059</v>
      </c>
      <c r="J84" s="46">
        <f t="shared" si="4"/>
        <v>1367.489118762081</v>
      </c>
      <c r="K84" s="1115"/>
      <c r="L84" s="46"/>
      <c r="M84" s="46">
        <f>[7]Models!$Q$891</f>
        <v>3886.4904808991346</v>
      </c>
      <c r="N84" s="46">
        <f>[7]Models!$T$891</f>
        <v>3953.7912279883158</v>
      </c>
      <c r="O84" s="1115"/>
      <c r="P84" s="48">
        <f>_xll.BDP($C$3,$P$2,$T$3,$T$7,$Q$3,$R$3)</f>
        <v>-278.86563397465449</v>
      </c>
      <c r="Q84" s="48">
        <f>_xll.BDP($C$3,$P$2,$T$3,$U$7,$Q$3,$R$3)</f>
        <v>-1806.3551652314238</v>
      </c>
      <c r="R84" s="48">
        <f>_xll.BDP($C$3,$P$2,$T$3,$V$7,$Q$3,$R$3)</f>
        <v>-298.57100000000003</v>
      </c>
      <c r="S84" s="49"/>
      <c r="T84" s="34"/>
      <c r="U84" s="1139"/>
      <c r="V84" s="1139"/>
      <c r="W84" s="1139"/>
      <c r="X84" s="1139"/>
      <c r="Y84" s="15"/>
      <c r="Z84" s="34"/>
      <c r="AA84" s="34"/>
      <c r="AB84" s="15"/>
      <c r="AC84" s="15"/>
      <c r="AD84" s="15"/>
      <c r="AE84" s="34"/>
      <c r="AF84" s="34"/>
      <c r="AG84" s="34"/>
      <c r="AH84" s="34"/>
      <c r="AI84" s="34"/>
      <c r="AJ84" s="34"/>
      <c r="AK84" s="34"/>
      <c r="AL84" s="34"/>
      <c r="AM84" s="34"/>
    </row>
    <row r="85" spans="2:39" ht="18" hidden="1">
      <c r="E85" s="1132"/>
      <c r="F85" s="44"/>
      <c r="G85" s="45"/>
      <c r="H85" s="46"/>
      <c r="I85" s="46"/>
      <c r="J85" s="46"/>
      <c r="K85" s="50"/>
      <c r="L85" s="51"/>
      <c r="M85" s="51"/>
      <c r="N85" s="51"/>
      <c r="O85" s="50"/>
      <c r="P85" s="51"/>
      <c r="Q85" s="51"/>
      <c r="R85" s="51"/>
      <c r="T85" s="34"/>
      <c r="U85" s="1140"/>
      <c r="V85" s="1140"/>
      <c r="W85" s="1140"/>
      <c r="X85" s="1140"/>
      <c r="Y85" s="15"/>
      <c r="Z85" s="34"/>
      <c r="AA85" s="34"/>
      <c r="AB85" s="15"/>
      <c r="AC85" s="15"/>
      <c r="AD85" s="15"/>
      <c r="AE85" s="34"/>
      <c r="AF85" s="34"/>
      <c r="AG85" s="34"/>
      <c r="AH85" s="34"/>
      <c r="AI85" s="34"/>
      <c r="AJ85" s="34"/>
      <c r="AK85" s="34"/>
      <c r="AL85" s="34"/>
      <c r="AM85" s="34"/>
    </row>
    <row r="86" spans="2:39" ht="18">
      <c r="E86" s="1132"/>
      <c r="F86" s="45"/>
      <c r="G86" s="45"/>
      <c r="H86" s="50"/>
      <c r="I86" s="1115"/>
      <c r="J86" s="50"/>
      <c r="K86" s="50"/>
      <c r="L86" s="50"/>
      <c r="M86" s="1115"/>
      <c r="N86" s="50"/>
      <c r="O86" s="50"/>
      <c r="P86" s="50"/>
      <c r="Q86" s="1115"/>
      <c r="R86" s="50"/>
      <c r="T86" s="34"/>
      <c r="U86" s="34"/>
      <c r="V86" s="34"/>
      <c r="W86" s="34"/>
      <c r="X86" s="34"/>
      <c r="Y86" s="15"/>
      <c r="Z86" s="34"/>
      <c r="AA86" s="32"/>
      <c r="AB86" s="1138"/>
      <c r="AC86" s="1138"/>
      <c r="AD86" s="1138"/>
      <c r="AE86" s="34"/>
      <c r="AF86" s="1141"/>
      <c r="AG86" s="1141"/>
      <c r="AH86" s="1141"/>
      <c r="AI86" s="34"/>
      <c r="AJ86" s="34"/>
      <c r="AK86" s="34"/>
      <c r="AL86" s="34"/>
      <c r="AM86" s="34"/>
    </row>
    <row r="87" spans="2:39" ht="18" hidden="1">
      <c r="E87" s="1132"/>
      <c r="F87" s="45"/>
      <c r="G87" s="45"/>
      <c r="H87" s="50"/>
      <c r="I87" s="1115"/>
      <c r="J87" s="50"/>
      <c r="K87" s="50"/>
      <c r="L87" s="50"/>
      <c r="M87" s="1115"/>
      <c r="N87" s="50"/>
      <c r="O87" s="50"/>
      <c r="P87" s="50"/>
      <c r="Q87" s="1115"/>
      <c r="R87" s="50"/>
      <c r="T87" s="34"/>
      <c r="U87" s="34"/>
      <c r="V87" s="34"/>
      <c r="W87" s="34"/>
      <c r="X87" s="34"/>
      <c r="Y87" s="15"/>
      <c r="Z87" s="34"/>
      <c r="AA87" s="32"/>
      <c r="AB87" s="1138"/>
      <c r="AC87" s="1138"/>
      <c r="AD87" s="1138"/>
      <c r="AE87" s="34"/>
      <c r="AF87" s="34"/>
      <c r="AG87" s="34"/>
      <c r="AH87" s="34"/>
      <c r="AI87" s="34"/>
      <c r="AJ87" s="34"/>
      <c r="AK87" s="34"/>
      <c r="AL87" s="34"/>
      <c r="AM87" s="34"/>
    </row>
    <row r="88" spans="2:39" ht="18">
      <c r="E88" s="1132"/>
      <c r="F88" s="44" t="s">
        <v>943</v>
      </c>
      <c r="G88" s="45"/>
      <c r="H88" s="52">
        <f>_xll.BDP($C$3,$B$7)</f>
        <v>24148.172209589997</v>
      </c>
      <c r="I88" s="52">
        <f>H88</f>
        <v>24148.172209589997</v>
      </c>
      <c r="J88" s="52">
        <f>I88</f>
        <v>24148.172209589997</v>
      </c>
      <c r="K88" s="50"/>
      <c r="L88" s="52"/>
      <c r="M88" s="52">
        <f>L88</f>
        <v>0</v>
      </c>
      <c r="N88" s="52">
        <f>M88</f>
        <v>0</v>
      </c>
      <c r="O88" s="50"/>
      <c r="P88" s="52">
        <f>_xll.BDP($C$3,$B$7,$U$3,$V$3)</f>
        <v>24148.172209589997</v>
      </c>
      <c r="Q88" s="52">
        <f>P88</f>
        <v>24148.172209589997</v>
      </c>
      <c r="R88" s="52">
        <f>Q88</f>
        <v>24148.172209589997</v>
      </c>
      <c r="T88" s="34"/>
      <c r="U88" s="34"/>
      <c r="V88" s="34"/>
      <c r="W88" s="34"/>
      <c r="X88" s="34"/>
      <c r="Y88" s="15"/>
      <c r="Z88" s="34"/>
      <c r="AA88" s="34"/>
      <c r="AB88" s="1138"/>
      <c r="AC88" s="1138"/>
      <c r="AD88" s="1138"/>
      <c r="AE88" s="34"/>
      <c r="AF88" s="34"/>
      <c r="AG88" s="34"/>
      <c r="AH88" s="34"/>
      <c r="AI88" s="34"/>
      <c r="AJ88" s="34"/>
      <c r="AK88" s="34"/>
      <c r="AL88" s="34"/>
      <c r="AM88" s="34"/>
    </row>
    <row r="89" spans="2:39" ht="18">
      <c r="E89" s="1132"/>
      <c r="F89" s="44" t="s">
        <v>454</v>
      </c>
      <c r="G89" s="45"/>
      <c r="H89" s="53">
        <f>H88/H83</f>
        <v>26.276574765603915</v>
      </c>
      <c r="I89" s="53">
        <f>H88/I83</f>
        <v>14.154267838790139</v>
      </c>
      <c r="J89" s="53">
        <f>H88/J83</f>
        <v>11.695164644163919</v>
      </c>
      <c r="K89" s="50"/>
      <c r="L89" s="53"/>
      <c r="M89" s="53">
        <f>L88/M83</f>
        <v>0</v>
      </c>
      <c r="N89" s="53">
        <f>L88/N83</f>
        <v>0</v>
      </c>
      <c r="O89" s="50"/>
      <c r="P89" s="53">
        <f>P88/P83</f>
        <v>23.90908139563366</v>
      </c>
      <c r="Q89" s="53">
        <f>P88/Q83</f>
        <v>20.123476841324997</v>
      </c>
      <c r="R89" s="53">
        <f>P88/R83</f>
        <v>12.844772451909574</v>
      </c>
      <c r="T89" s="34"/>
      <c r="U89" s="34"/>
      <c r="V89" s="34"/>
      <c r="W89" s="34"/>
      <c r="X89" s="34"/>
      <c r="Y89" s="15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</row>
    <row r="90" spans="2:39" ht="18">
      <c r="B90" s="35"/>
      <c r="C90" s="29"/>
      <c r="E90" s="1132"/>
      <c r="F90" s="44" t="s">
        <v>458</v>
      </c>
      <c r="G90" s="45"/>
      <c r="H90" s="54">
        <f>H84/H88</f>
        <v>2.3032799135791961E-2</v>
      </c>
      <c r="I90" s="54">
        <f>I84/I88</f>
        <v>4.5790120034133762E-2</v>
      </c>
      <c r="J90" s="54">
        <f>J84/J88</f>
        <v>5.6629094197821243E-2</v>
      </c>
      <c r="K90" s="55"/>
      <c r="L90" s="54"/>
      <c r="M90" s="54">
        <f>(M84/($E$9+$F$9))/$F$3</f>
        <v>0.24490301498375322</v>
      </c>
      <c r="N90" s="54">
        <f>(N84/($E$9+$F$9))/$F$3</f>
        <v>0.24914389913201088</v>
      </c>
      <c r="O90" s="55"/>
      <c r="P90" s="56">
        <f>(P84/$E$9)/$F$3</f>
        <v>-1.783031597983991E-2</v>
      </c>
      <c r="Q90" s="56">
        <f>(Q84/$E$9)/$F$3</f>
        <v>-0.11549606492860115</v>
      </c>
      <c r="R90" s="56">
        <f>(R84/$E$9)/$F$3</f>
        <v>-1.9090252163881313E-2</v>
      </c>
      <c r="T90" s="34"/>
      <c r="U90" s="34"/>
      <c r="V90" s="34"/>
      <c r="W90" s="34"/>
      <c r="X90" s="34"/>
      <c r="Y90" s="15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</row>
    <row r="91" spans="2:39" ht="18">
      <c r="B91" s="35"/>
      <c r="C91" s="29"/>
      <c r="E91" s="1132"/>
      <c r="F91" s="44"/>
      <c r="G91" s="45"/>
      <c r="H91" s="54"/>
      <c r="I91" s="54"/>
      <c r="J91" s="54"/>
      <c r="K91" s="55"/>
      <c r="L91" s="54"/>
      <c r="M91" s="54"/>
      <c r="N91" s="54"/>
      <c r="O91" s="55"/>
      <c r="P91" s="56"/>
      <c r="Q91" s="56"/>
      <c r="R91" s="56"/>
      <c r="T91" s="34"/>
      <c r="U91" s="34"/>
      <c r="V91" s="34"/>
      <c r="W91" s="34"/>
      <c r="X91" s="34"/>
      <c r="Y91" s="15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</row>
    <row r="92" spans="2:39" ht="18">
      <c r="B92" s="35"/>
      <c r="C92" s="29"/>
      <c r="E92" s="1132"/>
      <c r="F92" s="44" t="s">
        <v>944</v>
      </c>
      <c r="G92" s="45"/>
      <c r="H92" s="52">
        <f>H83*H93</f>
        <v>6433</v>
      </c>
      <c r="I92" s="52">
        <f>I83*I93</f>
        <v>11942.490236328518</v>
      </c>
      <c r="J92" s="52">
        <f>J83*J93</f>
        <v>14453.597756871457</v>
      </c>
      <c r="K92" s="55"/>
      <c r="L92" s="54"/>
      <c r="M92" s="54"/>
      <c r="N92" s="54"/>
      <c r="O92" s="55"/>
      <c r="P92" s="52">
        <f>P83*P93</f>
        <v>7070</v>
      </c>
      <c r="Q92" s="52">
        <f>Q83*Q93</f>
        <v>8400</v>
      </c>
      <c r="R92" s="52">
        <f>R83*R93</f>
        <v>13160</v>
      </c>
      <c r="T92" s="34"/>
      <c r="U92" s="34"/>
      <c r="V92" s="34"/>
      <c r="W92" s="34"/>
      <c r="X92" s="34"/>
      <c r="Y92" s="15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</row>
    <row r="93" spans="2:39" ht="18">
      <c r="B93" s="35"/>
      <c r="C93" s="29"/>
      <c r="E93" s="1132"/>
      <c r="F93" s="44" t="s">
        <v>945</v>
      </c>
      <c r="G93" s="45"/>
      <c r="H93" s="1142">
        <f>E101</f>
        <v>7</v>
      </c>
      <c r="I93" s="1142">
        <f>H93</f>
        <v>7</v>
      </c>
      <c r="J93" s="1142">
        <f>I93</f>
        <v>7</v>
      </c>
      <c r="K93" s="55"/>
      <c r="L93" s="54"/>
      <c r="M93" s="54"/>
      <c r="N93" s="54"/>
      <c r="O93" s="55"/>
      <c r="P93" s="1142">
        <f>E101</f>
        <v>7</v>
      </c>
      <c r="Q93" s="1142">
        <f>P93</f>
        <v>7</v>
      </c>
      <c r="R93" s="1142">
        <f>Q93</f>
        <v>7</v>
      </c>
      <c r="T93" s="34"/>
      <c r="U93" s="34"/>
      <c r="V93" s="34"/>
      <c r="W93" s="34"/>
      <c r="X93" s="34"/>
      <c r="Y93" s="15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</row>
    <row r="94" spans="2:39" ht="18">
      <c r="B94" s="35"/>
      <c r="C94" s="29"/>
      <c r="E94" s="1132"/>
      <c r="F94" s="44"/>
      <c r="G94" s="45"/>
      <c r="H94" s="54"/>
      <c r="I94" s="54"/>
      <c r="J94" s="54"/>
      <c r="K94" s="55"/>
      <c r="L94" s="54"/>
      <c r="M94" s="54"/>
      <c r="N94" s="54"/>
      <c r="O94" s="55"/>
      <c r="P94" s="56"/>
      <c r="Q94" s="56"/>
      <c r="R94" s="56"/>
      <c r="T94" s="34"/>
      <c r="U94" s="34"/>
      <c r="V94" s="34"/>
      <c r="W94" s="34"/>
      <c r="X94" s="34"/>
      <c r="Y94" s="15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</row>
    <row r="95" spans="2:39" ht="18">
      <c r="B95" s="35"/>
      <c r="C95" s="29"/>
      <c r="E95" s="1132"/>
      <c r="F95" s="44" t="s">
        <v>946</v>
      </c>
      <c r="G95" s="45"/>
      <c r="H95" s="52">
        <f>H88-H92</f>
        <v>17715.172209589997</v>
      </c>
      <c r="I95" s="52">
        <f>I88-I92</f>
        <v>12205.681973261479</v>
      </c>
      <c r="J95" s="52">
        <f>J88-J92</f>
        <v>9694.5744527185398</v>
      </c>
      <c r="K95" s="52"/>
      <c r="L95" s="52"/>
      <c r="M95" s="52"/>
      <c r="N95" s="52"/>
      <c r="O95" s="52"/>
      <c r="P95" s="52"/>
      <c r="Q95" s="52"/>
      <c r="R95" s="52"/>
      <c r="T95" s="34"/>
      <c r="U95" s="34"/>
      <c r="V95" s="34"/>
      <c r="W95" s="34"/>
      <c r="X95" s="34"/>
      <c r="Y95" s="15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</row>
    <row r="96" spans="2:39" ht="18">
      <c r="E96" s="1132"/>
      <c r="F96" s="44"/>
      <c r="G96" s="45"/>
      <c r="H96" s="54"/>
      <c r="I96" s="54"/>
      <c r="J96" s="54"/>
      <c r="K96" s="50"/>
      <c r="L96" s="54"/>
      <c r="M96" s="54" t="e">
        <f>M84/M88</f>
        <v>#DIV/0!</v>
      </c>
      <c r="N96" s="54" t="e">
        <f>N84/N88</f>
        <v>#DIV/0!</v>
      </c>
      <c r="O96" s="50"/>
      <c r="P96" s="56">
        <f>P84/P88</f>
        <v>-1.1548105237708559E-2</v>
      </c>
      <c r="Q96" s="56">
        <f>Q84/Q88</f>
        <v>-7.4802976786543851E-2</v>
      </c>
      <c r="R96" s="56">
        <f>R84/R88</f>
        <v>-1.2364124183337906E-2</v>
      </c>
      <c r="T96" s="34"/>
      <c r="U96" s="34"/>
      <c r="V96" s="34"/>
      <c r="W96" s="34"/>
      <c r="X96" s="34"/>
      <c r="Y96" s="15"/>
      <c r="Z96" s="34"/>
      <c r="AA96" s="34"/>
      <c r="AB96" s="1391"/>
      <c r="AC96" s="1391"/>
      <c r="AD96" s="1391"/>
      <c r="AE96" s="34"/>
      <c r="AF96" s="34"/>
      <c r="AG96" s="34"/>
      <c r="AH96" s="34"/>
      <c r="AI96" s="34"/>
      <c r="AJ96" s="34"/>
      <c r="AK96" s="34"/>
      <c r="AL96" s="34"/>
      <c r="AM96" s="34"/>
    </row>
    <row r="97" spans="1:39" ht="18" hidden="1">
      <c r="E97" s="1132"/>
      <c r="F97" s="44" t="s">
        <v>459</v>
      </c>
      <c r="G97" s="45"/>
      <c r="H97" s="54">
        <f>H84/$E$10</f>
        <v>3.4967558044207585E-2</v>
      </c>
      <c r="I97" s="54">
        <f>I84/$E$10</f>
        <v>6.9516895046275937E-2</v>
      </c>
      <c r="J97" s="54">
        <f>J84/$E$10</f>
        <v>8.5972231454756132E-2</v>
      </c>
      <c r="K97" s="50"/>
      <c r="L97" s="54"/>
      <c r="M97" s="54">
        <f>M84/$E$10</f>
        <v>0.24433851398615744</v>
      </c>
      <c r="N97" s="54">
        <f>N84/$E$10</f>
        <v>0.24856962290427947</v>
      </c>
      <c r="O97" s="50"/>
      <c r="P97" s="56">
        <f>P84/$E$10</f>
        <v>-1.7531913417014527E-2</v>
      </c>
      <c r="Q97" s="56">
        <f>Q84/$E$10</f>
        <v>-0.11356315909508093</v>
      </c>
      <c r="R97" s="56">
        <f>R84/$E$10</f>
        <v>-1.8770763705172791E-2</v>
      </c>
      <c r="T97" s="34"/>
      <c r="U97" s="34"/>
      <c r="V97" s="34"/>
      <c r="W97" s="34"/>
      <c r="X97" s="34"/>
      <c r="Y97" s="15"/>
      <c r="Z97" s="34"/>
      <c r="AA97" s="34"/>
      <c r="AB97" s="15"/>
      <c r="AC97" s="15"/>
      <c r="AD97" s="15"/>
      <c r="AE97" s="34"/>
      <c r="AF97" s="34"/>
      <c r="AG97" s="34"/>
      <c r="AH97" s="34"/>
      <c r="AI97" s="34"/>
      <c r="AJ97" s="34"/>
      <c r="AK97" s="34"/>
      <c r="AL97" s="34"/>
      <c r="AM97" s="34"/>
    </row>
    <row r="98" spans="1:39" ht="18">
      <c r="B98" s="35"/>
      <c r="E98" s="1132"/>
      <c r="F98" s="45"/>
      <c r="G98" s="45"/>
      <c r="H98" s="50"/>
      <c r="I98" s="1115"/>
      <c r="J98" s="50"/>
      <c r="K98" s="50"/>
      <c r="L98" s="50"/>
      <c r="M98" s="50"/>
      <c r="N98" s="50"/>
      <c r="O98" s="50"/>
      <c r="P98" s="50"/>
      <c r="Q98" s="50"/>
      <c r="R98" s="50"/>
      <c r="T98" s="34"/>
      <c r="U98" s="34"/>
      <c r="V98" s="34"/>
      <c r="W98" s="34"/>
      <c r="X98" s="34"/>
      <c r="Y98" s="15"/>
      <c r="Z98" s="34"/>
      <c r="AA98" s="32"/>
      <c r="AB98" s="34"/>
      <c r="AC98" s="1138"/>
      <c r="AD98" s="1138"/>
      <c r="AE98" s="34"/>
      <c r="AF98" s="34"/>
      <c r="AG98" s="34"/>
      <c r="AH98" s="34"/>
      <c r="AI98" s="34"/>
      <c r="AJ98" s="34"/>
      <c r="AK98" s="34"/>
      <c r="AL98" s="34"/>
      <c r="AM98" s="34"/>
    </row>
    <row r="99" spans="1:39" ht="18">
      <c r="B99" s="35"/>
      <c r="E99" s="1132"/>
      <c r="F99" s="57" t="s">
        <v>472</v>
      </c>
      <c r="G99" s="45"/>
      <c r="H99" s="54"/>
      <c r="I99" s="54"/>
      <c r="J99" s="54"/>
      <c r="K99" s="50"/>
      <c r="L99" s="54"/>
      <c r="M99" s="54"/>
      <c r="N99" s="54"/>
      <c r="O99" s="50"/>
      <c r="P99" s="54"/>
      <c r="Q99" s="54"/>
      <c r="R99" s="54"/>
      <c r="T99" s="34"/>
      <c r="U99" s="34"/>
      <c r="V99" s="34"/>
      <c r="W99" s="34"/>
      <c r="X99" s="34"/>
      <c r="Y99" s="15"/>
      <c r="Z99" s="34"/>
      <c r="AA99" s="32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</row>
    <row r="100" spans="1:39" ht="18">
      <c r="E100" s="1132">
        <v>7.9</v>
      </c>
      <c r="F100" s="44" t="s">
        <v>939</v>
      </c>
      <c r="G100" s="45"/>
      <c r="H100" s="54">
        <f>($E100/H$89)-1</f>
        <v>-0.69935198668507148</v>
      </c>
      <c r="I100" s="54">
        <f>($E100/I$89)-1</f>
        <v>-0.44186445459581847</v>
      </c>
      <c r="J100" s="54">
        <f>($E100/J$89)-1</f>
        <v>-0.32450715826884646</v>
      </c>
      <c r="K100" s="50"/>
      <c r="L100" s="54"/>
      <c r="M100" s="54" t="e">
        <f>($E100/M$89)-1</f>
        <v>#DIV/0!</v>
      </c>
      <c r="N100" s="54" t="e">
        <f>($E100/N$89)-1</f>
        <v>#DIV/0!</v>
      </c>
      <c r="O100" s="50"/>
      <c r="P100" s="54">
        <f>($E100/P$89)-1</f>
        <v>-0.66958161757554102</v>
      </c>
      <c r="Q100" s="54">
        <f>($E100/Q$89)-1</f>
        <v>-0.60742370405014778</v>
      </c>
      <c r="R100" s="54">
        <f>($E100/R$89)-1</f>
        <v>-0.38496380301189814</v>
      </c>
      <c r="T100" s="1138"/>
      <c r="U100" s="34"/>
      <c r="V100" s="34"/>
      <c r="W100" s="34"/>
      <c r="X100" s="34"/>
      <c r="Y100" s="15"/>
      <c r="Z100" s="34"/>
      <c r="AA100" s="32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</row>
    <row r="101" spans="1:39" ht="18">
      <c r="E101" s="1132">
        <v>7</v>
      </c>
      <c r="F101" s="44" t="s">
        <v>940</v>
      </c>
      <c r="G101" s="45"/>
      <c r="H101" s="54">
        <f t="shared" ref="H101:R102" si="5">($E101/H$89)-1</f>
        <v>-0.73360302617664563</v>
      </c>
      <c r="I101" s="54">
        <f t="shared" si="5"/>
        <v>-0.505449516730472</v>
      </c>
      <c r="J101" s="54">
        <f t="shared" si="5"/>
        <v>-0.40146203897239563</v>
      </c>
      <c r="K101" s="50"/>
      <c r="L101" s="54"/>
      <c r="M101" s="54" t="e">
        <f t="shared" si="5"/>
        <v>#DIV/0!</v>
      </c>
      <c r="N101" s="54" t="e">
        <f t="shared" si="5"/>
        <v>#DIV/0!</v>
      </c>
      <c r="O101" s="50"/>
      <c r="P101" s="54">
        <f t="shared" si="5"/>
        <v>-0.70722421810490976</v>
      </c>
      <c r="Q101" s="54">
        <f t="shared" si="5"/>
        <v>-0.65214758586721955</v>
      </c>
      <c r="R101" s="54">
        <f t="shared" si="5"/>
        <v>-0.45503121785864398</v>
      </c>
      <c r="T101" s="34"/>
      <c r="U101" s="34"/>
      <c r="V101" s="34"/>
      <c r="W101" s="34"/>
      <c r="X101" s="34"/>
      <c r="Y101" s="15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</row>
    <row r="102" spans="1:39" ht="18">
      <c r="E102" s="1132">
        <v>6.1</v>
      </c>
      <c r="F102" s="44" t="s">
        <v>941</v>
      </c>
      <c r="G102" s="45"/>
      <c r="H102" s="54">
        <f>($E102/H$89)-1</f>
        <v>-0.76785406566821979</v>
      </c>
      <c r="I102" s="54">
        <f t="shared" si="5"/>
        <v>-0.56903457886512565</v>
      </c>
      <c r="J102" s="54">
        <f t="shared" si="5"/>
        <v>-0.4784169196759448</v>
      </c>
      <c r="K102" s="50"/>
      <c r="L102" s="54"/>
      <c r="M102" s="54" t="e">
        <f t="shared" si="5"/>
        <v>#DIV/0!</v>
      </c>
      <c r="N102" s="54" t="e">
        <f t="shared" si="5"/>
        <v>#DIV/0!</v>
      </c>
      <c r="O102" s="50"/>
      <c r="P102" s="54">
        <f t="shared" si="5"/>
        <v>-0.7448668186342785</v>
      </c>
      <c r="Q102" s="54">
        <f t="shared" si="5"/>
        <v>-0.69687146768429131</v>
      </c>
      <c r="R102" s="54">
        <f t="shared" si="5"/>
        <v>-0.5250986327053897</v>
      </c>
      <c r="T102" s="34"/>
      <c r="U102" s="34"/>
      <c r="V102" s="34"/>
      <c r="W102" s="34"/>
      <c r="X102" s="34"/>
      <c r="Y102" s="15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</row>
    <row r="103" spans="1:39" ht="18" hidden="1">
      <c r="E103" s="1132"/>
      <c r="F103" s="45"/>
      <c r="G103" s="45"/>
      <c r="H103" s="50"/>
      <c r="I103" s="1115"/>
      <c r="J103" s="50"/>
      <c r="K103" s="50"/>
      <c r="L103" s="50"/>
      <c r="M103" s="50"/>
      <c r="N103" s="50"/>
      <c r="O103" s="50"/>
      <c r="P103" s="50"/>
      <c r="Q103" s="50"/>
      <c r="R103" s="50"/>
      <c r="T103" s="34"/>
      <c r="U103" s="34"/>
      <c r="V103" s="34"/>
      <c r="W103" s="34"/>
      <c r="X103" s="34"/>
      <c r="Y103" s="15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</row>
    <row r="104" spans="1:39" ht="18">
      <c r="E104" s="1132"/>
      <c r="F104" s="45"/>
      <c r="G104" s="45"/>
      <c r="H104" s="50"/>
      <c r="I104" s="1115"/>
      <c r="J104" s="50"/>
      <c r="K104" s="50"/>
      <c r="L104" s="50"/>
      <c r="M104" s="50"/>
      <c r="N104" s="50"/>
      <c r="O104" s="50"/>
      <c r="P104" s="50"/>
      <c r="Q104" s="50"/>
      <c r="R104" s="50"/>
      <c r="T104" s="34"/>
      <c r="U104" s="34"/>
      <c r="V104" s="34"/>
      <c r="W104" s="34"/>
      <c r="X104" s="34"/>
      <c r="Y104" s="15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</row>
    <row r="105" spans="1:39" ht="18">
      <c r="E105" s="1132"/>
      <c r="F105" s="58"/>
      <c r="G105" s="59"/>
      <c r="H105" s="1386" t="s">
        <v>474</v>
      </c>
      <c r="I105" s="1386"/>
      <c r="J105" s="1386"/>
      <c r="K105" s="60"/>
      <c r="L105" s="1386" t="s">
        <v>441</v>
      </c>
      <c r="M105" s="1386"/>
      <c r="N105" s="1386"/>
      <c r="O105" s="60"/>
      <c r="P105" s="1387"/>
      <c r="Q105" s="1387"/>
      <c r="R105" s="1387"/>
      <c r="T105" s="34"/>
      <c r="U105" s="34"/>
      <c r="V105" s="34"/>
      <c r="W105" s="34"/>
      <c r="X105" s="34"/>
      <c r="Y105" s="15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</row>
    <row r="106" spans="1:39" ht="18">
      <c r="E106" s="1132"/>
      <c r="F106" s="58"/>
      <c r="G106" s="59"/>
      <c r="H106" s="38" t="s">
        <v>468</v>
      </c>
      <c r="I106" s="38" t="s">
        <v>469</v>
      </c>
      <c r="J106" s="38" t="s">
        <v>470</v>
      </c>
      <c r="K106" s="37"/>
      <c r="L106" s="38" t="s">
        <v>468</v>
      </c>
      <c r="M106" s="38" t="s">
        <v>469</v>
      </c>
      <c r="N106" s="38" t="s">
        <v>470</v>
      </c>
      <c r="O106" s="37"/>
      <c r="P106" s="1387"/>
      <c r="Q106" s="1387"/>
      <c r="R106" s="1387"/>
      <c r="T106" s="34"/>
      <c r="U106" s="34"/>
      <c r="V106" s="34"/>
      <c r="W106" s="34"/>
      <c r="X106" s="34"/>
      <c r="Y106" s="15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</row>
    <row r="107" spans="1:39" ht="18">
      <c r="E107" s="1132"/>
      <c r="F107" s="61" t="s">
        <v>498</v>
      </c>
      <c r="G107" s="50"/>
      <c r="H107" s="50"/>
      <c r="I107" s="1115"/>
      <c r="J107" s="50"/>
      <c r="K107" s="50"/>
      <c r="L107" s="50"/>
      <c r="M107" s="1115"/>
      <c r="N107" s="50"/>
      <c r="O107" s="62"/>
      <c r="P107" s="62"/>
      <c r="Q107" s="63"/>
      <c r="R107" s="62"/>
    </row>
    <row r="108" spans="1:39" ht="18">
      <c r="B108" s="35"/>
      <c r="F108" s="44" t="s">
        <v>146</v>
      </c>
      <c r="G108" s="45"/>
      <c r="H108" s="46"/>
      <c r="I108" s="46" t="e">
        <f>Model!#REF!</f>
        <v>#REF!</v>
      </c>
      <c r="J108" s="46" t="e">
        <f>I108</f>
        <v>#REF!</v>
      </c>
      <c r="K108" s="50"/>
      <c r="L108" s="46"/>
      <c r="M108" s="46">
        <f>[7]Models!$Q$56</f>
        <v>5739</v>
      </c>
      <c r="N108" s="46">
        <f t="shared" ref="N108:N113" si="6">M108</f>
        <v>5739</v>
      </c>
      <c r="O108" s="50"/>
      <c r="P108" s="50"/>
      <c r="Q108" s="1115"/>
      <c r="R108" s="50"/>
    </row>
    <row r="109" spans="1:39" ht="18">
      <c r="F109" s="73" t="s">
        <v>466</v>
      </c>
      <c r="G109" s="73"/>
      <c r="H109" s="48"/>
      <c r="I109" s="48">
        <f>[6]Models!Q352</f>
        <v>58.5</v>
      </c>
      <c r="J109" s="48">
        <f>[6]Models!T352</f>
        <v>58.5</v>
      </c>
      <c r="K109" s="74"/>
      <c r="L109" s="48"/>
      <c r="M109" s="48">
        <f>[7]Models!$Q$354</f>
        <v>78.650000000000006</v>
      </c>
      <c r="N109" s="48">
        <f t="shared" si="6"/>
        <v>78.650000000000006</v>
      </c>
      <c r="O109" s="74"/>
      <c r="P109" s="74"/>
      <c r="Q109" s="75"/>
      <c r="R109" s="74"/>
    </row>
    <row r="110" spans="1:39" ht="18" hidden="1">
      <c r="A110" s="9"/>
      <c r="F110" s="61" t="s">
        <v>498</v>
      </c>
      <c r="G110" s="50"/>
      <c r="H110" s="50"/>
      <c r="I110" s="1115"/>
      <c r="J110" s="50"/>
      <c r="K110" s="74"/>
      <c r="L110" s="48"/>
      <c r="M110" s="48">
        <f>[7]Models!$AD$9</f>
        <v>12740</v>
      </c>
      <c r="N110" s="48">
        <f t="shared" si="6"/>
        <v>12740</v>
      </c>
      <c r="O110" s="74"/>
      <c r="P110" s="74"/>
      <c r="Q110" s="75"/>
      <c r="R110" s="74"/>
    </row>
    <row r="111" spans="1:39" ht="17.25" hidden="1" customHeight="1">
      <c r="A111" s="9"/>
      <c r="F111" s="44" t="s">
        <v>171</v>
      </c>
      <c r="G111" s="45"/>
      <c r="H111" s="46"/>
      <c r="I111" s="46" t="e">
        <f>Model!#REF!</f>
        <v>#REF!</v>
      </c>
      <c r="J111" s="46" t="e">
        <f>I111</f>
        <v>#REF!</v>
      </c>
      <c r="K111" s="74"/>
      <c r="L111" s="48"/>
      <c r="M111" s="48">
        <f>[7]Models!$AD$10</f>
        <v>985.1</v>
      </c>
      <c r="N111" s="48">
        <f t="shared" si="6"/>
        <v>985.1</v>
      </c>
      <c r="O111" s="74"/>
      <c r="P111" s="74"/>
      <c r="Q111" s="75"/>
      <c r="R111" s="74"/>
    </row>
    <row r="112" spans="1:39" ht="14.25" hidden="1" customHeight="1">
      <c r="A112" s="9"/>
      <c r="F112" s="44" t="s">
        <v>146</v>
      </c>
      <c r="G112" s="45"/>
      <c r="H112" s="46"/>
      <c r="I112" s="46" t="e">
        <f>Model!#REF!</f>
        <v>#REF!</v>
      </c>
      <c r="J112" s="46" t="e">
        <f>I112</f>
        <v>#REF!</v>
      </c>
      <c r="K112" s="74"/>
      <c r="L112" s="48"/>
      <c r="M112" s="48">
        <f>[7]Models!$AD$11</f>
        <v>2699.19</v>
      </c>
      <c r="N112" s="48">
        <f t="shared" si="6"/>
        <v>2699.19</v>
      </c>
      <c r="O112" s="74"/>
      <c r="P112" s="74"/>
      <c r="Q112" s="75"/>
      <c r="R112" s="74"/>
    </row>
    <row r="113" spans="1:42" ht="18" hidden="1">
      <c r="A113" s="9"/>
      <c r="F113" s="44" t="s">
        <v>467</v>
      </c>
      <c r="G113" s="45"/>
      <c r="H113" s="46"/>
      <c r="I113" s="46" t="e">
        <f>Model!#REF!</f>
        <v>#REF!</v>
      </c>
      <c r="J113" s="46" t="e">
        <f>I113</f>
        <v>#REF!</v>
      </c>
      <c r="K113" s="74"/>
      <c r="L113" s="48"/>
      <c r="M113" s="48">
        <f>[7]Models!$AD$12</f>
        <v>12700</v>
      </c>
      <c r="N113" s="48">
        <f t="shared" si="6"/>
        <v>12700</v>
      </c>
      <c r="O113" s="74"/>
      <c r="P113" s="74"/>
      <c r="Q113" s="75"/>
      <c r="R113" s="74"/>
    </row>
    <row r="114" spans="1:42" ht="18" hidden="1">
      <c r="A114" s="9"/>
      <c r="F114" s="44"/>
      <c r="G114" s="45"/>
      <c r="H114" s="46"/>
      <c r="I114" s="46"/>
      <c r="J114" s="46"/>
      <c r="K114" s="50"/>
      <c r="L114" s="46"/>
      <c r="M114" s="46"/>
      <c r="N114" s="46"/>
      <c r="O114" s="50"/>
      <c r="P114" s="50"/>
      <c r="Q114" s="1115"/>
      <c r="R114" s="50"/>
      <c r="V114" s="35"/>
      <c r="W114" s="35"/>
      <c r="AL114" s="4" t="s">
        <v>475</v>
      </c>
      <c r="AM114" s="4" t="s">
        <v>476</v>
      </c>
      <c r="AN114" s="4" t="s">
        <v>477</v>
      </c>
      <c r="AO114" s="4" t="s">
        <v>478</v>
      </c>
      <c r="AP114" s="4" t="s">
        <v>479</v>
      </c>
    </row>
    <row r="115" spans="1:42">
      <c r="A115" s="9"/>
      <c r="H115" s="4">
        <v>1400</v>
      </c>
      <c r="L115" s="4">
        <v>1400</v>
      </c>
      <c r="AL115" s="29">
        <f>B38</f>
        <v>0</v>
      </c>
      <c r="AM115" s="29">
        <f>B77</f>
        <v>0</v>
      </c>
      <c r="AN115" s="29">
        <f>B84</f>
        <v>0</v>
      </c>
      <c r="AO115" s="29">
        <f>B90</f>
        <v>0</v>
      </c>
      <c r="AP115" s="29">
        <f>SUM(AL115:AO115)</f>
        <v>0</v>
      </c>
    </row>
    <row r="116" spans="1:42">
      <c r="A116" s="9"/>
      <c r="H116" s="64">
        <f>H84-H115</f>
        <v>-843.80000000000007</v>
      </c>
      <c r="L116" s="64">
        <f>L84-L115</f>
        <v>-1400</v>
      </c>
      <c r="AL116" s="4">
        <v>0</v>
      </c>
      <c r="AM116" s="29">
        <f>AL115</f>
        <v>0</v>
      </c>
      <c r="AN116" s="29">
        <f>AM115+AM116</f>
        <v>0</v>
      </c>
      <c r="AO116" s="29">
        <f>AN115+AN116</f>
        <v>0</v>
      </c>
    </row>
    <row r="117" spans="1:42">
      <c r="A117" s="9"/>
      <c r="H117" s="64"/>
      <c r="L117" s="64"/>
      <c r="AM117" s="29"/>
      <c r="AN117" s="29"/>
      <c r="AO117" s="29"/>
    </row>
    <row r="118" spans="1:42">
      <c r="A118" s="9"/>
      <c r="H118" s="64"/>
      <c r="L118" s="64"/>
      <c r="AM118" s="29"/>
      <c r="AN118" s="29"/>
      <c r="AO118" s="29"/>
    </row>
    <row r="119" spans="1:42">
      <c r="A119" s="9"/>
      <c r="H119" s="64"/>
      <c r="L119" s="64"/>
      <c r="AM119" s="29"/>
      <c r="AN119" s="29"/>
      <c r="AO119" s="29"/>
    </row>
    <row r="120" spans="1:42">
      <c r="A120" s="9"/>
      <c r="H120" s="64"/>
      <c r="L120" s="64"/>
      <c r="AM120" s="29"/>
      <c r="AN120" s="29"/>
      <c r="AO120" s="29"/>
    </row>
    <row r="121" spans="1:42">
      <c r="A121" s="9"/>
      <c r="H121" s="64"/>
      <c r="L121" s="64"/>
      <c r="AM121" s="29"/>
      <c r="AN121" s="29"/>
      <c r="AO121" s="29"/>
    </row>
    <row r="122" spans="1:42">
      <c r="A122" s="9"/>
      <c r="H122" s="64"/>
      <c r="L122" s="64"/>
      <c r="AM122" s="29"/>
      <c r="AN122" s="29"/>
      <c r="AO122" s="29"/>
    </row>
    <row r="123" spans="1:42">
      <c r="A123" s="9"/>
      <c r="H123" s="64"/>
      <c r="L123" s="64"/>
      <c r="AM123" s="29"/>
      <c r="AN123" s="29"/>
      <c r="AO123" s="29"/>
    </row>
    <row r="124" spans="1:42">
      <c r="A124" s="9"/>
      <c r="H124" s="64"/>
      <c r="L124" s="64"/>
      <c r="AM124" s="29"/>
      <c r="AN124" s="29"/>
      <c r="AO124" s="29"/>
    </row>
    <row r="125" spans="1:42">
      <c r="A125" s="9"/>
    </row>
    <row r="126" spans="1:42">
      <c r="A126" s="9"/>
    </row>
    <row r="127" spans="1:42">
      <c r="A127" s="9"/>
    </row>
    <row r="128" spans="1:42">
      <c r="A128" s="9"/>
    </row>
    <row r="129" spans="1:53">
      <c r="A129" s="9"/>
    </row>
    <row r="130" spans="1:53">
      <c r="A130" s="9"/>
    </row>
    <row r="131" spans="1:53">
      <c r="A131" s="9"/>
    </row>
    <row r="132" spans="1:53">
      <c r="A132" s="9"/>
    </row>
    <row r="133" spans="1:53">
      <c r="A133" s="9"/>
    </row>
    <row r="134" spans="1:53">
      <c r="A134" s="9"/>
      <c r="AS134" s="5"/>
      <c r="AT134" s="5"/>
    </row>
    <row r="135" spans="1:53">
      <c r="A135" s="9"/>
      <c r="AL135" s="4" t="s">
        <v>475</v>
      </c>
      <c r="AM135" s="4" t="s">
        <v>476</v>
      </c>
      <c r="AN135" s="4" t="s">
        <v>477</v>
      </c>
      <c r="AO135" s="4" t="s">
        <v>478</v>
      </c>
      <c r="AP135" s="4" t="s">
        <v>480</v>
      </c>
      <c r="AQ135" s="4" t="s">
        <v>481</v>
      </c>
      <c r="AR135" s="4" t="s">
        <v>482</v>
      </c>
      <c r="AS135" s="5" t="s">
        <v>483</v>
      </c>
      <c r="AT135" s="4" t="s">
        <v>481</v>
      </c>
      <c r="AU135" s="4" t="s">
        <v>482</v>
      </c>
      <c r="AV135" s="5" t="s">
        <v>484</v>
      </c>
      <c r="AZ135" s="4" t="s">
        <v>485</v>
      </c>
      <c r="BA135" s="12">
        <f>(AZ137/$H$3)-1</f>
        <v>0</v>
      </c>
    </row>
    <row r="136" spans="1:53">
      <c r="A136" s="9"/>
      <c r="AL136" s="35">
        <f>AL116</f>
        <v>0</v>
      </c>
      <c r="AM136" s="35">
        <f>AM116</f>
        <v>0</v>
      </c>
      <c r="AN136" s="35">
        <f>AN116</f>
        <v>0</v>
      </c>
      <c r="AO136" s="35">
        <f>AO116</f>
        <v>0</v>
      </c>
      <c r="AP136" s="35">
        <f>AP116</f>
        <v>0</v>
      </c>
      <c r="AQ136" s="29">
        <f>AP137</f>
        <v>0</v>
      </c>
      <c r="AR136" s="29">
        <f>AQ136+AQ137</f>
        <v>0</v>
      </c>
      <c r="AS136" s="65">
        <v>0</v>
      </c>
      <c r="AT136" s="29">
        <f>AS137</f>
        <v>0</v>
      </c>
      <c r="AU136" s="29">
        <f>AT136+AT137</f>
        <v>6.5000000000000002E-2</v>
      </c>
      <c r="AV136" s="65">
        <v>0</v>
      </c>
    </row>
    <row r="137" spans="1:53">
      <c r="A137" s="9"/>
      <c r="AL137" s="35">
        <f>AL115</f>
        <v>0</v>
      </c>
      <c r="AM137" s="35">
        <f>AM115</f>
        <v>0</v>
      </c>
      <c r="AN137" s="35">
        <f>AN115</f>
        <v>0</v>
      </c>
      <c r="AO137" s="35">
        <f>AO115</f>
        <v>0</v>
      </c>
      <c r="AP137" s="35">
        <f>AP115</f>
        <v>0</v>
      </c>
      <c r="AQ137" s="29">
        <f>B108</f>
        <v>0</v>
      </c>
      <c r="AR137" s="35">
        <v>0</v>
      </c>
      <c r="AS137" s="42">
        <f>SUM(AR136:AR137)</f>
        <v>0</v>
      </c>
      <c r="AT137" s="29">
        <v>6.5000000000000002E-2</v>
      </c>
      <c r="AU137" s="35">
        <v>7.2999999999999995E-2</v>
      </c>
      <c r="AV137" s="42">
        <f>SUM(AU136:AU137)</f>
        <v>0.13800000000000001</v>
      </c>
      <c r="AZ137" s="66">
        <f>$H$3*(1+AQ137+AR137)</f>
        <v>29.81</v>
      </c>
      <c r="BA137" s="4" t="s">
        <v>486</v>
      </c>
    </row>
    <row r="138" spans="1:53">
      <c r="A138" s="9"/>
      <c r="AS138" s="5"/>
      <c r="AV138" s="5"/>
    </row>
    <row r="139" spans="1:53">
      <c r="AL139" s="4" t="str">
        <f>AL135</f>
        <v>Special Dividend*</v>
      </c>
      <c r="AM139" s="4" t="str">
        <f t="shared" ref="AM139:AR141" si="7">AM135</f>
        <v>Interim Dividend**</v>
      </c>
      <c r="AN139" s="4" t="str">
        <f t="shared" si="7"/>
        <v>Earnings Revision</v>
      </c>
      <c r="AO139" s="4" t="str">
        <f t="shared" si="7"/>
        <v>Multiple Expansion</v>
      </c>
      <c r="AP139" s="4" t="str">
        <f t="shared" si="7"/>
        <v>TSR (%) - May '19</v>
      </c>
      <c r="AQ139" s="4" t="str">
        <f t="shared" si="7"/>
        <v>Interim Dividend***</v>
      </c>
      <c r="AR139" s="4" t="str">
        <f t="shared" si="7"/>
        <v>ER/Multiple Expansion</v>
      </c>
      <c r="AS139" s="5" t="s">
        <v>483</v>
      </c>
      <c r="AT139" s="4" t="str">
        <f>AT135</f>
        <v>Interim Dividend***</v>
      </c>
      <c r="AU139" s="4" t="str">
        <f>AU135</f>
        <v>ER/Multiple Expansion</v>
      </c>
      <c r="AV139" s="5" t="s">
        <v>484</v>
      </c>
      <c r="AZ139" s="4" t="s">
        <v>485</v>
      </c>
      <c r="BA139" s="12">
        <f>(AZ141/$H$3)-1</f>
        <v>-1</v>
      </c>
    </row>
    <row r="140" spans="1:53">
      <c r="AF140" s="67"/>
      <c r="AL140" s="29">
        <f>AL136</f>
        <v>0</v>
      </c>
      <c r="AM140" s="29">
        <f t="shared" si="7"/>
        <v>0</v>
      </c>
      <c r="AN140" s="29">
        <f t="shared" si="7"/>
        <v>0</v>
      </c>
      <c r="AO140" s="29">
        <f t="shared" si="7"/>
        <v>0</v>
      </c>
      <c r="AP140" s="29">
        <f t="shared" si="7"/>
        <v>0</v>
      </c>
      <c r="AQ140" s="29">
        <f t="shared" si="7"/>
        <v>0</v>
      </c>
      <c r="AR140" s="29">
        <f>AQ140+AQ141</f>
        <v>0</v>
      </c>
      <c r="AS140" s="65">
        <v>0</v>
      </c>
      <c r="AT140" s="29">
        <f>AS141</f>
        <v>-1</v>
      </c>
      <c r="AU140" s="29">
        <f>AT140+AT141</f>
        <v>-0.93500000000000005</v>
      </c>
      <c r="AV140" s="65">
        <v>0</v>
      </c>
    </row>
    <row r="141" spans="1:53">
      <c r="I141" s="5">
        <v>2019</v>
      </c>
      <c r="J141" s="4">
        <v>2020</v>
      </c>
      <c r="AL141" s="29">
        <f>AL137</f>
        <v>0</v>
      </c>
      <c r="AM141" s="29">
        <f t="shared" si="7"/>
        <v>0</v>
      </c>
      <c r="AN141" s="29">
        <f t="shared" si="7"/>
        <v>0</v>
      </c>
      <c r="AO141" s="29">
        <f t="shared" si="7"/>
        <v>0</v>
      </c>
      <c r="AP141" s="29">
        <f t="shared" si="7"/>
        <v>0</v>
      </c>
      <c r="AQ141" s="29">
        <f t="shared" si="7"/>
        <v>0</v>
      </c>
      <c r="AR141" s="35">
        <f>J156</f>
        <v>-1</v>
      </c>
      <c r="AS141" s="42">
        <f>SUM(AR140:AR141)</f>
        <v>-1</v>
      </c>
      <c r="AT141" s="29">
        <f>AT137</f>
        <v>6.5000000000000002E-2</v>
      </c>
      <c r="AU141" s="35">
        <f>AU137</f>
        <v>7.2999999999999995E-2</v>
      </c>
      <c r="AV141" s="42">
        <f>SUM(AU140:AU141)</f>
        <v>-0.8620000000000001</v>
      </c>
      <c r="AZ141" s="66">
        <f>$H$3*(1+AQ141+AR141)</f>
        <v>0</v>
      </c>
    </row>
    <row r="142" spans="1:53">
      <c r="G142" s="4" t="s">
        <v>487</v>
      </c>
      <c r="I142" s="16">
        <f>H83</f>
        <v>919</v>
      </c>
      <c r="J142" s="68">
        <f>I83</f>
        <v>1706.0700337612168</v>
      </c>
    </row>
    <row r="143" spans="1:53">
      <c r="G143" s="9" t="s">
        <v>488</v>
      </c>
      <c r="I143" s="1113">
        <f>L83</f>
        <v>0</v>
      </c>
      <c r="J143" s="21">
        <f>M83</f>
        <v>9161.9343643725442</v>
      </c>
    </row>
    <row r="144" spans="1:53">
      <c r="G144" s="9" t="s">
        <v>442</v>
      </c>
      <c r="I144" s="1113">
        <f>P83</f>
        <v>1010</v>
      </c>
      <c r="J144" s="21">
        <f>Q83</f>
        <v>1200</v>
      </c>
    </row>
    <row r="145" spans="6:45">
      <c r="G145" s="9"/>
      <c r="AP145" s="4" t="s">
        <v>480</v>
      </c>
      <c r="AQ145" s="4" t="s">
        <v>481</v>
      </c>
      <c r="AR145" s="4" t="s">
        <v>482</v>
      </c>
      <c r="AS145" s="5" t="s">
        <v>483</v>
      </c>
    </row>
    <row r="146" spans="6:45">
      <c r="G146" s="9"/>
      <c r="AP146" s="12">
        <v>0</v>
      </c>
      <c r="AQ146" s="65">
        <f>AP147</f>
        <v>0.15</v>
      </c>
      <c r="AR146" s="65">
        <f>AQ146+AQ147</f>
        <v>0.15</v>
      </c>
      <c r="AS146" s="5">
        <v>0</v>
      </c>
    </row>
    <row r="147" spans="6:45">
      <c r="G147" s="9"/>
      <c r="I147" s="5" t="s">
        <v>487</v>
      </c>
      <c r="J147" s="4" t="s">
        <v>489</v>
      </c>
      <c r="K147" s="4" t="s">
        <v>442</v>
      </c>
      <c r="AP147" s="12">
        <v>0.15</v>
      </c>
      <c r="AQ147" s="65">
        <f>AQ137</f>
        <v>0</v>
      </c>
      <c r="AR147" s="5">
        <v>0</v>
      </c>
      <c r="AS147" s="65">
        <f>AR146+AR147</f>
        <v>0.15</v>
      </c>
    </row>
    <row r="148" spans="6:45">
      <c r="G148" s="9"/>
      <c r="H148" s="4">
        <v>2019</v>
      </c>
      <c r="I148" s="16">
        <f>I142</f>
        <v>919</v>
      </c>
      <c r="J148" s="21">
        <f>I143</f>
        <v>0</v>
      </c>
      <c r="K148" s="1388">
        <f>I144</f>
        <v>1010</v>
      </c>
      <c r="L148" s="1388"/>
    </row>
    <row r="149" spans="6:45">
      <c r="G149" s="9"/>
      <c r="H149" s="4">
        <v>2020</v>
      </c>
      <c r="I149" s="10">
        <f>J142</f>
        <v>1706.0700337612168</v>
      </c>
      <c r="J149" s="21">
        <f>J143</f>
        <v>9161.9343643725442</v>
      </c>
      <c r="K149" s="1388">
        <f>J144</f>
        <v>1200</v>
      </c>
      <c r="L149" s="1388"/>
      <c r="AP149" s="4" t="s">
        <v>490</v>
      </c>
      <c r="AQ149" s="4" t="s">
        <v>481</v>
      </c>
      <c r="AR149" s="4" t="s">
        <v>482</v>
      </c>
      <c r="AS149" s="5" t="s">
        <v>483</v>
      </c>
    </row>
    <row r="150" spans="6:45">
      <c r="G150" s="9"/>
      <c r="AP150" s="29">
        <f>AP146</f>
        <v>0</v>
      </c>
      <c r="AQ150" s="29">
        <f t="shared" ref="AQ150:AS151" si="8">AQ146</f>
        <v>0.15</v>
      </c>
      <c r="AR150" s="29">
        <f t="shared" si="8"/>
        <v>0.15</v>
      </c>
      <c r="AS150" s="29">
        <f t="shared" si="8"/>
        <v>0</v>
      </c>
    </row>
    <row r="151" spans="6:45">
      <c r="G151" s="9"/>
      <c r="AP151" s="29">
        <f>AP147</f>
        <v>0.15</v>
      </c>
      <c r="AQ151" s="29">
        <f t="shared" si="8"/>
        <v>0</v>
      </c>
      <c r="AR151" s="29">
        <v>0.16</v>
      </c>
      <c r="AS151" s="29">
        <f>AR150+AR151</f>
        <v>0.31</v>
      </c>
    </row>
    <row r="152" spans="6:45">
      <c r="G152" s="9"/>
      <c r="I152" s="5" t="s">
        <v>487</v>
      </c>
      <c r="J152" s="4" t="str">
        <f>J147</f>
        <v>BI - Spot</v>
      </c>
      <c r="K152" s="4" t="s">
        <v>442</v>
      </c>
    </row>
    <row r="153" spans="6:45">
      <c r="G153" s="9"/>
      <c r="H153" s="4" t="s">
        <v>491</v>
      </c>
      <c r="I153" s="1114">
        <f t="shared" ref="I153:K154" si="9">I148/1000</f>
        <v>0.91900000000000004</v>
      </c>
      <c r="J153" s="1114">
        <f t="shared" si="9"/>
        <v>0</v>
      </c>
      <c r="K153" s="1389">
        <f t="shared" si="9"/>
        <v>1.01</v>
      </c>
      <c r="L153" s="1389"/>
    </row>
    <row r="154" spans="6:45">
      <c r="G154" s="9"/>
      <c r="H154" s="4" t="s">
        <v>492</v>
      </c>
      <c r="I154" s="1114">
        <f t="shared" si="9"/>
        <v>1.7060700337612167</v>
      </c>
      <c r="J154" s="1114">
        <f t="shared" si="9"/>
        <v>9.161934364372545</v>
      </c>
      <c r="K154" s="1389">
        <f t="shared" si="9"/>
        <v>1.2</v>
      </c>
      <c r="L154" s="1389"/>
    </row>
    <row r="155" spans="6:45">
      <c r="F155" s="9"/>
      <c r="G155" s="9"/>
    </row>
    <row r="156" spans="6:45">
      <c r="F156" s="9"/>
      <c r="G156" s="9"/>
      <c r="H156" s="4" t="s">
        <v>491</v>
      </c>
      <c r="I156" s="31">
        <f>(I153/$K153)-1</f>
        <v>-9.0099009900990068E-2</v>
      </c>
      <c r="J156" s="31">
        <f>(J153/$K153)-1</f>
        <v>-1</v>
      </c>
    </row>
    <row r="157" spans="6:45">
      <c r="F157" s="9"/>
      <c r="G157" s="9"/>
      <c r="H157" s="4" t="s">
        <v>492</v>
      </c>
      <c r="I157" s="31">
        <f>(I154/$K154)-1</f>
        <v>0.4217250281343472</v>
      </c>
      <c r="J157" s="31">
        <f>(J154/$K154)-1</f>
        <v>6.6349453036437875</v>
      </c>
    </row>
    <row r="158" spans="6:45">
      <c r="F158" s="9"/>
      <c r="G158" s="9"/>
    </row>
    <row r="159" spans="6:45">
      <c r="F159" s="9"/>
      <c r="G159" s="9"/>
    </row>
    <row r="160" spans="6:45">
      <c r="F160" s="9"/>
      <c r="G160" s="9"/>
    </row>
    <row r="161" spans="6:62">
      <c r="F161" s="9"/>
      <c r="G161" s="9"/>
    </row>
    <row r="162" spans="6:62">
      <c r="F162" s="9"/>
      <c r="G162" s="9"/>
    </row>
    <row r="163" spans="6:62">
      <c r="F163" s="9"/>
      <c r="G163" s="9"/>
    </row>
    <row r="164" spans="6:62">
      <c r="F164" s="9"/>
      <c r="G164" s="9"/>
    </row>
    <row r="165" spans="6:62">
      <c r="F165" s="9"/>
      <c r="G165" s="9"/>
    </row>
    <row r="166" spans="6:62">
      <c r="F166" s="9"/>
      <c r="G166" s="9"/>
    </row>
    <row r="167" spans="6:62">
      <c r="F167" s="9"/>
      <c r="G167" s="9"/>
    </row>
    <row r="168" spans="6:62">
      <c r="F168" s="9"/>
      <c r="G168" s="9"/>
    </row>
    <row r="169" spans="6:62">
      <c r="F169" s="9"/>
      <c r="G169" s="9"/>
      <c r="AQ169" s="70"/>
      <c r="BJ169" s="70"/>
    </row>
    <row r="170" spans="6:62">
      <c r="F170" s="9"/>
      <c r="G170" s="9"/>
      <c r="AQ170" s="70"/>
      <c r="BJ170" s="70"/>
    </row>
    <row r="171" spans="6:62">
      <c r="F171" s="9"/>
      <c r="G171" s="9"/>
      <c r="AQ171" s="70"/>
      <c r="BJ171" s="70"/>
    </row>
    <row r="172" spans="6:62">
      <c r="F172" s="9"/>
      <c r="G172" s="9"/>
      <c r="AQ172" s="70"/>
      <c r="BJ172" s="70"/>
    </row>
    <row r="173" spans="6:62">
      <c r="F173" s="9"/>
      <c r="G173" s="9"/>
      <c r="AQ173" s="70"/>
      <c r="BJ173" s="70"/>
    </row>
    <row r="174" spans="6:62">
      <c r="F174" s="9"/>
      <c r="G174" s="9"/>
      <c r="AQ174" s="70"/>
      <c r="BJ174" s="70"/>
    </row>
    <row r="175" spans="6:62">
      <c r="F175" s="9"/>
      <c r="G175" s="9"/>
      <c r="AQ175" s="70"/>
      <c r="BJ175" s="70"/>
    </row>
    <row r="176" spans="6:62">
      <c r="F176" s="9"/>
      <c r="G176" s="9"/>
      <c r="AQ176" s="70"/>
      <c r="BJ176" s="70"/>
    </row>
    <row r="177" spans="6:72">
      <c r="F177" s="9"/>
      <c r="G177" s="9"/>
      <c r="AQ177" s="70"/>
      <c r="BJ177" s="70"/>
    </row>
    <row r="178" spans="6:72">
      <c r="F178" s="9"/>
      <c r="G178" s="9"/>
      <c r="AQ178" s="70"/>
      <c r="BJ178" s="70"/>
    </row>
    <row r="179" spans="6:72">
      <c r="F179" s="9"/>
      <c r="G179" s="9"/>
      <c r="AQ179" s="70"/>
      <c r="BJ179" s="70"/>
    </row>
    <row r="180" spans="6:72">
      <c r="F180" s="9"/>
      <c r="G180" s="9"/>
      <c r="AQ180" s="70"/>
      <c r="BJ180" s="70"/>
    </row>
    <row r="181" spans="6:72">
      <c r="F181" s="9"/>
      <c r="G181" s="9"/>
      <c r="AQ181" s="70"/>
      <c r="BJ181" s="70"/>
    </row>
    <row r="182" spans="6:72">
      <c r="F182" s="9"/>
      <c r="G182" s="9"/>
      <c r="AQ182" s="70"/>
      <c r="BJ182" s="70"/>
    </row>
    <row r="183" spans="6:72">
      <c r="F183" s="9"/>
      <c r="G183" s="9"/>
      <c r="AQ183" s="70"/>
      <c r="BJ183" s="70"/>
    </row>
    <row r="184" spans="6:72">
      <c r="F184" s="9"/>
      <c r="G184" s="9"/>
      <c r="AQ184" s="70"/>
      <c r="BJ184" s="70"/>
    </row>
    <row r="185" spans="6:72">
      <c r="F185" s="9"/>
      <c r="G185" s="9"/>
      <c r="AQ185" s="70"/>
      <c r="BJ185" s="70"/>
    </row>
    <row r="186" spans="6:72">
      <c r="F186" s="9"/>
      <c r="G186" s="9"/>
      <c r="AQ186" s="70"/>
      <c r="BJ186" s="70"/>
    </row>
    <row r="187" spans="6:72">
      <c r="F187" s="9"/>
      <c r="G187" s="9"/>
      <c r="AQ187" s="70"/>
      <c r="BJ187" s="70"/>
    </row>
    <row r="188" spans="6:72">
      <c r="F188" s="9"/>
      <c r="G188" s="9"/>
      <c r="AQ188" s="70"/>
      <c r="BJ188" s="70"/>
    </row>
    <row r="189" spans="6:72">
      <c r="F189" s="9"/>
      <c r="G189" s="9"/>
      <c r="AQ189" s="70"/>
      <c r="BJ189" s="70"/>
    </row>
    <row r="190" spans="6:72" hidden="1">
      <c r="F190" s="9"/>
      <c r="G190" s="9"/>
      <c r="AQ190" s="70"/>
    </row>
    <row r="191" spans="6:72" ht="18">
      <c r="F191" s="9"/>
      <c r="G191" s="9"/>
      <c r="AK191" s="71"/>
      <c r="AL191" s="50" t="s">
        <v>493</v>
      </c>
      <c r="AM191" s="71"/>
      <c r="AN191" s="71"/>
      <c r="AO191" s="71"/>
      <c r="AP191" s="71"/>
      <c r="AQ191" s="71"/>
      <c r="AR191" s="1390" t="s">
        <v>493</v>
      </c>
      <c r="AS191" s="1390"/>
      <c r="AT191" s="1390"/>
      <c r="AU191" s="1390"/>
      <c r="AV191" s="1390"/>
      <c r="AW191" s="1390"/>
      <c r="AX191" s="1390"/>
      <c r="AY191" s="1390"/>
      <c r="BA191" s="71"/>
      <c r="BB191" s="50" t="s">
        <v>493</v>
      </c>
      <c r="BC191" s="71"/>
      <c r="BD191" s="71"/>
      <c r="BE191" s="71"/>
      <c r="BF191" s="71"/>
      <c r="BG191" s="71"/>
      <c r="BH191" s="72"/>
      <c r="BI191" s="72"/>
      <c r="BJ191" s="72"/>
      <c r="BK191" s="71"/>
      <c r="BL191" s="50" t="s">
        <v>493</v>
      </c>
      <c r="BM191" s="72"/>
      <c r="BN191" s="72"/>
      <c r="BO191" s="71"/>
      <c r="BP191" s="71"/>
      <c r="BQ191" s="71"/>
      <c r="BR191" s="71"/>
      <c r="BS191" s="71"/>
      <c r="BT191" s="71"/>
    </row>
    <row r="192" spans="6:72">
      <c r="F192" s="9"/>
      <c r="G192" s="9"/>
      <c r="AK192" s="71"/>
      <c r="AL192" s="71"/>
      <c r="AM192" s="71"/>
      <c r="AN192" s="71"/>
      <c r="AO192" s="71"/>
      <c r="AP192" s="71"/>
      <c r="AQ192" s="71"/>
      <c r="AR192" s="71"/>
      <c r="AS192" s="71"/>
      <c r="AT192" s="71"/>
      <c r="AU192" s="71"/>
      <c r="AV192" s="71"/>
      <c r="AW192" s="71"/>
      <c r="AX192" s="71"/>
      <c r="AY192" s="71"/>
      <c r="BA192" s="71"/>
      <c r="BB192" s="71"/>
      <c r="BC192" s="71"/>
      <c r="BD192" s="71"/>
      <c r="BE192" s="71"/>
      <c r="BF192" s="71"/>
      <c r="BG192" s="71"/>
      <c r="BH192" s="71"/>
      <c r="BI192" s="71"/>
      <c r="BJ192" s="71"/>
      <c r="BK192" s="71"/>
      <c r="BL192" s="71"/>
      <c r="BM192" s="71"/>
      <c r="BN192" s="71"/>
      <c r="BO192" s="71"/>
      <c r="BP192" s="71"/>
      <c r="BQ192" s="71"/>
      <c r="BR192" s="71"/>
      <c r="BS192" s="71"/>
      <c r="BT192" s="71"/>
    </row>
    <row r="193" spans="6:7">
      <c r="F193" s="9"/>
      <c r="G193" s="9"/>
    </row>
    <row r="194" spans="6:7">
      <c r="F194" s="9"/>
      <c r="G194" s="9"/>
    </row>
    <row r="195" spans="6:7">
      <c r="F195" s="9"/>
      <c r="G195" s="9"/>
    </row>
    <row r="196" spans="6:7">
      <c r="F196" s="9"/>
      <c r="G196" s="9"/>
    </row>
    <row r="197" spans="6:7">
      <c r="F197" s="9"/>
      <c r="G197" s="9"/>
    </row>
    <row r="198" spans="6:7">
      <c r="F198" s="9"/>
      <c r="G198" s="9"/>
    </row>
    <row r="199" spans="6:7">
      <c r="F199" s="9"/>
      <c r="G199" s="9"/>
    </row>
    <row r="200" spans="6:7">
      <c r="F200" s="9"/>
      <c r="G200" s="9"/>
    </row>
    <row r="201" spans="6:7">
      <c r="F201" s="9"/>
      <c r="G201" s="9"/>
    </row>
    <row r="202" spans="6:7">
      <c r="F202" s="9"/>
      <c r="G202" s="9"/>
    </row>
    <row r="203" spans="6:7">
      <c r="F203" s="9"/>
      <c r="G203" s="9"/>
    </row>
    <row r="204" spans="6:7">
      <c r="F204" s="9"/>
      <c r="G204" s="9"/>
    </row>
    <row r="205" spans="6:7">
      <c r="F205" s="9"/>
      <c r="G205" s="9"/>
    </row>
    <row r="206" spans="6:7">
      <c r="F206" s="9"/>
      <c r="G206" s="9"/>
    </row>
    <row r="207" spans="6:7">
      <c r="F207" s="9"/>
      <c r="G207" s="9"/>
    </row>
    <row r="208" spans="6:7">
      <c r="F208" s="9"/>
      <c r="G208" s="9"/>
    </row>
    <row r="209" spans="6:7">
      <c r="F209" s="9"/>
      <c r="G209" s="9"/>
    </row>
    <row r="210" spans="6:7">
      <c r="F210" s="9"/>
      <c r="G210" s="9"/>
    </row>
    <row r="211" spans="6:7">
      <c r="F211" s="9"/>
      <c r="G211" s="9"/>
    </row>
    <row r="212" spans="6:7">
      <c r="F212" s="9"/>
      <c r="G212" s="9"/>
    </row>
    <row r="213" spans="6:7">
      <c r="F213" s="9"/>
      <c r="G213" s="9"/>
    </row>
    <row r="214" spans="6:7">
      <c r="F214" s="9"/>
      <c r="G214" s="9"/>
    </row>
    <row r="215" spans="6:7">
      <c r="F215" s="9"/>
      <c r="G215" s="9"/>
    </row>
    <row r="216" spans="6:7">
      <c r="F216" s="9"/>
      <c r="G216" s="9"/>
    </row>
    <row r="217" spans="6:7">
      <c r="F217" s="9"/>
      <c r="G217" s="9"/>
    </row>
    <row r="218" spans="6:7">
      <c r="F218" s="9"/>
      <c r="G218" s="9"/>
    </row>
    <row r="219" spans="6:7">
      <c r="F219" s="9"/>
      <c r="G219" s="9"/>
    </row>
    <row r="220" spans="6:7">
      <c r="F220" s="9"/>
      <c r="G220" s="9"/>
    </row>
    <row r="221" spans="6:7">
      <c r="F221" s="9"/>
      <c r="G221" s="9"/>
    </row>
    <row r="222" spans="6:7">
      <c r="F222" s="9"/>
      <c r="G222" s="9"/>
    </row>
    <row r="223" spans="6:7">
      <c r="F223" s="9"/>
      <c r="G223" s="9"/>
    </row>
    <row r="224" spans="6:7">
      <c r="F224" s="9"/>
      <c r="G224" s="9"/>
    </row>
    <row r="225" spans="6:7">
      <c r="F225" s="9"/>
      <c r="G225" s="9"/>
    </row>
    <row r="226" spans="6:7">
      <c r="F226" s="9"/>
      <c r="G226" s="9"/>
    </row>
    <row r="227" spans="6:7">
      <c r="F227" s="9"/>
      <c r="G227" s="9"/>
    </row>
    <row r="228" spans="6:7">
      <c r="F228" s="9"/>
      <c r="G228" s="9"/>
    </row>
    <row r="229" spans="6:7">
      <c r="F229" s="9"/>
      <c r="G229" s="9"/>
    </row>
    <row r="230" spans="6:7">
      <c r="F230" s="9"/>
      <c r="G230" s="9"/>
    </row>
    <row r="231" spans="6:7">
      <c r="F231" s="9"/>
      <c r="G231" s="9"/>
    </row>
    <row r="232" spans="6:7">
      <c r="F232" s="9"/>
      <c r="G232" s="9"/>
    </row>
    <row r="233" spans="6:7">
      <c r="F233" s="9"/>
      <c r="G233" s="9"/>
    </row>
    <row r="234" spans="6:7">
      <c r="F234" s="9"/>
      <c r="G234" s="9"/>
    </row>
    <row r="235" spans="6:7">
      <c r="F235" s="9"/>
      <c r="G235" s="9"/>
    </row>
    <row r="236" spans="6:7">
      <c r="F236" s="9"/>
      <c r="G236" s="9"/>
    </row>
    <row r="237" spans="6:7">
      <c r="F237" s="9"/>
      <c r="G237" s="9"/>
    </row>
    <row r="238" spans="6:7">
      <c r="F238" s="9"/>
      <c r="G238" s="9"/>
    </row>
    <row r="239" spans="6:7">
      <c r="F239" s="9"/>
      <c r="G239" s="9"/>
    </row>
    <row r="240" spans="6:7">
      <c r="F240" s="9"/>
      <c r="G240" s="9"/>
    </row>
    <row r="241" spans="6:7">
      <c r="F241" s="9"/>
      <c r="G241" s="9"/>
    </row>
    <row r="242" spans="6:7">
      <c r="F242" s="9"/>
      <c r="G242" s="9"/>
    </row>
    <row r="243" spans="6:7">
      <c r="F243" s="9"/>
      <c r="G243" s="9"/>
    </row>
    <row r="244" spans="6:7">
      <c r="F244" s="9"/>
      <c r="G244" s="9"/>
    </row>
    <row r="245" spans="6:7">
      <c r="F245" s="9"/>
      <c r="G245" s="9"/>
    </row>
    <row r="246" spans="6:7">
      <c r="F246" s="9"/>
      <c r="G246" s="9"/>
    </row>
    <row r="247" spans="6:7">
      <c r="F247" s="9"/>
      <c r="G247" s="9"/>
    </row>
    <row r="248" spans="6:7">
      <c r="F248" s="9"/>
      <c r="G248" s="9"/>
    </row>
    <row r="249" spans="6:7">
      <c r="F249" s="9"/>
      <c r="G249" s="9"/>
    </row>
    <row r="250" spans="6:7">
      <c r="F250" s="9"/>
      <c r="G250" s="9"/>
    </row>
    <row r="251" spans="6:7">
      <c r="F251" s="9"/>
      <c r="G251" s="9"/>
    </row>
    <row r="252" spans="6:7">
      <c r="F252" s="9"/>
      <c r="G252" s="9"/>
    </row>
    <row r="253" spans="6:7">
      <c r="F253" s="9"/>
      <c r="G253" s="9"/>
    </row>
    <row r="254" spans="6:7">
      <c r="F254" s="9"/>
      <c r="G254" s="9"/>
    </row>
    <row r="255" spans="6:7">
      <c r="F255" s="9"/>
      <c r="G255" s="9"/>
    </row>
    <row r="256" spans="6:7">
      <c r="F256" s="9"/>
      <c r="G256" s="9"/>
    </row>
    <row r="257" spans="6:7">
      <c r="F257" s="9"/>
      <c r="G257" s="9"/>
    </row>
    <row r="258" spans="6:7">
      <c r="F258" s="9"/>
      <c r="G258" s="9"/>
    </row>
    <row r="259" spans="6:7">
      <c r="F259" s="9"/>
      <c r="G259" s="9"/>
    </row>
    <row r="260" spans="6:7">
      <c r="F260" s="9"/>
      <c r="G260" s="9"/>
    </row>
    <row r="261" spans="6:7">
      <c r="F261" s="9"/>
      <c r="G261" s="9"/>
    </row>
    <row r="262" spans="6:7">
      <c r="F262" s="9"/>
      <c r="G262" s="9"/>
    </row>
    <row r="263" spans="6:7">
      <c r="F263" s="9"/>
      <c r="G263" s="9"/>
    </row>
    <row r="264" spans="6:7">
      <c r="F264" s="9"/>
      <c r="G264" s="9"/>
    </row>
    <row r="265" spans="6:7">
      <c r="F265" s="9"/>
      <c r="G265" s="9"/>
    </row>
    <row r="266" spans="6:7">
      <c r="F266" s="9"/>
      <c r="G266" s="9"/>
    </row>
    <row r="267" spans="6:7">
      <c r="F267" s="9"/>
      <c r="G267" s="9"/>
    </row>
    <row r="268" spans="6:7">
      <c r="F268" s="9"/>
      <c r="G268" s="9"/>
    </row>
    <row r="269" spans="6:7">
      <c r="F269" s="9"/>
      <c r="G269" s="9"/>
    </row>
    <row r="270" spans="6:7">
      <c r="F270" s="9"/>
      <c r="G270" s="9"/>
    </row>
    <row r="271" spans="6:7">
      <c r="F271" s="9"/>
      <c r="G271" s="9"/>
    </row>
    <row r="272" spans="6:7">
      <c r="F272" s="9"/>
      <c r="G272" s="9"/>
    </row>
    <row r="273" spans="6:7">
      <c r="F273" s="9"/>
      <c r="G273" s="9"/>
    </row>
    <row r="274" spans="6:7">
      <c r="F274" s="9"/>
      <c r="G274" s="9"/>
    </row>
    <row r="275" spans="6:7">
      <c r="F275" s="9"/>
      <c r="G275" s="9"/>
    </row>
    <row r="276" spans="6:7">
      <c r="F276" s="9"/>
      <c r="G276" s="9"/>
    </row>
    <row r="277" spans="6:7">
      <c r="F277" s="9"/>
      <c r="G277" s="9"/>
    </row>
    <row r="278" spans="6:7">
      <c r="F278" s="9"/>
      <c r="G278" s="9"/>
    </row>
    <row r="279" spans="6:7">
      <c r="F279" s="9"/>
      <c r="G279" s="9"/>
    </row>
    <row r="280" spans="6:7">
      <c r="F280" s="9"/>
      <c r="G280" s="9"/>
    </row>
    <row r="281" spans="6:7">
      <c r="F281" s="9"/>
      <c r="G281" s="9"/>
    </row>
    <row r="282" spans="6:7">
      <c r="F282" s="9"/>
      <c r="G282" s="9"/>
    </row>
    <row r="283" spans="6:7">
      <c r="F283" s="9"/>
      <c r="G283" s="9"/>
    </row>
    <row r="284" spans="6:7">
      <c r="F284" s="9"/>
      <c r="G284" s="9"/>
    </row>
    <row r="285" spans="6:7">
      <c r="F285" s="9"/>
      <c r="G285" s="9"/>
    </row>
    <row r="286" spans="6:7">
      <c r="F286" s="9"/>
      <c r="G286" s="9"/>
    </row>
    <row r="287" spans="6:7">
      <c r="F287" s="9"/>
      <c r="G287" s="9"/>
    </row>
    <row r="288" spans="6:7">
      <c r="F288" s="9"/>
      <c r="G288" s="9"/>
    </row>
    <row r="289" spans="6:7">
      <c r="F289" s="9"/>
      <c r="G289" s="9"/>
    </row>
    <row r="290" spans="6:7">
      <c r="F290" s="9"/>
      <c r="G290" s="9"/>
    </row>
    <row r="291" spans="6:7">
      <c r="F291" s="9"/>
      <c r="G291" s="9"/>
    </row>
    <row r="292" spans="6:7">
      <c r="F292" s="9"/>
      <c r="G292" s="9"/>
    </row>
    <row r="293" spans="6:7">
      <c r="F293" s="9"/>
      <c r="G293" s="9"/>
    </row>
    <row r="294" spans="6:7">
      <c r="F294" s="9"/>
      <c r="G294" s="9"/>
    </row>
    <row r="295" spans="6:7">
      <c r="F295" s="9"/>
      <c r="G295" s="9"/>
    </row>
    <row r="296" spans="6:7">
      <c r="F296" s="9"/>
      <c r="G296" s="9"/>
    </row>
    <row r="297" spans="6:7">
      <c r="F297" s="9"/>
      <c r="G297" s="9"/>
    </row>
    <row r="298" spans="6:7">
      <c r="F298" s="9"/>
      <c r="G298" s="9"/>
    </row>
    <row r="299" spans="6:7">
      <c r="F299" s="9"/>
      <c r="G299" s="9"/>
    </row>
    <row r="300" spans="6:7">
      <c r="F300" s="9"/>
      <c r="G300" s="9"/>
    </row>
    <row r="301" spans="6:7">
      <c r="F301" s="9"/>
      <c r="G301" s="9"/>
    </row>
    <row r="302" spans="6:7">
      <c r="F302" s="9"/>
      <c r="G302" s="9"/>
    </row>
    <row r="303" spans="6:7">
      <c r="F303" s="9"/>
      <c r="G303" s="9"/>
    </row>
    <row r="304" spans="6:7">
      <c r="F304" s="9"/>
      <c r="G304" s="9"/>
    </row>
    <row r="305" spans="6:7">
      <c r="F305" s="9"/>
      <c r="G305" s="9"/>
    </row>
    <row r="306" spans="6:7">
      <c r="F306" s="9"/>
      <c r="G306" s="9"/>
    </row>
    <row r="307" spans="6:7">
      <c r="F307" s="9"/>
      <c r="G307" s="9"/>
    </row>
    <row r="308" spans="6:7">
      <c r="F308" s="9"/>
      <c r="G308" s="9"/>
    </row>
    <row r="309" spans="6:7">
      <c r="F309" s="9"/>
      <c r="G309" s="9"/>
    </row>
    <row r="310" spans="6:7">
      <c r="F310" s="9"/>
      <c r="G310" s="9"/>
    </row>
    <row r="311" spans="6:7">
      <c r="F311" s="9"/>
      <c r="G311" s="9"/>
    </row>
    <row r="312" spans="6:7">
      <c r="F312" s="9"/>
      <c r="G312" s="9"/>
    </row>
    <row r="313" spans="6:7">
      <c r="F313" s="9"/>
      <c r="G313" s="9"/>
    </row>
    <row r="314" spans="6:7">
      <c r="F314" s="9"/>
      <c r="G314" s="9"/>
    </row>
    <row r="315" spans="6:7">
      <c r="F315" s="9"/>
      <c r="G315" s="9"/>
    </row>
    <row r="316" spans="6:7">
      <c r="F316" s="9"/>
      <c r="G316" s="9"/>
    </row>
    <row r="317" spans="6:7">
      <c r="F317" s="9"/>
      <c r="G317" s="9"/>
    </row>
    <row r="318" spans="6:7">
      <c r="F318" s="9"/>
      <c r="G318" s="9"/>
    </row>
    <row r="319" spans="6:7">
      <c r="F319" s="9"/>
      <c r="G319" s="9"/>
    </row>
    <row r="320" spans="6:7">
      <c r="F320" s="9"/>
      <c r="G320" s="9"/>
    </row>
    <row r="321" spans="6:7">
      <c r="F321" s="9"/>
      <c r="G321" s="9"/>
    </row>
    <row r="322" spans="6:7">
      <c r="F322" s="9"/>
      <c r="G322" s="9"/>
    </row>
    <row r="323" spans="6:7">
      <c r="F323" s="9"/>
      <c r="G323" s="9"/>
    </row>
    <row r="324" spans="6:7">
      <c r="F324" s="9"/>
      <c r="G324" s="9"/>
    </row>
    <row r="325" spans="6:7">
      <c r="F325" s="9"/>
      <c r="G325" s="9"/>
    </row>
    <row r="326" spans="6:7">
      <c r="F326" s="9"/>
      <c r="G326" s="9"/>
    </row>
    <row r="327" spans="6:7">
      <c r="F327" s="9"/>
      <c r="G327" s="9"/>
    </row>
    <row r="328" spans="6:7">
      <c r="F328" s="9"/>
      <c r="G328" s="9"/>
    </row>
    <row r="329" spans="6:7">
      <c r="F329" s="9"/>
      <c r="G329" s="9"/>
    </row>
    <row r="330" spans="6:7">
      <c r="F330" s="9"/>
      <c r="G330" s="9"/>
    </row>
    <row r="331" spans="6:7">
      <c r="F331" s="9"/>
      <c r="G331" s="9"/>
    </row>
    <row r="332" spans="6:7">
      <c r="F332" s="9"/>
      <c r="G332" s="9"/>
    </row>
    <row r="333" spans="6:7">
      <c r="F333" s="9"/>
      <c r="G333" s="9"/>
    </row>
    <row r="334" spans="6:7">
      <c r="F334" s="9"/>
      <c r="G334" s="9"/>
    </row>
    <row r="335" spans="6:7">
      <c r="F335" s="9"/>
      <c r="G335" s="9"/>
    </row>
    <row r="336" spans="6:7">
      <c r="F336" s="9"/>
      <c r="G336" s="9"/>
    </row>
    <row r="337" spans="6:7">
      <c r="F337" s="9"/>
      <c r="G337" s="9"/>
    </row>
    <row r="338" spans="6:7">
      <c r="F338" s="9"/>
      <c r="G338" s="9"/>
    </row>
    <row r="339" spans="6:7">
      <c r="F339" s="9"/>
      <c r="G339" s="9"/>
    </row>
    <row r="340" spans="6:7">
      <c r="F340" s="9"/>
      <c r="G340" s="9"/>
    </row>
    <row r="341" spans="6:7">
      <c r="F341" s="9"/>
      <c r="G341" s="9"/>
    </row>
    <row r="342" spans="6:7">
      <c r="F342" s="9"/>
      <c r="G342" s="9"/>
    </row>
    <row r="343" spans="6:7">
      <c r="F343" s="9"/>
      <c r="G343" s="9"/>
    </row>
    <row r="344" spans="6:7">
      <c r="F344" s="9"/>
      <c r="G344" s="9"/>
    </row>
    <row r="345" spans="6:7">
      <c r="F345" s="9"/>
      <c r="G345" s="9"/>
    </row>
    <row r="346" spans="6:7">
      <c r="F346" s="9"/>
      <c r="G346" s="9"/>
    </row>
    <row r="347" spans="6:7">
      <c r="F347" s="9"/>
      <c r="G347" s="9"/>
    </row>
    <row r="348" spans="6:7">
      <c r="F348" s="9"/>
      <c r="G348" s="9"/>
    </row>
    <row r="349" spans="6:7">
      <c r="F349" s="9"/>
      <c r="G349" s="9"/>
    </row>
    <row r="350" spans="6:7">
      <c r="F350" s="9"/>
      <c r="G350" s="9"/>
    </row>
    <row r="351" spans="6:7">
      <c r="F351" s="9"/>
      <c r="G351" s="9"/>
    </row>
    <row r="352" spans="6:7">
      <c r="F352" s="9"/>
      <c r="G352" s="9"/>
    </row>
    <row r="353" spans="6:7">
      <c r="F353" s="9"/>
      <c r="G353" s="9"/>
    </row>
    <row r="354" spans="6:7">
      <c r="F354" s="9"/>
      <c r="G354" s="9"/>
    </row>
    <row r="355" spans="6:7">
      <c r="F355" s="9"/>
      <c r="G355" s="9"/>
    </row>
    <row r="356" spans="6:7">
      <c r="F356" s="9"/>
      <c r="G356" s="9"/>
    </row>
    <row r="357" spans="6:7">
      <c r="F357" s="9"/>
      <c r="G357" s="9"/>
    </row>
    <row r="358" spans="6:7">
      <c r="F358" s="9"/>
      <c r="G358" s="9"/>
    </row>
    <row r="359" spans="6:7">
      <c r="F359" s="9"/>
      <c r="G359" s="9"/>
    </row>
    <row r="360" spans="6:7">
      <c r="F360" s="9"/>
      <c r="G360" s="9"/>
    </row>
    <row r="361" spans="6:7">
      <c r="F361" s="9"/>
      <c r="G361" s="9"/>
    </row>
    <row r="362" spans="6:7">
      <c r="F362" s="9"/>
      <c r="G362" s="9"/>
    </row>
    <row r="363" spans="6:7">
      <c r="F363" s="9"/>
      <c r="G363" s="9"/>
    </row>
    <row r="364" spans="6:7">
      <c r="F364" s="9"/>
      <c r="G364" s="9"/>
    </row>
    <row r="365" spans="6:7">
      <c r="F365" s="9"/>
      <c r="G365" s="9"/>
    </row>
    <row r="366" spans="6:7">
      <c r="F366" s="9"/>
      <c r="G366" s="9"/>
    </row>
    <row r="367" spans="6:7">
      <c r="F367" s="9"/>
      <c r="G367" s="9"/>
    </row>
    <row r="368" spans="6:7">
      <c r="F368" s="9"/>
      <c r="G368" s="9"/>
    </row>
    <row r="369" spans="6:7">
      <c r="F369" s="9"/>
      <c r="G369" s="9"/>
    </row>
    <row r="370" spans="6:7">
      <c r="F370" s="9"/>
      <c r="G370" s="9"/>
    </row>
    <row r="371" spans="6:7">
      <c r="F371" s="9"/>
      <c r="G371" s="9"/>
    </row>
    <row r="372" spans="6:7">
      <c r="F372" s="9"/>
      <c r="G372" s="9"/>
    </row>
    <row r="373" spans="6:7">
      <c r="F373" s="9"/>
      <c r="G373" s="9"/>
    </row>
    <row r="374" spans="6:7">
      <c r="F374" s="9"/>
      <c r="G374" s="9"/>
    </row>
    <row r="375" spans="6:7">
      <c r="F375" s="9"/>
      <c r="G375" s="9"/>
    </row>
    <row r="376" spans="6:7">
      <c r="F376" s="9"/>
      <c r="G376" s="9"/>
    </row>
    <row r="377" spans="6:7">
      <c r="F377" s="9"/>
      <c r="G377" s="9"/>
    </row>
    <row r="378" spans="6:7">
      <c r="F378" s="9"/>
      <c r="G378" s="9"/>
    </row>
    <row r="379" spans="6:7">
      <c r="F379" s="9"/>
      <c r="G379" s="9"/>
    </row>
    <row r="380" spans="6:7">
      <c r="F380" s="9"/>
      <c r="G380" s="9"/>
    </row>
    <row r="381" spans="6:7">
      <c r="F381" s="9"/>
      <c r="G381" s="9"/>
    </row>
    <row r="382" spans="6:7">
      <c r="F382" s="9"/>
      <c r="G382" s="9"/>
    </row>
    <row r="383" spans="6:7">
      <c r="F383" s="9"/>
      <c r="G383" s="9"/>
    </row>
    <row r="384" spans="6:7">
      <c r="F384" s="9"/>
      <c r="G384" s="9"/>
    </row>
    <row r="385" spans="6:7">
      <c r="F385" s="9"/>
      <c r="G385" s="9"/>
    </row>
    <row r="386" spans="6:7">
      <c r="F386" s="9"/>
      <c r="G386" s="9"/>
    </row>
    <row r="387" spans="6:7">
      <c r="F387" s="9"/>
      <c r="G387" s="9"/>
    </row>
    <row r="388" spans="6:7">
      <c r="F388" s="9"/>
      <c r="G388" s="9"/>
    </row>
    <row r="389" spans="6:7">
      <c r="F389" s="9"/>
      <c r="G389" s="9"/>
    </row>
    <row r="390" spans="6:7">
      <c r="F390" s="9"/>
      <c r="G390" s="9"/>
    </row>
    <row r="391" spans="6:7">
      <c r="F391" s="9"/>
      <c r="G391" s="9"/>
    </row>
    <row r="392" spans="6:7">
      <c r="F392" s="9"/>
      <c r="G392" s="9"/>
    </row>
    <row r="393" spans="6:7">
      <c r="F393" s="9"/>
      <c r="G393" s="9"/>
    </row>
    <row r="394" spans="6:7">
      <c r="F394" s="9"/>
      <c r="G394" s="9"/>
    </row>
    <row r="395" spans="6:7">
      <c r="F395" s="9"/>
      <c r="G395" s="9"/>
    </row>
    <row r="396" spans="6:7">
      <c r="F396" s="9"/>
      <c r="G396" s="9"/>
    </row>
    <row r="397" spans="6:7">
      <c r="F397" s="9"/>
      <c r="G397" s="9"/>
    </row>
    <row r="398" spans="6:7">
      <c r="F398" s="9"/>
      <c r="G398" s="9"/>
    </row>
    <row r="399" spans="6:7">
      <c r="F399" s="9"/>
      <c r="G399" s="9"/>
    </row>
    <row r="400" spans="6:7">
      <c r="F400" s="9"/>
      <c r="G400" s="9"/>
    </row>
    <row r="401" spans="6:7">
      <c r="F401" s="9"/>
      <c r="G401" s="9"/>
    </row>
    <row r="402" spans="6:7">
      <c r="F402" s="9"/>
      <c r="G402" s="9"/>
    </row>
    <row r="403" spans="6:7">
      <c r="F403" s="9"/>
      <c r="G403" s="9"/>
    </row>
    <row r="404" spans="6:7">
      <c r="F404" s="9"/>
      <c r="G404" s="9"/>
    </row>
    <row r="405" spans="6:7">
      <c r="F405" s="9"/>
      <c r="G405" s="9"/>
    </row>
    <row r="406" spans="6:7">
      <c r="F406" s="9"/>
      <c r="G406" s="9"/>
    </row>
    <row r="407" spans="6:7">
      <c r="F407" s="9"/>
      <c r="G407" s="9"/>
    </row>
    <row r="408" spans="6:7">
      <c r="F408" s="9"/>
      <c r="G408" s="9"/>
    </row>
    <row r="409" spans="6:7">
      <c r="F409" s="9"/>
      <c r="G409" s="9"/>
    </row>
    <row r="410" spans="6:7">
      <c r="F410" s="9"/>
      <c r="G410" s="9"/>
    </row>
    <row r="411" spans="6:7">
      <c r="F411" s="9"/>
      <c r="G411" s="9"/>
    </row>
    <row r="412" spans="6:7">
      <c r="F412" s="9"/>
      <c r="G412" s="9"/>
    </row>
    <row r="413" spans="6:7">
      <c r="F413" s="9"/>
      <c r="G413" s="9"/>
    </row>
    <row r="414" spans="6:7">
      <c r="F414" s="9"/>
      <c r="G414" s="9"/>
    </row>
    <row r="415" spans="6:7">
      <c r="F415" s="9"/>
      <c r="G415" s="9"/>
    </row>
    <row r="416" spans="6:7">
      <c r="F416" s="9"/>
      <c r="G416" s="9"/>
    </row>
    <row r="417" spans="6:7">
      <c r="F417" s="9"/>
      <c r="G417" s="9"/>
    </row>
    <row r="418" spans="6:7">
      <c r="F418" s="9"/>
      <c r="G418" s="9"/>
    </row>
    <row r="419" spans="6:7">
      <c r="F419" s="9"/>
      <c r="G419" s="9"/>
    </row>
    <row r="420" spans="6:7">
      <c r="F420" s="9"/>
      <c r="G420" s="9"/>
    </row>
    <row r="421" spans="6:7">
      <c r="F421" s="9"/>
      <c r="G421" s="9"/>
    </row>
    <row r="422" spans="6:7">
      <c r="F422" s="9"/>
      <c r="G422" s="9"/>
    </row>
    <row r="423" spans="6:7">
      <c r="F423" s="9"/>
      <c r="G423" s="9"/>
    </row>
    <row r="424" spans="6:7">
      <c r="F424" s="9"/>
      <c r="G424" s="9"/>
    </row>
    <row r="425" spans="6:7">
      <c r="F425" s="9"/>
      <c r="G425" s="9"/>
    </row>
    <row r="426" spans="6:7">
      <c r="F426" s="9"/>
      <c r="G426" s="9"/>
    </row>
    <row r="427" spans="6:7">
      <c r="F427" s="9"/>
      <c r="G427" s="9"/>
    </row>
    <row r="428" spans="6:7">
      <c r="F428" s="9"/>
      <c r="G428" s="9"/>
    </row>
    <row r="429" spans="6:7">
      <c r="F429" s="9"/>
      <c r="G429" s="9"/>
    </row>
    <row r="430" spans="6:7">
      <c r="F430" s="9"/>
      <c r="G430" s="9"/>
    </row>
    <row r="431" spans="6:7">
      <c r="F431" s="9"/>
      <c r="G431" s="9"/>
    </row>
    <row r="432" spans="6:7">
      <c r="F432" s="9"/>
      <c r="G432" s="9"/>
    </row>
    <row r="433" spans="6:7">
      <c r="F433" s="9"/>
      <c r="G433" s="9"/>
    </row>
    <row r="434" spans="6:7">
      <c r="F434" s="9"/>
      <c r="G434" s="9"/>
    </row>
    <row r="435" spans="6:7">
      <c r="F435" s="9"/>
      <c r="G435" s="9"/>
    </row>
    <row r="436" spans="6:7">
      <c r="F436" s="9"/>
      <c r="G436" s="9"/>
    </row>
    <row r="437" spans="6:7">
      <c r="F437" s="9"/>
      <c r="G437" s="9"/>
    </row>
    <row r="438" spans="6:7">
      <c r="F438" s="9"/>
      <c r="G438" s="9"/>
    </row>
    <row r="439" spans="6:7">
      <c r="F439" s="9"/>
      <c r="G439" s="9"/>
    </row>
    <row r="440" spans="6:7">
      <c r="F440" s="9"/>
      <c r="G440" s="9"/>
    </row>
    <row r="441" spans="6:7">
      <c r="F441" s="9"/>
      <c r="G441" s="9"/>
    </row>
    <row r="442" spans="6:7">
      <c r="F442" s="9"/>
      <c r="G442" s="9"/>
    </row>
    <row r="443" spans="6:7">
      <c r="F443" s="9"/>
      <c r="G443" s="9"/>
    </row>
    <row r="444" spans="6:7">
      <c r="F444" s="9"/>
      <c r="G444" s="9"/>
    </row>
    <row r="445" spans="6:7">
      <c r="F445" s="9"/>
      <c r="G445" s="9"/>
    </row>
    <row r="446" spans="6:7">
      <c r="F446" s="9"/>
      <c r="G446" s="9"/>
    </row>
    <row r="447" spans="6:7">
      <c r="F447" s="9"/>
      <c r="G447" s="9"/>
    </row>
    <row r="448" spans="6:7">
      <c r="F448" s="9"/>
      <c r="G448" s="9"/>
    </row>
    <row r="449" spans="6:7">
      <c r="F449" s="9"/>
      <c r="G449" s="9"/>
    </row>
    <row r="450" spans="6:7">
      <c r="F450" s="9"/>
      <c r="G450" s="9"/>
    </row>
    <row r="451" spans="6:7">
      <c r="F451" s="9"/>
      <c r="G451" s="9"/>
    </row>
    <row r="452" spans="6:7">
      <c r="F452" s="9"/>
      <c r="G452" s="9"/>
    </row>
    <row r="453" spans="6:7">
      <c r="F453" s="9"/>
      <c r="G453" s="9"/>
    </row>
    <row r="454" spans="6:7">
      <c r="F454" s="9"/>
      <c r="G454" s="9"/>
    </row>
    <row r="455" spans="6:7">
      <c r="F455" s="9"/>
      <c r="G455" s="9"/>
    </row>
    <row r="456" spans="6:7">
      <c r="F456" s="9"/>
      <c r="G456" s="9"/>
    </row>
    <row r="457" spans="6:7">
      <c r="F457" s="9"/>
      <c r="G457" s="9"/>
    </row>
    <row r="458" spans="6:7">
      <c r="F458" s="9"/>
      <c r="G458" s="9"/>
    </row>
    <row r="459" spans="6:7">
      <c r="F459" s="9"/>
      <c r="G459" s="9"/>
    </row>
    <row r="460" spans="6:7">
      <c r="F460" s="9"/>
      <c r="G460" s="9"/>
    </row>
    <row r="461" spans="6:7">
      <c r="F461" s="9"/>
      <c r="G461" s="9"/>
    </row>
    <row r="462" spans="6:7">
      <c r="F462" s="9"/>
      <c r="G462" s="9"/>
    </row>
    <row r="463" spans="6:7">
      <c r="F463" s="9"/>
      <c r="G463" s="9"/>
    </row>
    <row r="464" spans="6:7">
      <c r="F464" s="9"/>
      <c r="G464" s="9"/>
    </row>
    <row r="465" spans="6:7">
      <c r="F465" s="9"/>
      <c r="G465" s="9"/>
    </row>
    <row r="466" spans="6:7">
      <c r="F466" s="9"/>
      <c r="G466" s="9"/>
    </row>
    <row r="467" spans="6:7">
      <c r="F467" s="9"/>
      <c r="G467" s="9"/>
    </row>
    <row r="468" spans="6:7">
      <c r="F468" s="9"/>
      <c r="G468" s="9"/>
    </row>
    <row r="469" spans="6:7">
      <c r="F469" s="9"/>
      <c r="G469" s="9"/>
    </row>
    <row r="470" spans="6:7">
      <c r="F470" s="9"/>
      <c r="G470" s="9"/>
    </row>
    <row r="471" spans="6:7">
      <c r="F471" s="9"/>
      <c r="G471" s="9"/>
    </row>
    <row r="472" spans="6:7">
      <c r="F472" s="9"/>
      <c r="G472" s="9"/>
    </row>
    <row r="473" spans="6:7">
      <c r="F473" s="9"/>
      <c r="G473" s="9"/>
    </row>
    <row r="474" spans="6:7">
      <c r="F474" s="9"/>
      <c r="G474" s="9"/>
    </row>
    <row r="475" spans="6:7">
      <c r="F475" s="9"/>
      <c r="G475" s="9"/>
    </row>
    <row r="476" spans="6:7">
      <c r="F476" s="9"/>
      <c r="G476" s="9"/>
    </row>
    <row r="477" spans="6:7">
      <c r="F477" s="9"/>
      <c r="G477" s="9"/>
    </row>
    <row r="478" spans="6:7">
      <c r="F478" s="9"/>
      <c r="G478" s="9"/>
    </row>
    <row r="479" spans="6:7">
      <c r="F479" s="9"/>
      <c r="G479" s="9"/>
    </row>
    <row r="480" spans="6:7">
      <c r="F480" s="9"/>
      <c r="G480" s="9"/>
    </row>
    <row r="481" spans="6:7">
      <c r="F481" s="9"/>
      <c r="G481" s="9"/>
    </row>
    <row r="482" spans="6:7">
      <c r="F482" s="9"/>
      <c r="G482" s="9"/>
    </row>
    <row r="483" spans="6:7">
      <c r="F483" s="9"/>
      <c r="G483" s="9"/>
    </row>
    <row r="484" spans="6:7">
      <c r="F484" s="9"/>
      <c r="G484" s="9"/>
    </row>
    <row r="485" spans="6:7">
      <c r="F485" s="9"/>
      <c r="G485" s="9"/>
    </row>
    <row r="486" spans="6:7">
      <c r="F486" s="9"/>
      <c r="G486" s="9"/>
    </row>
    <row r="487" spans="6:7">
      <c r="F487" s="9"/>
      <c r="G487" s="9"/>
    </row>
    <row r="488" spans="6:7">
      <c r="F488" s="9"/>
      <c r="G488" s="9"/>
    </row>
    <row r="489" spans="6:7">
      <c r="F489" s="9"/>
      <c r="G489" s="9"/>
    </row>
    <row r="490" spans="6:7">
      <c r="F490" s="9"/>
      <c r="G490" s="9"/>
    </row>
    <row r="491" spans="6:7">
      <c r="F491" s="9"/>
      <c r="G491" s="9"/>
    </row>
    <row r="492" spans="6:7">
      <c r="F492" s="9"/>
      <c r="G492" s="9"/>
    </row>
    <row r="493" spans="6:7">
      <c r="F493" s="9"/>
      <c r="G493" s="9"/>
    </row>
    <row r="494" spans="6:7">
      <c r="F494" s="9"/>
      <c r="G494" s="9"/>
    </row>
    <row r="495" spans="6:7">
      <c r="F495" s="9"/>
      <c r="G495" s="9"/>
    </row>
    <row r="496" spans="6:7">
      <c r="F496" s="9"/>
      <c r="G496" s="9"/>
    </row>
    <row r="497" spans="6:7">
      <c r="F497" s="9"/>
      <c r="G497" s="9"/>
    </row>
    <row r="498" spans="6:7">
      <c r="F498" s="9"/>
      <c r="G498" s="9"/>
    </row>
    <row r="499" spans="6:7">
      <c r="F499" s="9"/>
      <c r="G499" s="9"/>
    </row>
    <row r="500" spans="6:7">
      <c r="F500" s="9"/>
      <c r="G500" s="9"/>
    </row>
    <row r="501" spans="6:7">
      <c r="F501" s="9"/>
      <c r="G501" s="9"/>
    </row>
    <row r="502" spans="6:7">
      <c r="F502" s="9"/>
      <c r="G502" s="9"/>
    </row>
    <row r="503" spans="6:7">
      <c r="F503" s="9"/>
      <c r="G503" s="9"/>
    </row>
    <row r="504" spans="6:7">
      <c r="F504" s="9"/>
      <c r="G504" s="9"/>
    </row>
    <row r="505" spans="6:7">
      <c r="F505" s="9"/>
      <c r="G505" s="9"/>
    </row>
    <row r="506" spans="6:7">
      <c r="F506" s="9"/>
      <c r="G506" s="9"/>
    </row>
    <row r="507" spans="6:7">
      <c r="F507" s="9"/>
      <c r="G507" s="9"/>
    </row>
    <row r="508" spans="6:7">
      <c r="F508" s="9"/>
      <c r="G508" s="9"/>
    </row>
    <row r="509" spans="6:7">
      <c r="F509" s="9"/>
      <c r="G509" s="9"/>
    </row>
    <row r="510" spans="6:7">
      <c r="F510" s="9"/>
      <c r="G510" s="9"/>
    </row>
    <row r="511" spans="6:7">
      <c r="F511" s="9"/>
      <c r="G511" s="9"/>
    </row>
    <row r="512" spans="6:7">
      <c r="F512" s="9"/>
      <c r="G512" s="9"/>
    </row>
    <row r="513" spans="6:7">
      <c r="F513" s="9"/>
      <c r="G513" s="9"/>
    </row>
    <row r="514" spans="6:7">
      <c r="F514" s="9"/>
      <c r="G514" s="9"/>
    </row>
    <row r="515" spans="6:7">
      <c r="F515" s="9"/>
      <c r="G515" s="9"/>
    </row>
    <row r="516" spans="6:7">
      <c r="F516" s="9"/>
      <c r="G516" s="9"/>
    </row>
    <row r="517" spans="6:7">
      <c r="F517" s="9"/>
      <c r="G517" s="9"/>
    </row>
    <row r="518" spans="6:7">
      <c r="F518" s="9"/>
      <c r="G518" s="9"/>
    </row>
    <row r="519" spans="6:7">
      <c r="F519" s="9"/>
      <c r="G519" s="9"/>
    </row>
    <row r="520" spans="6:7">
      <c r="F520" s="9"/>
      <c r="G520" s="9"/>
    </row>
    <row r="521" spans="6:7">
      <c r="F521" s="9"/>
      <c r="G521" s="9"/>
    </row>
    <row r="522" spans="6:7">
      <c r="F522" s="9"/>
      <c r="G522" s="9"/>
    </row>
    <row r="523" spans="6:7">
      <c r="F523" s="9"/>
      <c r="G523" s="9"/>
    </row>
    <row r="524" spans="6:7">
      <c r="F524" s="9"/>
      <c r="G524" s="9"/>
    </row>
    <row r="525" spans="6:7">
      <c r="F525" s="9"/>
      <c r="G525" s="9"/>
    </row>
    <row r="526" spans="6:7">
      <c r="F526" s="9"/>
      <c r="G526" s="9"/>
    </row>
    <row r="527" spans="6:7">
      <c r="F527" s="9"/>
      <c r="G527" s="9"/>
    </row>
    <row r="528" spans="6:7">
      <c r="F528" s="9"/>
      <c r="G528" s="9"/>
    </row>
    <row r="529" spans="6:7">
      <c r="F529" s="9"/>
      <c r="G529" s="9"/>
    </row>
    <row r="530" spans="6:7">
      <c r="F530" s="9"/>
      <c r="G530" s="9"/>
    </row>
    <row r="531" spans="6:7">
      <c r="F531" s="9"/>
      <c r="G531" s="9"/>
    </row>
    <row r="532" spans="6:7">
      <c r="F532" s="9"/>
      <c r="G532" s="9"/>
    </row>
    <row r="533" spans="6:7">
      <c r="F533" s="9"/>
      <c r="G533" s="9"/>
    </row>
    <row r="534" spans="6:7">
      <c r="F534" s="9"/>
      <c r="G534" s="9"/>
    </row>
    <row r="535" spans="6:7">
      <c r="F535" s="9"/>
      <c r="G535" s="9"/>
    </row>
    <row r="536" spans="6:7">
      <c r="F536" s="9"/>
      <c r="G536" s="9"/>
    </row>
    <row r="537" spans="6:7">
      <c r="F537" s="9"/>
      <c r="G537" s="9"/>
    </row>
    <row r="538" spans="6:7">
      <c r="F538" s="9"/>
      <c r="G538" s="9"/>
    </row>
    <row r="539" spans="6:7">
      <c r="F539" s="9"/>
      <c r="G539" s="9"/>
    </row>
    <row r="540" spans="6:7">
      <c r="F540" s="9"/>
      <c r="G540" s="9"/>
    </row>
    <row r="541" spans="6:7">
      <c r="F541" s="9"/>
      <c r="G541" s="9"/>
    </row>
    <row r="542" spans="6:7">
      <c r="F542" s="9"/>
      <c r="G542" s="9"/>
    </row>
    <row r="543" spans="6:7">
      <c r="F543" s="9"/>
      <c r="G543" s="9"/>
    </row>
    <row r="544" spans="6:7">
      <c r="F544" s="9"/>
      <c r="G544" s="9"/>
    </row>
    <row r="545" spans="6:7">
      <c r="F545" s="9"/>
      <c r="G545" s="9"/>
    </row>
    <row r="546" spans="6:7">
      <c r="F546" s="9"/>
      <c r="G546" s="9"/>
    </row>
    <row r="547" spans="6:7">
      <c r="F547" s="9"/>
      <c r="G547" s="9"/>
    </row>
    <row r="548" spans="6:7">
      <c r="F548" s="9"/>
      <c r="G548" s="9"/>
    </row>
    <row r="549" spans="6:7">
      <c r="F549" s="9"/>
      <c r="G549" s="9"/>
    </row>
    <row r="550" spans="6:7">
      <c r="F550" s="9"/>
      <c r="G550" s="9"/>
    </row>
    <row r="551" spans="6:7">
      <c r="F551" s="9"/>
      <c r="G551" s="9"/>
    </row>
    <row r="552" spans="6:7">
      <c r="F552" s="9"/>
      <c r="G552" s="9"/>
    </row>
    <row r="553" spans="6:7">
      <c r="F553" s="9"/>
      <c r="G553" s="9"/>
    </row>
    <row r="554" spans="6:7">
      <c r="F554" s="9"/>
      <c r="G554" s="9"/>
    </row>
    <row r="555" spans="6:7">
      <c r="F555" s="9"/>
      <c r="G555" s="9"/>
    </row>
    <row r="556" spans="6:7">
      <c r="F556" s="9"/>
      <c r="G556" s="9"/>
    </row>
    <row r="557" spans="6:7">
      <c r="F557" s="9"/>
      <c r="G557" s="9"/>
    </row>
    <row r="558" spans="6:7">
      <c r="F558" s="9"/>
      <c r="G558" s="9"/>
    </row>
    <row r="559" spans="6:7">
      <c r="F559" s="9"/>
      <c r="G559" s="9"/>
    </row>
    <row r="560" spans="6:7">
      <c r="F560" s="9"/>
      <c r="G560" s="9"/>
    </row>
    <row r="561" spans="6:7">
      <c r="F561" s="9"/>
      <c r="G561" s="9"/>
    </row>
    <row r="562" spans="6:7">
      <c r="F562" s="9"/>
      <c r="G562" s="9"/>
    </row>
    <row r="563" spans="6:7">
      <c r="F563" s="9"/>
      <c r="G563" s="9"/>
    </row>
    <row r="564" spans="6:7">
      <c r="F564" s="9"/>
      <c r="G564" s="9"/>
    </row>
    <row r="565" spans="6:7">
      <c r="F565" s="9"/>
      <c r="G565" s="9"/>
    </row>
    <row r="566" spans="6:7">
      <c r="F566" s="9"/>
      <c r="G566" s="9"/>
    </row>
    <row r="567" spans="6:7">
      <c r="F567" s="9"/>
      <c r="G567" s="9"/>
    </row>
    <row r="568" spans="6:7">
      <c r="F568" s="9"/>
      <c r="G568" s="9"/>
    </row>
    <row r="569" spans="6:7">
      <c r="F569" s="9"/>
      <c r="G569" s="9"/>
    </row>
    <row r="570" spans="6:7">
      <c r="F570" s="9"/>
      <c r="G570" s="9"/>
    </row>
    <row r="571" spans="6:7">
      <c r="F571" s="9"/>
      <c r="G571" s="9"/>
    </row>
    <row r="572" spans="6:7">
      <c r="F572" s="9"/>
      <c r="G572" s="9"/>
    </row>
    <row r="573" spans="6:7">
      <c r="F573" s="9"/>
      <c r="G573" s="9"/>
    </row>
    <row r="574" spans="6:7">
      <c r="F574" s="9"/>
      <c r="G574" s="9"/>
    </row>
    <row r="575" spans="6:7">
      <c r="F575" s="9"/>
      <c r="G575" s="9"/>
    </row>
    <row r="576" spans="6:7">
      <c r="F576" s="9"/>
      <c r="G576" s="9"/>
    </row>
    <row r="577" spans="6:7">
      <c r="F577" s="9"/>
      <c r="G577" s="9"/>
    </row>
    <row r="578" spans="6:7">
      <c r="F578" s="9"/>
      <c r="G578" s="9"/>
    </row>
    <row r="579" spans="6:7">
      <c r="F579" s="9"/>
      <c r="G579" s="9"/>
    </row>
    <row r="580" spans="6:7">
      <c r="F580" s="9"/>
      <c r="G580" s="9"/>
    </row>
    <row r="581" spans="6:7">
      <c r="F581" s="9"/>
      <c r="G581" s="9"/>
    </row>
    <row r="582" spans="6:7">
      <c r="F582" s="9"/>
      <c r="G582" s="9"/>
    </row>
    <row r="583" spans="6:7">
      <c r="F583" s="9"/>
      <c r="G583" s="9"/>
    </row>
    <row r="584" spans="6:7">
      <c r="F584" s="9"/>
      <c r="G584" s="9"/>
    </row>
    <row r="585" spans="6:7">
      <c r="F585" s="9"/>
      <c r="G585" s="9"/>
    </row>
    <row r="586" spans="6:7">
      <c r="F586" s="9"/>
      <c r="G586" s="9"/>
    </row>
    <row r="587" spans="6:7">
      <c r="F587" s="9"/>
      <c r="G587" s="9"/>
    </row>
    <row r="588" spans="6:7">
      <c r="F588" s="9"/>
      <c r="G588" s="9"/>
    </row>
    <row r="589" spans="6:7">
      <c r="F589" s="9"/>
      <c r="G589" s="9"/>
    </row>
    <row r="590" spans="6:7">
      <c r="F590" s="9"/>
      <c r="G590" s="9"/>
    </row>
    <row r="591" spans="6:7">
      <c r="F591" s="9"/>
      <c r="G591" s="9"/>
    </row>
    <row r="592" spans="6:7">
      <c r="F592" s="9"/>
      <c r="G592" s="9"/>
    </row>
    <row r="593" spans="6:7">
      <c r="F593" s="9"/>
      <c r="G593" s="9"/>
    </row>
    <row r="594" spans="6:7">
      <c r="F594" s="9"/>
      <c r="G594" s="9"/>
    </row>
    <row r="595" spans="6:7">
      <c r="F595" s="9"/>
      <c r="G595" s="9"/>
    </row>
    <row r="596" spans="6:7">
      <c r="F596" s="9"/>
      <c r="G596" s="9"/>
    </row>
    <row r="597" spans="6:7">
      <c r="F597" s="9"/>
      <c r="G597" s="9"/>
    </row>
    <row r="598" spans="6:7">
      <c r="F598" s="9"/>
      <c r="G598" s="9"/>
    </row>
    <row r="599" spans="6:7">
      <c r="F599" s="9"/>
      <c r="G599" s="9"/>
    </row>
    <row r="600" spans="6:7">
      <c r="F600" s="9"/>
      <c r="G600" s="9"/>
    </row>
    <row r="601" spans="6:7">
      <c r="F601" s="9"/>
      <c r="G601" s="9"/>
    </row>
    <row r="602" spans="6:7">
      <c r="F602" s="9"/>
      <c r="G602" s="9"/>
    </row>
    <row r="603" spans="6:7">
      <c r="F603" s="9"/>
      <c r="G603" s="9"/>
    </row>
    <row r="604" spans="6:7">
      <c r="F604" s="9"/>
      <c r="G604" s="9"/>
    </row>
    <row r="605" spans="6:7">
      <c r="F605" s="9"/>
      <c r="G605" s="9"/>
    </row>
    <row r="606" spans="6:7">
      <c r="F606" s="9"/>
      <c r="G606" s="9"/>
    </row>
    <row r="607" spans="6:7">
      <c r="F607" s="9"/>
      <c r="G607" s="9"/>
    </row>
    <row r="608" spans="6:7">
      <c r="F608" s="9"/>
      <c r="G608" s="9"/>
    </row>
    <row r="609" spans="6:7">
      <c r="F609" s="9"/>
      <c r="G609" s="9"/>
    </row>
    <row r="610" spans="6:7">
      <c r="F610" s="9"/>
      <c r="G610" s="9"/>
    </row>
    <row r="611" spans="6:7">
      <c r="F611" s="9"/>
      <c r="G611" s="9"/>
    </row>
    <row r="612" spans="6:7">
      <c r="F612" s="9"/>
      <c r="G612" s="9"/>
    </row>
    <row r="613" spans="6:7">
      <c r="F613" s="9"/>
      <c r="G613" s="9"/>
    </row>
    <row r="614" spans="6:7">
      <c r="F614" s="9"/>
      <c r="G614" s="9"/>
    </row>
    <row r="615" spans="6:7">
      <c r="F615" s="9"/>
      <c r="G615" s="9"/>
    </row>
    <row r="616" spans="6:7">
      <c r="F616" s="9"/>
      <c r="G616" s="9"/>
    </row>
    <row r="617" spans="6:7">
      <c r="F617" s="9"/>
      <c r="G617" s="9"/>
    </row>
    <row r="618" spans="6:7">
      <c r="F618" s="9"/>
      <c r="G618" s="9"/>
    </row>
    <row r="619" spans="6:7">
      <c r="F619" s="9"/>
      <c r="G619" s="9"/>
    </row>
    <row r="620" spans="6:7">
      <c r="F620" s="9"/>
      <c r="G620" s="9"/>
    </row>
    <row r="621" spans="6:7">
      <c r="F621" s="9"/>
      <c r="G621" s="9"/>
    </row>
    <row r="622" spans="6:7">
      <c r="F622" s="9"/>
      <c r="G622" s="9"/>
    </row>
    <row r="623" spans="6:7">
      <c r="F623" s="9"/>
      <c r="G623" s="9"/>
    </row>
    <row r="624" spans="6:7">
      <c r="F624" s="9"/>
      <c r="G624" s="9"/>
    </row>
    <row r="625" spans="6:7">
      <c r="F625" s="9"/>
      <c r="G625" s="9"/>
    </row>
    <row r="626" spans="6:7">
      <c r="F626" s="9"/>
      <c r="G626" s="9"/>
    </row>
    <row r="627" spans="6:7">
      <c r="F627" s="9"/>
      <c r="G627" s="9"/>
    </row>
    <row r="628" spans="6:7">
      <c r="F628" s="9"/>
      <c r="G628" s="9"/>
    </row>
    <row r="629" spans="6:7">
      <c r="F629" s="9"/>
      <c r="G629" s="9"/>
    </row>
    <row r="630" spans="6:7">
      <c r="F630" s="9"/>
      <c r="G630" s="9"/>
    </row>
    <row r="631" spans="6:7">
      <c r="F631" s="9"/>
      <c r="G631" s="9"/>
    </row>
    <row r="632" spans="6:7">
      <c r="F632" s="9"/>
      <c r="G632" s="9"/>
    </row>
    <row r="633" spans="6:7">
      <c r="F633" s="9"/>
      <c r="G633" s="9"/>
    </row>
    <row r="634" spans="6:7">
      <c r="F634" s="9"/>
      <c r="G634" s="9"/>
    </row>
    <row r="635" spans="6:7">
      <c r="F635" s="9"/>
      <c r="G635" s="9"/>
    </row>
    <row r="636" spans="6:7">
      <c r="F636" s="9"/>
      <c r="G636" s="9"/>
    </row>
    <row r="637" spans="6:7">
      <c r="F637" s="9"/>
      <c r="G637" s="9"/>
    </row>
    <row r="638" spans="6:7">
      <c r="F638" s="9"/>
      <c r="G638" s="9"/>
    </row>
    <row r="639" spans="6:7">
      <c r="F639" s="9"/>
      <c r="G639" s="9"/>
    </row>
    <row r="640" spans="6:7">
      <c r="F640" s="9"/>
      <c r="G640" s="9"/>
    </row>
    <row r="641" spans="6:7">
      <c r="F641" s="9"/>
      <c r="G641" s="9"/>
    </row>
    <row r="642" spans="6:7">
      <c r="F642" s="9"/>
      <c r="G642" s="9"/>
    </row>
    <row r="643" spans="6:7">
      <c r="F643" s="9"/>
      <c r="G643" s="9"/>
    </row>
    <row r="644" spans="6:7">
      <c r="F644" s="9"/>
      <c r="G644" s="9"/>
    </row>
    <row r="645" spans="6:7">
      <c r="F645" s="9"/>
      <c r="G645" s="9"/>
    </row>
    <row r="646" spans="6:7">
      <c r="F646" s="9"/>
      <c r="G646" s="9"/>
    </row>
    <row r="647" spans="6:7">
      <c r="F647" s="9"/>
      <c r="G647" s="9"/>
    </row>
    <row r="648" spans="6:7">
      <c r="F648" s="9"/>
      <c r="G648" s="9"/>
    </row>
    <row r="649" spans="6:7">
      <c r="F649" s="9"/>
      <c r="G649" s="9"/>
    </row>
    <row r="650" spans="6:7">
      <c r="F650" s="9"/>
      <c r="G650" s="9"/>
    </row>
    <row r="651" spans="6:7">
      <c r="F651" s="9"/>
      <c r="G651" s="9"/>
    </row>
    <row r="652" spans="6:7">
      <c r="F652" s="9"/>
      <c r="G652" s="9"/>
    </row>
    <row r="653" spans="6:7">
      <c r="F653" s="9"/>
      <c r="G653" s="9"/>
    </row>
    <row r="654" spans="6:7">
      <c r="F654" s="9"/>
      <c r="G654" s="9"/>
    </row>
    <row r="655" spans="6:7">
      <c r="F655" s="9"/>
      <c r="G655" s="9"/>
    </row>
    <row r="656" spans="6:7">
      <c r="F656" s="9"/>
      <c r="G656" s="9"/>
    </row>
    <row r="657" spans="6:7">
      <c r="F657" s="9"/>
      <c r="G657" s="9"/>
    </row>
    <row r="658" spans="6:7">
      <c r="F658" s="9"/>
      <c r="G658" s="9"/>
    </row>
    <row r="659" spans="6:7">
      <c r="F659" s="9"/>
      <c r="G659" s="9"/>
    </row>
    <row r="660" spans="6:7">
      <c r="F660" s="9"/>
      <c r="G660" s="9"/>
    </row>
    <row r="661" spans="6:7">
      <c r="F661" s="9"/>
      <c r="G661" s="9"/>
    </row>
    <row r="662" spans="6:7">
      <c r="F662" s="9"/>
      <c r="G662" s="9"/>
    </row>
    <row r="663" spans="6:7">
      <c r="F663" s="9"/>
      <c r="G663" s="9"/>
    </row>
    <row r="664" spans="6:7">
      <c r="F664" s="9"/>
      <c r="G664" s="9"/>
    </row>
    <row r="665" spans="6:7">
      <c r="F665" s="9"/>
      <c r="G665" s="9"/>
    </row>
    <row r="666" spans="6:7">
      <c r="F666" s="9"/>
      <c r="G666" s="9"/>
    </row>
    <row r="667" spans="6:7">
      <c r="F667" s="9"/>
      <c r="G667" s="9"/>
    </row>
    <row r="668" spans="6:7">
      <c r="F668" s="9"/>
      <c r="G668" s="9"/>
    </row>
    <row r="669" spans="6:7">
      <c r="F669" s="9"/>
      <c r="G669" s="9"/>
    </row>
    <row r="670" spans="6:7">
      <c r="F670" s="9"/>
      <c r="G670" s="9"/>
    </row>
    <row r="671" spans="6:7">
      <c r="F671" s="9"/>
      <c r="G671" s="9"/>
    </row>
    <row r="672" spans="6:7">
      <c r="F672" s="9"/>
      <c r="G672" s="9"/>
    </row>
    <row r="673" spans="6:7">
      <c r="F673" s="9"/>
      <c r="G673" s="9"/>
    </row>
    <row r="674" spans="6:7">
      <c r="F674" s="9"/>
      <c r="G674" s="9"/>
    </row>
    <row r="675" spans="6:7">
      <c r="F675" s="9"/>
      <c r="G675" s="9"/>
    </row>
    <row r="676" spans="6:7">
      <c r="F676" s="9"/>
      <c r="G676" s="9"/>
    </row>
    <row r="677" spans="6:7">
      <c r="F677" s="9"/>
      <c r="G677" s="9"/>
    </row>
    <row r="678" spans="6:7">
      <c r="F678" s="9"/>
      <c r="G678" s="9"/>
    </row>
    <row r="679" spans="6:7">
      <c r="F679" s="9"/>
      <c r="G679" s="9"/>
    </row>
    <row r="680" spans="6:7">
      <c r="F680" s="9"/>
      <c r="G680" s="9"/>
    </row>
    <row r="681" spans="6:7">
      <c r="F681" s="9"/>
      <c r="G681" s="9"/>
    </row>
    <row r="682" spans="6:7">
      <c r="F682" s="9"/>
      <c r="G682" s="9"/>
    </row>
    <row r="683" spans="6:7">
      <c r="F683" s="9"/>
      <c r="G683" s="9"/>
    </row>
    <row r="684" spans="6:7">
      <c r="F684" s="9"/>
      <c r="G684" s="9"/>
    </row>
    <row r="685" spans="6:7">
      <c r="F685" s="9"/>
      <c r="G685" s="9"/>
    </row>
    <row r="686" spans="6:7">
      <c r="F686" s="9"/>
      <c r="G686" s="9"/>
    </row>
    <row r="687" spans="6:7">
      <c r="F687" s="9"/>
      <c r="G687" s="9"/>
    </row>
    <row r="688" spans="6:7">
      <c r="F688" s="9"/>
      <c r="G688" s="9"/>
    </row>
    <row r="689" spans="6:7">
      <c r="F689" s="9"/>
      <c r="G689" s="9"/>
    </row>
    <row r="690" spans="6:7">
      <c r="F690" s="9"/>
      <c r="G690" s="9"/>
    </row>
    <row r="691" spans="6:7">
      <c r="F691" s="9"/>
      <c r="G691" s="9"/>
    </row>
    <row r="692" spans="6:7">
      <c r="F692" s="9"/>
      <c r="G692" s="9"/>
    </row>
    <row r="693" spans="6:7">
      <c r="F693" s="9"/>
      <c r="G693" s="9"/>
    </row>
    <row r="694" spans="6:7">
      <c r="F694" s="9"/>
      <c r="G694" s="9"/>
    </row>
    <row r="695" spans="6:7">
      <c r="F695" s="9"/>
      <c r="G695" s="9"/>
    </row>
    <row r="696" spans="6:7">
      <c r="F696" s="9"/>
      <c r="G696" s="9"/>
    </row>
    <row r="697" spans="6:7">
      <c r="F697" s="9"/>
      <c r="G697" s="9"/>
    </row>
    <row r="698" spans="6:7">
      <c r="F698" s="9"/>
      <c r="G698" s="9"/>
    </row>
    <row r="699" spans="6:7">
      <c r="F699" s="9"/>
      <c r="G699" s="9"/>
    </row>
    <row r="700" spans="6:7">
      <c r="F700" s="9"/>
      <c r="G700" s="9"/>
    </row>
    <row r="701" spans="6:7">
      <c r="F701" s="9"/>
      <c r="G701" s="9"/>
    </row>
    <row r="702" spans="6:7">
      <c r="F702" s="9"/>
      <c r="G702" s="9"/>
    </row>
    <row r="703" spans="6:7">
      <c r="F703" s="9"/>
      <c r="G703" s="9"/>
    </row>
    <row r="704" spans="6:7">
      <c r="F704" s="9"/>
      <c r="G704" s="9"/>
    </row>
    <row r="705" spans="6:7">
      <c r="F705" s="9"/>
      <c r="G705" s="9"/>
    </row>
    <row r="706" spans="6:7">
      <c r="F706" s="9"/>
      <c r="G706" s="9"/>
    </row>
    <row r="707" spans="6:7">
      <c r="F707" s="9"/>
      <c r="G707" s="9"/>
    </row>
    <row r="708" spans="6:7">
      <c r="F708" s="9"/>
      <c r="G708" s="9"/>
    </row>
    <row r="709" spans="6:7">
      <c r="F709" s="9"/>
      <c r="G709" s="9"/>
    </row>
    <row r="710" spans="6:7">
      <c r="F710" s="9"/>
      <c r="G710" s="9"/>
    </row>
    <row r="711" spans="6:7">
      <c r="F711" s="9"/>
      <c r="G711" s="9"/>
    </row>
    <row r="712" spans="6:7">
      <c r="F712" s="9"/>
      <c r="G712" s="9"/>
    </row>
    <row r="713" spans="6:7">
      <c r="F713" s="9"/>
      <c r="G713" s="9"/>
    </row>
    <row r="714" spans="6:7">
      <c r="F714" s="9"/>
      <c r="G714" s="9"/>
    </row>
    <row r="715" spans="6:7">
      <c r="F715" s="9"/>
      <c r="G715" s="9"/>
    </row>
    <row r="716" spans="6:7">
      <c r="F716" s="9"/>
      <c r="G716" s="9"/>
    </row>
    <row r="717" spans="6:7">
      <c r="F717" s="9"/>
      <c r="G717" s="9"/>
    </row>
    <row r="718" spans="6:7">
      <c r="F718" s="9"/>
      <c r="G718" s="9"/>
    </row>
    <row r="719" spans="6:7">
      <c r="F719" s="9"/>
      <c r="G719" s="9"/>
    </row>
    <row r="720" spans="6:7">
      <c r="F720" s="9"/>
      <c r="G720" s="9"/>
    </row>
    <row r="721" spans="6:7">
      <c r="F721" s="9"/>
      <c r="G721" s="9"/>
    </row>
    <row r="722" spans="6:7">
      <c r="F722" s="9"/>
      <c r="G722" s="9"/>
    </row>
    <row r="723" spans="6:7">
      <c r="F723" s="9"/>
      <c r="G723" s="9"/>
    </row>
    <row r="724" spans="6:7">
      <c r="F724" s="9"/>
      <c r="G724" s="9"/>
    </row>
    <row r="725" spans="6:7">
      <c r="F725" s="9"/>
      <c r="G725" s="9"/>
    </row>
    <row r="726" spans="6:7">
      <c r="F726" s="9"/>
      <c r="G726" s="9"/>
    </row>
  </sheetData>
  <mergeCells count="25">
    <mergeCell ref="K148:L148"/>
    <mergeCell ref="K149:L149"/>
    <mergeCell ref="K153:L153"/>
    <mergeCell ref="K154:L154"/>
    <mergeCell ref="AR191:AY191"/>
    <mergeCell ref="P106:R106"/>
    <mergeCell ref="H33:J33"/>
    <mergeCell ref="L33:N33"/>
    <mergeCell ref="P33:R33"/>
    <mergeCell ref="AB39:AD39"/>
    <mergeCell ref="AB83:AD83"/>
    <mergeCell ref="AB96:AD96"/>
    <mergeCell ref="H105:J105"/>
    <mergeCell ref="L105:N105"/>
    <mergeCell ref="P105:R105"/>
    <mergeCell ref="AF39:AH39"/>
    <mergeCell ref="H79:J79"/>
    <mergeCell ref="L79:N79"/>
    <mergeCell ref="P79:R79"/>
    <mergeCell ref="H13:J13"/>
    <mergeCell ref="L13:N13"/>
    <mergeCell ref="P13:R13"/>
    <mergeCell ref="AB13:AD13"/>
    <mergeCell ref="AF13:AH13"/>
    <mergeCell ref="AB22:AD22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W29"/>
  <sheetViews>
    <sheetView workbookViewId="0">
      <selection activeCell="B3" sqref="B3"/>
    </sheetView>
  </sheetViews>
  <sheetFormatPr defaultColWidth="9" defaultRowHeight="12.5"/>
  <cols>
    <col min="1" max="1" width="9" style="513"/>
    <col min="2" max="2" width="18.83203125" style="513" bestFit="1" customWidth="1"/>
    <col min="3" max="3" width="27.08203125" style="513" bestFit="1" customWidth="1"/>
    <col min="4" max="4" width="9" style="513"/>
    <col min="5" max="5" width="21.75" style="513" bestFit="1" customWidth="1"/>
    <col min="6" max="6" width="10.58203125" style="513" bestFit="1" customWidth="1"/>
    <col min="7" max="7" width="14.5" style="513" bestFit="1" customWidth="1"/>
    <col min="8" max="8" width="15.5" style="513" bestFit="1" customWidth="1"/>
    <col min="9" max="9" width="23.33203125" style="513" bestFit="1" customWidth="1"/>
    <col min="10" max="12" width="9" style="513"/>
    <col min="13" max="13" width="10.25" style="513" bestFit="1" customWidth="1"/>
    <col min="14" max="14" width="10.08203125" style="513" bestFit="1" customWidth="1"/>
    <col min="15" max="15" width="9.25" style="513" bestFit="1" customWidth="1"/>
    <col min="16" max="16" width="9" style="513"/>
    <col min="17" max="17" width="12" style="513" bestFit="1" customWidth="1"/>
    <col min="18" max="18" width="9.25" style="513" bestFit="1" customWidth="1"/>
    <col min="19" max="16384" width="9" style="513"/>
  </cols>
  <sheetData>
    <row r="2" spans="2:19">
      <c r="B2" s="513" t="s">
        <v>560</v>
      </c>
      <c r="C2" s="513" t="s">
        <v>410</v>
      </c>
      <c r="E2" s="513" t="s">
        <v>561</v>
      </c>
      <c r="F2" s="513" t="s">
        <v>562</v>
      </c>
      <c r="G2" s="513" t="s">
        <v>563</v>
      </c>
      <c r="H2" s="513" t="s">
        <v>409</v>
      </c>
      <c r="I2" s="513" t="s">
        <v>411</v>
      </c>
      <c r="M2" s="513" t="s">
        <v>412</v>
      </c>
      <c r="N2" s="513" t="s">
        <v>559</v>
      </c>
      <c r="O2" s="513" t="s">
        <v>413</v>
      </c>
      <c r="Q2" s="513" t="s">
        <v>414</v>
      </c>
      <c r="R2" s="513" t="s">
        <v>415</v>
      </c>
    </row>
    <row r="3" spans="2:19">
      <c r="B3" s="518">
        <f>Model!Z82/1000</f>
        <v>0.81599999999999995</v>
      </c>
      <c r="C3" s="515">
        <v>3.5</v>
      </c>
      <c r="D3" s="515"/>
      <c r="E3" s="516">
        <f>B3*C3</f>
        <v>2.8559999999999999</v>
      </c>
      <c r="F3" s="514">
        <f>_xll.BDP("TECK/B CN EQUITY","RR905")/1000</f>
        <v>24.148172209589998</v>
      </c>
      <c r="G3" s="1137">
        <f>F3-E3</f>
        <v>21.292172209589999</v>
      </c>
      <c r="H3" s="518">
        <f ca="1">(Model!Z1297-Model!Z82)/1000</f>
        <v>1.25029942648</v>
      </c>
      <c r="I3" s="516">
        <f ca="1">G3/H3</f>
        <v>13.728853943911311</v>
      </c>
      <c r="J3" s="515"/>
      <c r="K3" s="515"/>
      <c r="L3" s="515"/>
      <c r="M3" s="518">
        <f ca="1">Model!Z982/1000</f>
        <v>0.2828</v>
      </c>
      <c r="N3" s="520">
        <v>4</v>
      </c>
      <c r="O3" s="516">
        <f ca="1">N3*M3</f>
        <v>1.1312</v>
      </c>
      <c r="P3" s="521"/>
      <c r="Q3" s="521">
        <f ca="1">F3-E3-O3</f>
        <v>16.033978212299999</v>
      </c>
      <c r="R3" s="521">
        <v>1</v>
      </c>
      <c r="S3" s="521"/>
    </row>
    <row r="4" spans="2:19">
      <c r="B4" s="515"/>
      <c r="C4" s="515"/>
      <c r="D4" s="515"/>
      <c r="E4" s="516"/>
      <c r="F4" s="515"/>
      <c r="G4" s="516">
        <f ca="1">I4*H4</f>
        <v>6.2514971323999999</v>
      </c>
      <c r="H4" s="516">
        <f ca="1">H3</f>
        <v>1.25029942648</v>
      </c>
      <c r="I4" s="516">
        <v>5</v>
      </c>
      <c r="J4" s="515"/>
      <c r="K4" s="515"/>
      <c r="L4" s="515"/>
      <c r="M4" s="520"/>
      <c r="N4" s="520"/>
      <c r="O4" s="520"/>
      <c r="P4" s="521"/>
      <c r="Q4" s="521"/>
      <c r="R4" s="521"/>
      <c r="S4" s="521"/>
    </row>
    <row r="5" spans="2:19">
      <c r="B5" s="515"/>
      <c r="C5" s="515"/>
      <c r="D5" s="515"/>
      <c r="E5" s="515"/>
      <c r="F5" s="515"/>
      <c r="G5" s="517">
        <f ca="1">G4-G3</f>
        <v>-10.913681079899998</v>
      </c>
      <c r="H5" s="516"/>
      <c r="I5" s="516"/>
      <c r="J5" s="515"/>
      <c r="K5" s="515"/>
      <c r="L5" s="515"/>
      <c r="M5" s="520"/>
      <c r="N5" s="520"/>
      <c r="O5" s="520"/>
      <c r="P5" s="521"/>
      <c r="Q5" s="521"/>
      <c r="R5" s="521"/>
      <c r="S5" s="521"/>
    </row>
    <row r="6" spans="2:19">
      <c r="B6" s="515"/>
      <c r="C6" s="515"/>
      <c r="D6" s="515"/>
      <c r="E6" s="515"/>
      <c r="F6" s="515"/>
      <c r="G6" s="522">
        <f ca="1">G5/G3</f>
        <v>-0.63580354045375509</v>
      </c>
      <c r="H6" s="516"/>
      <c r="I6" s="516"/>
      <c r="J6" s="515"/>
      <c r="K6" s="515"/>
      <c r="L6" s="515"/>
      <c r="M6" s="515"/>
      <c r="N6" s="515"/>
      <c r="O6" s="515"/>
    </row>
    <row r="7" spans="2:19">
      <c r="B7" s="515"/>
      <c r="C7" s="515"/>
      <c r="D7" s="515"/>
      <c r="E7" s="515"/>
      <c r="F7" s="515"/>
      <c r="G7" s="516"/>
      <c r="H7" s="516"/>
      <c r="I7" s="516"/>
      <c r="J7" s="515"/>
      <c r="K7" s="515"/>
      <c r="L7" s="515"/>
      <c r="M7" s="515"/>
      <c r="N7" s="515"/>
      <c r="O7" s="515"/>
    </row>
    <row r="8" spans="2:19">
      <c r="B8" s="515"/>
      <c r="C8" s="515"/>
      <c r="D8" s="515"/>
      <c r="E8" s="515"/>
      <c r="F8" s="515"/>
      <c r="G8" s="516"/>
      <c r="H8" s="516"/>
      <c r="I8" s="516"/>
      <c r="J8" s="515"/>
      <c r="K8" s="515"/>
      <c r="L8" s="515"/>
      <c r="M8" s="515"/>
      <c r="N8" s="515"/>
      <c r="O8" s="515"/>
    </row>
    <row r="9" spans="2:19">
      <c r="B9" s="515"/>
      <c r="C9" s="515"/>
      <c r="D9" s="515"/>
      <c r="E9" s="515"/>
      <c r="F9" s="515"/>
      <c r="G9" s="516"/>
      <c r="H9" s="516"/>
      <c r="I9" s="516"/>
      <c r="J9" s="515"/>
      <c r="K9" s="515"/>
      <c r="L9" s="515"/>
      <c r="M9" s="515"/>
      <c r="N9" s="515"/>
      <c r="O9" s="515"/>
    </row>
    <row r="10" spans="2:19">
      <c r="B10" s="515"/>
      <c r="C10" s="515"/>
      <c r="D10" s="515"/>
      <c r="E10" s="515"/>
      <c r="F10" s="515"/>
      <c r="G10" s="516"/>
      <c r="H10" s="516"/>
      <c r="I10" s="516"/>
      <c r="J10" s="515"/>
      <c r="K10" s="515"/>
      <c r="L10" s="515"/>
      <c r="M10" s="515"/>
      <c r="N10" s="515"/>
      <c r="O10" s="515"/>
    </row>
    <row r="11" spans="2:19">
      <c r="B11" s="515"/>
      <c r="C11" s="515"/>
      <c r="D11" s="515"/>
      <c r="E11" s="515"/>
      <c r="F11" s="515"/>
      <c r="G11" s="516"/>
      <c r="H11" s="516"/>
      <c r="I11" s="516"/>
      <c r="J11" s="515"/>
      <c r="K11" s="515"/>
      <c r="L11" s="515"/>
      <c r="M11" s="515"/>
      <c r="N11" s="515"/>
      <c r="O11" s="515"/>
    </row>
    <row r="12" spans="2:19">
      <c r="B12" s="515"/>
      <c r="C12" s="515"/>
      <c r="D12" s="515"/>
      <c r="E12" s="515"/>
      <c r="F12" s="515"/>
      <c r="G12" s="516"/>
      <c r="H12" s="516"/>
      <c r="I12" s="516"/>
      <c r="J12" s="515"/>
      <c r="K12" s="515"/>
      <c r="L12" s="515"/>
      <c r="M12" s="515"/>
      <c r="N12" s="515"/>
      <c r="O12" s="515"/>
    </row>
    <row r="13" spans="2:19">
      <c r="B13" s="515"/>
      <c r="C13" s="515"/>
      <c r="D13" s="515"/>
      <c r="E13" s="515"/>
      <c r="F13" s="515"/>
      <c r="G13" s="515"/>
      <c r="H13" s="515"/>
      <c r="I13" s="515"/>
      <c r="J13" s="515"/>
      <c r="K13" s="515"/>
      <c r="L13" s="515"/>
      <c r="M13" s="515"/>
      <c r="N13" s="515"/>
      <c r="O13" s="515"/>
    </row>
    <row r="14" spans="2:19">
      <c r="B14" s="515"/>
      <c r="C14" s="515"/>
      <c r="D14" s="515"/>
      <c r="E14" s="515"/>
      <c r="F14" s="515"/>
      <c r="G14" s="515"/>
      <c r="H14" s="515"/>
      <c r="I14" s="515"/>
      <c r="J14" s="515"/>
      <c r="K14" s="515"/>
      <c r="L14" s="515"/>
      <c r="M14" s="515"/>
      <c r="N14" s="515"/>
      <c r="O14" s="515"/>
    </row>
    <row r="17" spans="2:23">
      <c r="B17" s="513" t="s">
        <v>560</v>
      </c>
      <c r="C17" s="513" t="s">
        <v>410</v>
      </c>
      <c r="E17" s="513" t="s">
        <v>561</v>
      </c>
      <c r="F17" s="513" t="s">
        <v>562</v>
      </c>
      <c r="G17" s="513" t="s">
        <v>563</v>
      </c>
      <c r="H17" s="513" t="s">
        <v>409</v>
      </c>
      <c r="I17" s="513" t="s">
        <v>411</v>
      </c>
      <c r="M17" s="513" t="s">
        <v>412</v>
      </c>
      <c r="N17" s="513" t="s">
        <v>559</v>
      </c>
      <c r="O17" s="513" t="s">
        <v>413</v>
      </c>
      <c r="Q17" s="513" t="s">
        <v>414</v>
      </c>
      <c r="R17" s="513" t="s">
        <v>415</v>
      </c>
    </row>
    <row r="18" spans="2:23">
      <c r="B18" s="519">
        <v>1.9120714285714284</v>
      </c>
      <c r="C18" s="519">
        <v>3.5</v>
      </c>
      <c r="D18" s="519"/>
      <c r="E18" s="519">
        <v>6.6922499999999996</v>
      </c>
      <c r="F18" s="519">
        <v>16.575209618970003</v>
      </c>
      <c r="G18" s="519">
        <v>9.8829596189700037</v>
      </c>
      <c r="H18" s="519">
        <v>2.1236018585328664</v>
      </c>
      <c r="I18" s="519">
        <v>4.6538665330599436</v>
      </c>
      <c r="J18" s="519"/>
      <c r="K18" s="519"/>
      <c r="L18" s="519"/>
      <c r="M18" s="519">
        <v>1</v>
      </c>
      <c r="N18" s="519">
        <v>4</v>
      </c>
      <c r="O18" s="519">
        <v>4</v>
      </c>
      <c r="P18" s="519"/>
      <c r="Q18" s="519">
        <v>5.8829596189700037</v>
      </c>
      <c r="R18" s="519">
        <v>1</v>
      </c>
      <c r="S18" s="519"/>
      <c r="T18" s="519"/>
      <c r="U18" s="519"/>
      <c r="V18" s="519"/>
      <c r="W18" s="519"/>
    </row>
    <row r="19" spans="2:23">
      <c r="B19" s="519"/>
      <c r="C19" s="519"/>
      <c r="D19" s="519"/>
      <c r="E19" s="519"/>
      <c r="F19" s="519"/>
      <c r="G19" s="519">
        <v>10.5</v>
      </c>
      <c r="H19" s="519">
        <v>2.1236018585328664</v>
      </c>
      <c r="I19" s="519">
        <v>5</v>
      </c>
      <c r="J19" s="519">
        <v>5.9</v>
      </c>
      <c r="K19" s="519"/>
      <c r="L19" s="519"/>
      <c r="M19" s="519"/>
      <c r="N19" s="519"/>
      <c r="O19" s="519"/>
      <c r="P19" s="519"/>
      <c r="Q19" s="519"/>
      <c r="R19" s="519"/>
      <c r="S19" s="519"/>
      <c r="T19" s="519"/>
      <c r="U19" s="519"/>
      <c r="V19" s="519"/>
      <c r="W19" s="519"/>
    </row>
    <row r="20" spans="2:23">
      <c r="B20" s="519"/>
      <c r="C20" s="519"/>
      <c r="D20" s="519"/>
      <c r="E20" s="519"/>
      <c r="F20" s="519"/>
      <c r="G20" s="519">
        <v>-1.388552184838538</v>
      </c>
      <c r="H20" s="519"/>
      <c r="I20" s="519"/>
      <c r="J20" s="519" t="s">
        <v>564</v>
      </c>
      <c r="K20" s="519"/>
      <c r="L20" s="519"/>
      <c r="M20" s="519"/>
      <c r="N20" s="519"/>
      <c r="O20" s="519"/>
      <c r="P20" s="519"/>
      <c r="Q20" s="519"/>
      <c r="R20" s="519"/>
      <c r="S20" s="519"/>
      <c r="T20" s="519"/>
      <c r="U20" s="519"/>
      <c r="V20" s="519"/>
      <c r="W20" s="519"/>
    </row>
    <row r="21" spans="2:23">
      <c r="B21" s="519"/>
      <c r="C21" s="519"/>
      <c r="D21" s="519"/>
      <c r="E21" s="519"/>
      <c r="F21" s="519"/>
      <c r="G21" s="519">
        <v>-0.14049963152467601</v>
      </c>
      <c r="H21" s="519"/>
      <c r="I21" s="519"/>
      <c r="J21" s="519"/>
      <c r="K21" s="519"/>
      <c r="L21" s="519"/>
      <c r="M21" s="519"/>
      <c r="N21" s="519"/>
      <c r="O21" s="519"/>
      <c r="P21" s="519"/>
      <c r="Q21" s="519"/>
      <c r="R21" s="519"/>
      <c r="S21" s="519"/>
      <c r="T21" s="519"/>
      <c r="U21" s="519"/>
      <c r="V21" s="519"/>
      <c r="W21" s="519"/>
    </row>
    <row r="22" spans="2:23">
      <c r="B22" s="519"/>
      <c r="C22" s="519"/>
      <c r="D22" s="519"/>
      <c r="E22" s="519"/>
      <c r="F22" s="519"/>
      <c r="G22" s="519"/>
      <c r="H22" s="519"/>
      <c r="I22" s="519"/>
      <c r="J22" s="519"/>
      <c r="K22" s="519"/>
      <c r="L22" s="519"/>
      <c r="M22" s="519"/>
      <c r="N22" s="519"/>
      <c r="O22" s="519"/>
      <c r="P22" s="519"/>
      <c r="Q22" s="519"/>
      <c r="R22" s="519"/>
      <c r="S22" s="519"/>
      <c r="T22" s="519"/>
      <c r="U22" s="519"/>
      <c r="V22" s="519"/>
      <c r="W22" s="519"/>
    </row>
    <row r="23" spans="2:23">
      <c r="B23" s="519"/>
      <c r="C23" s="519"/>
      <c r="D23" s="519"/>
      <c r="E23" s="519"/>
      <c r="F23" s="519"/>
      <c r="G23" s="519"/>
      <c r="H23" s="519"/>
      <c r="I23" s="519"/>
      <c r="J23" s="519"/>
      <c r="K23" s="519"/>
      <c r="L23" s="519"/>
      <c r="M23" s="519"/>
      <c r="N23" s="519"/>
      <c r="O23" s="519"/>
      <c r="P23" s="519"/>
      <c r="Q23" s="519"/>
      <c r="R23" s="519"/>
      <c r="S23" s="519"/>
      <c r="T23" s="519"/>
      <c r="U23" s="519"/>
      <c r="V23" s="519"/>
      <c r="W23" s="519"/>
    </row>
    <row r="24" spans="2:23">
      <c r="B24" s="519"/>
      <c r="C24" s="519"/>
      <c r="D24" s="519"/>
      <c r="E24" s="519"/>
      <c r="F24" s="519"/>
      <c r="G24" s="519"/>
      <c r="H24" s="519"/>
      <c r="I24" s="519"/>
      <c r="J24" s="519"/>
      <c r="K24" s="519"/>
      <c r="L24" s="519"/>
      <c r="M24" s="519"/>
      <c r="N24" s="519"/>
      <c r="O24" s="519"/>
      <c r="P24" s="519"/>
      <c r="Q24" s="519"/>
      <c r="R24" s="519"/>
      <c r="S24" s="519"/>
      <c r="T24" s="519"/>
      <c r="U24" s="519"/>
      <c r="V24" s="519"/>
      <c r="W24" s="519"/>
    </row>
    <row r="25" spans="2:23">
      <c r="B25" s="519"/>
      <c r="C25" s="519"/>
      <c r="D25" s="519"/>
      <c r="E25" s="519"/>
      <c r="F25" s="519"/>
      <c r="G25" s="519"/>
      <c r="H25" s="519"/>
      <c r="I25" s="519"/>
      <c r="J25" s="519"/>
      <c r="K25" s="519"/>
      <c r="L25" s="519"/>
      <c r="M25" s="519"/>
      <c r="N25" s="519"/>
      <c r="O25" s="519"/>
      <c r="P25" s="519"/>
      <c r="Q25" s="519"/>
      <c r="R25" s="519"/>
      <c r="S25" s="519"/>
      <c r="T25" s="519"/>
      <c r="U25" s="519"/>
      <c r="V25" s="519"/>
      <c r="W25" s="519"/>
    </row>
    <row r="26" spans="2:23">
      <c r="B26" s="519"/>
      <c r="C26" s="519"/>
      <c r="D26" s="519"/>
      <c r="E26" s="519"/>
      <c r="F26" s="519"/>
      <c r="G26" s="519"/>
      <c r="H26" s="519"/>
      <c r="I26" s="519"/>
      <c r="J26" s="519"/>
      <c r="K26" s="519"/>
      <c r="L26" s="519"/>
      <c r="M26" s="519"/>
      <c r="N26" s="519"/>
      <c r="O26" s="519"/>
      <c r="P26" s="519"/>
      <c r="Q26" s="519"/>
      <c r="R26" s="519"/>
      <c r="S26" s="519"/>
      <c r="T26" s="519"/>
      <c r="U26" s="519"/>
      <c r="V26" s="519"/>
      <c r="W26" s="519"/>
    </row>
    <row r="27" spans="2:23">
      <c r="B27" s="519"/>
      <c r="C27" s="519"/>
      <c r="D27" s="519"/>
      <c r="E27" s="519"/>
      <c r="F27" s="519"/>
      <c r="G27" s="519"/>
      <c r="H27" s="519"/>
      <c r="I27" s="519"/>
      <c r="J27" s="519"/>
      <c r="K27" s="519"/>
      <c r="L27" s="519"/>
      <c r="M27" s="519"/>
      <c r="N27" s="519"/>
      <c r="O27" s="519"/>
      <c r="P27" s="519"/>
      <c r="Q27" s="519"/>
      <c r="R27" s="519"/>
      <c r="S27" s="519"/>
      <c r="T27" s="519"/>
      <c r="U27" s="519"/>
      <c r="V27" s="519"/>
      <c r="W27" s="519"/>
    </row>
    <row r="28" spans="2:23">
      <c r="B28" s="519"/>
      <c r="C28" s="519"/>
      <c r="D28" s="519"/>
      <c r="E28" s="519"/>
      <c r="F28" s="519"/>
      <c r="G28" s="519"/>
      <c r="H28" s="519"/>
      <c r="I28" s="519"/>
      <c r="J28" s="519"/>
      <c r="K28" s="519"/>
      <c r="L28" s="519"/>
      <c r="M28" s="519"/>
      <c r="N28" s="519"/>
      <c r="O28" s="519"/>
      <c r="P28" s="519"/>
      <c r="Q28" s="519"/>
      <c r="R28" s="519"/>
      <c r="S28" s="519"/>
      <c r="T28" s="519"/>
      <c r="U28" s="519"/>
      <c r="V28" s="519"/>
      <c r="W28" s="519"/>
    </row>
    <row r="29" spans="2:23">
      <c r="B29" s="519"/>
      <c r="C29" s="519"/>
      <c r="D29" s="519"/>
      <c r="E29" s="519"/>
      <c r="F29" s="519"/>
      <c r="G29" s="519"/>
      <c r="H29" s="519"/>
      <c r="I29" s="519"/>
      <c r="J29" s="519"/>
      <c r="K29" s="519"/>
      <c r="L29" s="519"/>
      <c r="M29" s="519"/>
      <c r="N29" s="519"/>
      <c r="O29" s="519"/>
      <c r="P29" s="519"/>
      <c r="Q29" s="519"/>
      <c r="R29" s="519"/>
      <c r="S29" s="519"/>
      <c r="T29" s="519"/>
      <c r="U29" s="519"/>
      <c r="V29" s="519"/>
      <c r="W29" s="51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F8:AF50"/>
  <sheetViews>
    <sheetView topLeftCell="A7" zoomScale="85" zoomScaleNormal="85" workbookViewId="0">
      <selection activeCell="AD12" sqref="AD12"/>
    </sheetView>
  </sheetViews>
  <sheetFormatPr defaultColWidth="9" defaultRowHeight="14"/>
  <cols>
    <col min="1" max="16384" width="9" style="1"/>
  </cols>
  <sheetData>
    <row r="8" spans="6:32">
      <c r="F8" s="1207"/>
      <c r="G8" s="1207"/>
      <c r="H8" s="1208" t="s">
        <v>441</v>
      </c>
      <c r="I8" s="1209"/>
      <c r="J8" s="1393" t="s">
        <v>565</v>
      </c>
      <c r="K8" s="1393"/>
      <c r="L8" s="1393"/>
      <c r="M8" s="1210"/>
      <c r="N8" s="1210"/>
      <c r="O8" s="1209"/>
      <c r="P8" s="1208"/>
      <c r="Q8" s="1394" t="s">
        <v>972</v>
      </c>
      <c r="R8" s="1394"/>
      <c r="S8" s="1394"/>
      <c r="T8" s="1210"/>
      <c r="U8" s="1210"/>
      <c r="V8" s="1209"/>
      <c r="W8" s="1208"/>
      <c r="X8" s="1393" t="s">
        <v>973</v>
      </c>
      <c r="Y8" s="1393"/>
      <c r="Z8" s="1393"/>
      <c r="AA8" s="1210"/>
      <c r="AB8" s="1210"/>
      <c r="AC8" s="1209"/>
      <c r="AD8" s="1394" t="s">
        <v>442</v>
      </c>
      <c r="AE8" s="1394"/>
      <c r="AF8" s="1394"/>
    </row>
    <row r="9" spans="6:32">
      <c r="F9" s="1207"/>
      <c r="G9" s="1207"/>
      <c r="H9" s="1210" t="s">
        <v>468</v>
      </c>
      <c r="I9" s="1210" t="s">
        <v>469</v>
      </c>
      <c r="J9" s="1210" t="s">
        <v>470</v>
      </c>
      <c r="K9" s="1210" t="s">
        <v>925</v>
      </c>
      <c r="L9" s="1210" t="s">
        <v>974</v>
      </c>
      <c r="M9" s="1210" t="s">
        <v>975</v>
      </c>
      <c r="N9" s="1210" t="s">
        <v>976</v>
      </c>
      <c r="O9" s="1209"/>
      <c r="P9" s="1210" t="s">
        <v>469</v>
      </c>
      <c r="Q9" s="1210" t="s">
        <v>470</v>
      </c>
      <c r="R9" s="1210" t="s">
        <v>925</v>
      </c>
      <c r="S9" s="1210" t="str">
        <f>Z9</f>
        <v>CY23</v>
      </c>
      <c r="T9" s="1210" t="s">
        <v>975</v>
      </c>
      <c r="U9" s="1210" t="s">
        <v>976</v>
      </c>
      <c r="V9" s="1209"/>
      <c r="W9" s="1210" t="s">
        <v>469</v>
      </c>
      <c r="X9" s="1210" t="s">
        <v>470</v>
      </c>
      <c r="Y9" s="1210" t="s">
        <v>925</v>
      </c>
      <c r="Z9" s="1210" t="s">
        <v>974</v>
      </c>
      <c r="AA9" s="1210" t="s">
        <v>975</v>
      </c>
      <c r="AB9" s="1210" t="s">
        <v>976</v>
      </c>
      <c r="AC9" s="1209"/>
      <c r="AD9" s="1210" t="str">
        <f>X9</f>
        <v>CY21</v>
      </c>
      <c r="AE9" s="1210" t="str">
        <f>Y9</f>
        <v>CY22</v>
      </c>
      <c r="AF9" s="1210" t="str">
        <f>Z9</f>
        <v>CY23</v>
      </c>
    </row>
    <row r="10" spans="6:32">
      <c r="F10" s="1211"/>
      <c r="G10" s="1211"/>
      <c r="H10" s="1128"/>
      <c r="I10" s="1128"/>
      <c r="J10" s="1128"/>
      <c r="K10" s="1128"/>
      <c r="L10" s="1128"/>
      <c r="M10" s="1128"/>
      <c r="N10" s="1128"/>
      <c r="O10" s="1134"/>
      <c r="P10" s="1128"/>
      <c r="Q10" s="1128"/>
      <c r="R10" s="1128"/>
      <c r="S10" s="1128"/>
      <c r="T10" s="1128"/>
      <c r="U10" s="1128"/>
      <c r="V10" s="1134"/>
      <c r="W10" s="1128"/>
      <c r="X10" s="1128"/>
      <c r="Y10" s="1128"/>
      <c r="Z10" s="1128"/>
      <c r="AA10" s="1128"/>
      <c r="AB10" s="1128"/>
      <c r="AC10" s="1134"/>
      <c r="AD10" s="1128"/>
      <c r="AE10" s="1128"/>
      <c r="AF10" s="1128"/>
    </row>
    <row r="11" spans="6:32">
      <c r="F11" s="1211"/>
      <c r="G11" s="1211"/>
      <c r="H11" s="1134"/>
      <c r="I11" s="1128"/>
      <c r="J11" s="1134"/>
      <c r="K11" s="1134"/>
      <c r="L11" s="1134"/>
      <c r="M11" s="1134"/>
      <c r="N11" s="1134"/>
      <c r="O11" s="1134"/>
      <c r="P11" s="1128"/>
      <c r="Q11" s="1128"/>
      <c r="R11" s="1134"/>
      <c r="S11" s="1134"/>
      <c r="T11" s="1134"/>
      <c r="U11" s="1134"/>
      <c r="V11" s="1134"/>
      <c r="W11" s="1128"/>
      <c r="X11" s="1128"/>
      <c r="Y11" s="1134"/>
      <c r="Z11" s="1134"/>
      <c r="AA11" s="1134"/>
      <c r="AB11" s="1134"/>
      <c r="AC11" s="1134"/>
      <c r="AD11" s="1134"/>
      <c r="AE11" s="1128"/>
      <c r="AF11" s="1134"/>
    </row>
    <row r="12" spans="6:32">
      <c r="F12" s="1212" t="s">
        <v>104</v>
      </c>
      <c r="G12" s="1211"/>
      <c r="H12" s="1128"/>
      <c r="I12" s="1128"/>
      <c r="J12" s="1213">
        <v>0</v>
      </c>
      <c r="K12" s="1213">
        <v>0</v>
      </c>
      <c r="L12" s="1213">
        <v>0</v>
      </c>
      <c r="M12" s="1213">
        <v>0</v>
      </c>
      <c r="N12" s="1213">
        <v>0</v>
      </c>
      <c r="O12" s="1129"/>
      <c r="P12" s="1213">
        <v>18996.40586563047</v>
      </c>
      <c r="Q12" s="1213">
        <v>64803.22358858872</v>
      </c>
      <c r="R12" s="1213">
        <v>54181.712832926452</v>
      </c>
      <c r="S12" s="1213">
        <v>50424.821935443571</v>
      </c>
      <c r="T12" s="1213">
        <v>45718.183483400811</v>
      </c>
      <c r="U12" s="1213">
        <v>43900.467606180173</v>
      </c>
      <c r="V12" s="1129"/>
      <c r="W12" s="1213">
        <v>18996.40586563047</v>
      </c>
      <c r="X12" s="1213">
        <v>61074.747393824291</v>
      </c>
      <c r="Y12" s="1213">
        <v>46311.013473931809</v>
      </c>
      <c r="Z12" s="1213">
        <v>42892.880945421908</v>
      </c>
      <c r="AA12" s="1213">
        <v>39509.4479135863</v>
      </c>
      <c r="AB12" s="1213">
        <v>37751.239372847973</v>
      </c>
      <c r="AC12" s="1134"/>
      <c r="AD12" s="1213" t="e">
        <f>#REF!</f>
        <v>#REF!</v>
      </c>
      <c r="AE12" s="1213" t="e">
        <f t="shared" ref="AE12" si="0">#REF!</f>
        <v>#REF!</v>
      </c>
      <c r="AF12" s="1213" t="e">
        <f t="shared" ref="AF12" si="1">#REF!</f>
        <v>#REF!</v>
      </c>
    </row>
    <row r="13" spans="6:32" ht="14.5">
      <c r="F13" s="1214" t="s">
        <v>977</v>
      </c>
      <c r="G13" s="1211"/>
      <c r="H13" s="1128"/>
      <c r="I13" s="1128"/>
      <c r="J13" s="1215">
        <v>0</v>
      </c>
      <c r="K13" s="1215">
        <v>0</v>
      </c>
      <c r="L13" s="1215">
        <v>0</v>
      </c>
      <c r="M13" s="1215">
        <v>0</v>
      </c>
      <c r="N13" s="1215">
        <v>0</v>
      </c>
      <c r="O13" s="1134"/>
      <c r="P13" s="1128"/>
      <c r="Q13" s="1216">
        <v>6953.3076403679997</v>
      </c>
      <c r="R13" s="1216">
        <v>6070.8599046499985</v>
      </c>
      <c r="S13" s="1216">
        <v>4986.9643237999999</v>
      </c>
      <c r="T13" s="1215">
        <v>4207.0729564039993</v>
      </c>
      <c r="U13" s="1215">
        <v>4207.0729564039993</v>
      </c>
      <c r="V13" s="1217"/>
      <c r="W13" s="1216"/>
      <c r="X13" s="1216">
        <v>6382.3201237679996</v>
      </c>
      <c r="Y13" s="1216">
        <v>5388.3850000000002</v>
      </c>
      <c r="Z13" s="1216">
        <v>3932.4559999999992</v>
      </c>
      <c r="AA13" s="1215">
        <v>3185.3263999999999</v>
      </c>
      <c r="AB13" s="1215">
        <v>3013.4839999999995</v>
      </c>
      <c r="AC13" s="1134"/>
      <c r="AD13" s="1128"/>
      <c r="AE13" s="1128"/>
      <c r="AF13" s="1128"/>
    </row>
    <row r="14" spans="6:32" ht="14.5">
      <c r="F14" s="1214" t="s">
        <v>146</v>
      </c>
      <c r="G14" s="1211"/>
      <c r="H14" s="1128"/>
      <c r="I14" s="1128"/>
      <c r="J14" s="1216">
        <v>0</v>
      </c>
      <c r="K14" s="1216">
        <v>0</v>
      </c>
      <c r="L14" s="1216">
        <v>0</v>
      </c>
      <c r="M14" s="1216">
        <v>0</v>
      </c>
      <c r="N14" s="1216">
        <v>0</v>
      </c>
      <c r="O14" s="1134"/>
      <c r="P14" s="1128"/>
      <c r="Q14" s="1216">
        <v>2247.8538126966873</v>
      </c>
      <c r="R14" s="1216">
        <v>2444.2757174999997</v>
      </c>
      <c r="S14" s="1216">
        <v>2528.8462175000004</v>
      </c>
      <c r="T14" s="1216">
        <v>2528.8462175000004</v>
      </c>
      <c r="U14" s="1216">
        <v>2528.8462175000004</v>
      </c>
      <c r="V14" s="1217"/>
      <c r="W14" s="1216"/>
      <c r="X14" s="1216">
        <v>2247.8538126966873</v>
      </c>
      <c r="Y14" s="1216">
        <v>2444.2757174999997</v>
      </c>
      <c r="Z14" s="1216">
        <v>2528.8462175000004</v>
      </c>
      <c r="AA14" s="1216">
        <v>2528.8462175000004</v>
      </c>
      <c r="AB14" s="1216">
        <v>2528.8462175000004</v>
      </c>
      <c r="AC14" s="1134"/>
      <c r="AD14" s="1128"/>
      <c r="AE14" s="1128"/>
      <c r="AF14" s="1128"/>
    </row>
    <row r="15" spans="6:32" ht="14.5">
      <c r="F15" s="1214" t="s">
        <v>978</v>
      </c>
      <c r="G15" s="1211"/>
      <c r="H15" s="1128"/>
      <c r="I15" s="1128"/>
      <c r="J15" s="1216">
        <v>61</v>
      </c>
      <c r="K15" s="1216">
        <v>61</v>
      </c>
      <c r="L15" s="1216">
        <v>61</v>
      </c>
      <c r="M15" s="1216">
        <v>61</v>
      </c>
      <c r="N15" s="1216">
        <v>61</v>
      </c>
      <c r="O15" s="1134"/>
      <c r="P15" s="1128"/>
      <c r="Q15" s="1216">
        <v>2824.8893612592456</v>
      </c>
      <c r="R15" s="1216">
        <v>3065.4493913399328</v>
      </c>
      <c r="S15" s="1216">
        <v>3079.0538443953583</v>
      </c>
      <c r="T15" s="1216">
        <v>3104.2928500987032</v>
      </c>
      <c r="U15" s="1216">
        <v>3093.2659717987021</v>
      </c>
      <c r="V15" s="1217"/>
      <c r="W15" s="1216"/>
      <c r="X15" s="1216">
        <v>3058.9835456940282</v>
      </c>
      <c r="Y15" s="1216">
        <v>3586.1176163399332</v>
      </c>
      <c r="Z15" s="1216">
        <v>3729.6333193953587</v>
      </c>
      <c r="AA15" s="1216">
        <v>4241.6413000987031</v>
      </c>
      <c r="AB15" s="1216">
        <v>3752.2344217987024</v>
      </c>
      <c r="AC15" s="1134"/>
      <c r="AD15" s="1128"/>
      <c r="AE15" s="1128"/>
      <c r="AF15" s="1128"/>
    </row>
    <row r="16" spans="6:32" ht="14.5">
      <c r="F16" s="1214" t="s">
        <v>269</v>
      </c>
      <c r="G16" s="1211"/>
      <c r="H16" s="1128"/>
      <c r="I16" s="1128"/>
      <c r="J16" s="1216" t="e">
        <v>#REF!</v>
      </c>
      <c r="K16" s="1216" t="e">
        <v>#REF!</v>
      </c>
      <c r="L16" s="1216" t="e">
        <v>#REF!</v>
      </c>
      <c r="M16" s="1216" t="e">
        <v>#REF!</v>
      </c>
      <c r="N16" s="1216" t="e">
        <v>#REF!</v>
      </c>
      <c r="O16" s="1134"/>
      <c r="P16" s="1128"/>
      <c r="Q16" s="1216">
        <v>452.34436626213011</v>
      </c>
      <c r="R16" s="1216">
        <v>375.38051978743073</v>
      </c>
      <c r="S16" s="1216">
        <v>146.29816312384474</v>
      </c>
      <c r="T16" s="1216">
        <v>-254.11999999999995</v>
      </c>
      <c r="U16" s="1216">
        <v>129.13938770794823</v>
      </c>
      <c r="V16" s="1217"/>
      <c r="W16" s="1216"/>
      <c r="X16" s="1216">
        <v>207.38735678200084</v>
      </c>
      <c r="Y16" s="1216">
        <v>-156.79130314232918</v>
      </c>
      <c r="Z16" s="1216">
        <v>-274.729149722736</v>
      </c>
      <c r="AA16" s="1216">
        <v>-254.11999999999995</v>
      </c>
      <c r="AB16" s="1216">
        <v>-11.203049907578588</v>
      </c>
      <c r="AC16" s="1134"/>
      <c r="AD16" s="1128"/>
      <c r="AE16" s="1128"/>
      <c r="AF16" s="1128"/>
    </row>
    <row r="17" spans="6:32">
      <c r="F17" s="1211"/>
      <c r="G17" s="1211"/>
      <c r="H17" s="1134"/>
      <c r="I17" s="1128"/>
      <c r="J17" s="1134"/>
      <c r="K17" s="1134"/>
      <c r="L17" s="1134"/>
      <c r="M17" s="1134"/>
      <c r="N17" s="1134"/>
      <c r="O17" s="1134"/>
      <c r="P17" s="1128"/>
      <c r="Q17" s="1128"/>
      <c r="R17" s="1134"/>
      <c r="S17" s="1134"/>
      <c r="T17" s="1134"/>
      <c r="U17" s="1134"/>
      <c r="V17" s="1134"/>
      <c r="W17" s="1128"/>
      <c r="X17" s="1128"/>
      <c r="Y17" s="1134"/>
      <c r="Z17" s="1134"/>
      <c r="AA17" s="1134"/>
      <c r="AB17" s="1134"/>
      <c r="AC17" s="1134"/>
      <c r="AD17" s="1134"/>
      <c r="AE17" s="1128"/>
      <c r="AF17" s="1134"/>
    </row>
    <row r="18" spans="6:32">
      <c r="F18" s="1212" t="s">
        <v>130</v>
      </c>
      <c r="G18" s="1218"/>
      <c r="H18" s="1213" t="e">
        <f>[8]Summary!#REF!</f>
        <v>#REF!</v>
      </c>
      <c r="I18" s="1213">
        <f>'[8]IS-BS-CF-Reco Tables'!AE384</f>
        <v>0</v>
      </c>
      <c r="J18" s="1213">
        <f>'[8]IS-BS-CF-Reco Tables'!AJ384</f>
        <v>0</v>
      </c>
      <c r="K18" s="1213">
        <f>'[8]IS-BS-CF-Reco Tables'!AO384</f>
        <v>0</v>
      </c>
      <c r="L18" s="1213">
        <f>'[8]IS-BS-CF-Reco Tables'!AT384</f>
        <v>0</v>
      </c>
      <c r="M18" s="1213">
        <f>'[8]IS-BS-CF-Reco Tables'!AY384</f>
        <v>0</v>
      </c>
      <c r="N18" s="1213">
        <f>'[8]IS-BS-CF-Reco Tables'!BD384</f>
        <v>0</v>
      </c>
      <c r="O18" s="1129"/>
      <c r="P18" s="1213">
        <v>18996.40586563047</v>
      </c>
      <c r="Q18" s="1213">
        <v>44514.807295463674</v>
      </c>
      <c r="R18" s="1213">
        <v>33097.076401671773</v>
      </c>
      <c r="S18" s="1213">
        <v>28472.927359907386</v>
      </c>
      <c r="T18" s="1213">
        <v>26329.828051286153</v>
      </c>
      <c r="U18" s="1213">
        <v>24661.848248907125</v>
      </c>
      <c r="V18" s="1129"/>
      <c r="W18" s="1213">
        <v>18996.40586563047</v>
      </c>
      <c r="X18" s="1213">
        <v>40953.473127999052</v>
      </c>
      <c r="Y18" s="1213">
        <v>25530.344124321888</v>
      </c>
      <c r="Z18" s="1213">
        <v>21302.258584393727</v>
      </c>
      <c r="AA18" s="1213">
        <v>19993.415242954201</v>
      </c>
      <c r="AB18" s="1213">
        <v>18798.558738336629</v>
      </c>
      <c r="AC18" s="1129"/>
      <c r="AD18" s="1213" t="e">
        <f t="shared" ref="AD18" si="2">#REF!</f>
        <v>#REF!</v>
      </c>
      <c r="AE18" s="1213" t="e">
        <f t="shared" ref="AE18" si="3">#REF!</f>
        <v>#REF!</v>
      </c>
      <c r="AF18" s="1213" t="e">
        <f t="shared" ref="AF18" si="4">#REF!</f>
        <v>#REF!</v>
      </c>
    </row>
    <row r="19" spans="6:32">
      <c r="F19" s="1212" t="s">
        <v>450</v>
      </c>
      <c r="G19" s="1218"/>
      <c r="H19" s="1213" t="e">
        <f>[8]Summary!#REF!</f>
        <v>#REF!</v>
      </c>
      <c r="I19" s="1213" t="e">
        <f>[8]Summary!#REF!</f>
        <v>#REF!</v>
      </c>
      <c r="J19" s="1213">
        <f>'[8]IS-BS-CF-Reco Tables'!AJ271</f>
        <v>0</v>
      </c>
      <c r="K19" s="1213">
        <f>'[8]IS-BS-CF-Reco Tables'!AO271</f>
        <v>0</v>
      </c>
      <c r="L19" s="1213">
        <f>'[8]IS-BS-CF-Reco Tables'!AT271</f>
        <v>0</v>
      </c>
      <c r="M19" s="1213"/>
      <c r="N19" s="1213"/>
      <c r="O19" s="1129"/>
      <c r="P19" s="1213">
        <v>9860.3908430627525</v>
      </c>
      <c r="Q19" s="1213">
        <v>27996.228492962669</v>
      </c>
      <c r="R19" s="1213">
        <v>19401.741819156086</v>
      </c>
      <c r="S19" s="1213">
        <v>15588.074850317575</v>
      </c>
      <c r="T19" s="1213"/>
      <c r="U19" s="1213"/>
      <c r="V19" s="1129"/>
      <c r="W19" s="1213">
        <v>9860.3908430627525</v>
      </c>
      <c r="X19" s="1213">
        <v>24826.641083919156</v>
      </c>
      <c r="Y19" s="1213">
        <v>12722.922347356278</v>
      </c>
      <c r="Z19" s="1213">
        <v>9206.1796401104148</v>
      </c>
      <c r="AA19" s="1213"/>
      <c r="AB19" s="1213"/>
      <c r="AC19" s="1129"/>
      <c r="AD19" s="1213" t="e">
        <f t="shared" ref="AD19" si="5">#REF!</f>
        <v>#REF!</v>
      </c>
      <c r="AE19" s="1213" t="e">
        <f t="shared" ref="AE19" si="6">#REF!</f>
        <v>#REF!</v>
      </c>
      <c r="AF19" s="1213" t="e">
        <f t="shared" ref="AF19" si="7">#REF!</f>
        <v>#REF!</v>
      </c>
    </row>
    <row r="20" spans="6:32">
      <c r="F20" s="1212" t="s">
        <v>979</v>
      </c>
      <c r="G20" s="1218"/>
      <c r="H20" s="1213"/>
      <c r="I20" s="1213" t="e">
        <f>I19+547</f>
        <v>#REF!</v>
      </c>
      <c r="J20" s="1213">
        <f>J19+600</f>
        <v>600</v>
      </c>
      <c r="K20" s="1213">
        <f>K19+600</f>
        <v>600</v>
      </c>
      <c r="L20" s="1213">
        <f>L19+600</f>
        <v>600</v>
      </c>
      <c r="M20" s="1213"/>
      <c r="N20" s="1213"/>
      <c r="O20" s="1129"/>
      <c r="P20" s="1213">
        <v>10407.390843062753</v>
      </c>
      <c r="Q20" s="1213">
        <v>28596.228492962669</v>
      </c>
      <c r="R20" s="1213">
        <v>20001.741819156086</v>
      </c>
      <c r="S20" s="1213">
        <v>16188.074850317575</v>
      </c>
      <c r="T20" s="1213"/>
      <c r="U20" s="1213"/>
      <c r="V20" s="1129"/>
      <c r="W20" s="1213">
        <v>10407.390843062753</v>
      </c>
      <c r="X20" s="1213">
        <v>25426.641083919156</v>
      </c>
      <c r="Y20" s="1213">
        <v>13322.922347356278</v>
      </c>
      <c r="Z20" s="1213">
        <v>9806.1796401104148</v>
      </c>
      <c r="AA20" s="1213"/>
      <c r="AB20" s="1213"/>
      <c r="AC20" s="1129"/>
      <c r="AD20" s="1213" t="e">
        <f>AD19+600</f>
        <v>#REF!</v>
      </c>
      <c r="AE20" s="1213" t="e">
        <f>AE19+600</f>
        <v>#REF!</v>
      </c>
      <c r="AF20" s="1213" t="e">
        <f>AF19+600</f>
        <v>#REF!</v>
      </c>
    </row>
    <row r="21" spans="6:32">
      <c r="F21" s="1212" t="s">
        <v>980</v>
      </c>
      <c r="G21" s="1218"/>
      <c r="H21" s="1213"/>
      <c r="I21" s="1213"/>
      <c r="J21" s="1213">
        <f>'[8]IS-BS-CF-Reco Tables'!AJ11</f>
        <v>-443</v>
      </c>
      <c r="K21" s="1213">
        <f>'[8]IS-BS-CF-Reco Tables'!AO11</f>
        <v>-443</v>
      </c>
      <c r="L21" s="1213">
        <f>'[8]IS-BS-CF-Reco Tables'!AT11</f>
        <v>-443</v>
      </c>
      <c r="M21" s="1213"/>
      <c r="N21" s="1213"/>
      <c r="O21" s="1129"/>
      <c r="P21" s="1213"/>
      <c r="Q21" s="1213">
        <v>11831.701191409184</v>
      </c>
      <c r="R21" s="1213">
        <v>8526.6229205015316</v>
      </c>
      <c r="S21" s="1213">
        <v>7139.3782079722159</v>
      </c>
      <c r="T21" s="1213"/>
      <c r="U21" s="1213"/>
      <c r="V21" s="1129"/>
      <c r="W21" s="1213"/>
      <c r="X21" s="1213">
        <v>10763.300941169799</v>
      </c>
      <c r="Y21" s="1213">
        <v>6256.6032372965674</v>
      </c>
      <c r="Z21" s="1213">
        <v>4988.1775753181164</v>
      </c>
      <c r="AA21" s="1213"/>
      <c r="AB21" s="1213"/>
      <c r="AC21" s="1129"/>
      <c r="AD21" s="1213" t="e">
        <f>AD22*5130</f>
        <v>#REF!</v>
      </c>
      <c r="AE21" s="1213" t="e">
        <f>AE22*5130</f>
        <v>#REF!</v>
      </c>
      <c r="AF21" s="1213" t="e">
        <f>AF22*5130</f>
        <v>#REF!</v>
      </c>
    </row>
    <row r="22" spans="6:32">
      <c r="F22" s="1212" t="s">
        <v>981</v>
      </c>
      <c r="G22" s="1218"/>
      <c r="H22" s="1213"/>
      <c r="I22" s="1213"/>
      <c r="J22" s="1219">
        <f>'[8]IS-BS-CF-Reco Tables'!AJ12</f>
        <v>-160</v>
      </c>
      <c r="K22" s="1219">
        <f>'[8]IS-BS-CF-Reco Tables'!AO12</f>
        <v>0</v>
      </c>
      <c r="L22" s="1219">
        <f>'[8]IS-BS-CF-Reco Tables'!AT12</f>
        <v>0</v>
      </c>
      <c r="M22" s="1219"/>
      <c r="N22" s="1219"/>
      <c r="O22" s="1129"/>
      <c r="P22" s="1213"/>
      <c r="Q22" s="1219">
        <v>2.3065610943983157</v>
      </c>
      <c r="R22" s="1219">
        <v>1.6622442011393772</v>
      </c>
      <c r="S22" s="1219">
        <v>1.3918042508257911</v>
      </c>
      <c r="T22" s="1219"/>
      <c r="U22" s="1219"/>
      <c r="V22" s="1129"/>
      <c r="W22" s="1213"/>
      <c r="X22" s="1219">
        <v>2.0982790890822161</v>
      </c>
      <c r="Y22" s="1219">
        <v>1.2197094379558124</v>
      </c>
      <c r="Z22" s="1219">
        <v>0.97243296978568772</v>
      </c>
      <c r="AA22" s="1219"/>
      <c r="AB22" s="1219"/>
      <c r="AC22" s="1129"/>
      <c r="AD22" s="1219" t="e">
        <f>#REF!</f>
        <v>#REF!</v>
      </c>
      <c r="AE22" s="1219" t="e">
        <f>#REF!</f>
        <v>#REF!</v>
      </c>
      <c r="AF22" s="1219" t="e">
        <f>#REF!</f>
        <v>#REF!</v>
      </c>
    </row>
    <row r="23" spans="6:32">
      <c r="F23" s="1212" t="s">
        <v>982</v>
      </c>
      <c r="G23" s="1218"/>
      <c r="H23" s="1213"/>
      <c r="I23" s="1213"/>
      <c r="J23" s="1220" t="e">
        <f>J22/$F$3</f>
        <v>#DIV/0!</v>
      </c>
      <c r="K23" s="1220" t="e">
        <f>K22/$F$3</f>
        <v>#DIV/0!</v>
      </c>
      <c r="L23" s="1220" t="e">
        <f>L22/$F$3</f>
        <v>#DIV/0!</v>
      </c>
      <c r="M23" s="1220"/>
      <c r="N23" s="1220"/>
      <c r="O23" s="1129"/>
      <c r="P23" s="1213"/>
      <c r="Q23" s="1220">
        <v>0.12143834656571637</v>
      </c>
      <c r="R23" s="1220">
        <v>8.7515647370039779E-2</v>
      </c>
      <c r="S23" s="1220">
        <v>7.3277229627212365E-2</v>
      </c>
      <c r="T23" s="1220"/>
      <c r="U23" s="1220"/>
      <c r="V23" s="1221"/>
      <c r="W23" s="1213"/>
      <c r="X23" s="1220">
        <v>0.11047248816881278</v>
      </c>
      <c r="Y23" s="1220">
        <v>6.4216594043693079E-2</v>
      </c>
      <c r="Z23" s="1220">
        <v>5.1197712596278741E-2</v>
      </c>
      <c r="AA23" s="1220"/>
      <c r="AB23" s="1220"/>
      <c r="AC23" s="1221"/>
      <c r="AD23" s="1220" t="e">
        <f>AD22/$F$3</f>
        <v>#REF!</v>
      </c>
      <c r="AE23" s="1220" t="e">
        <f>AE22/$F$3</f>
        <v>#REF!</v>
      </c>
      <c r="AF23" s="1220" t="e">
        <f>AF22/$F$3</f>
        <v>#REF!</v>
      </c>
    </row>
    <row r="24" spans="6:32">
      <c r="F24" s="1212" t="s">
        <v>302</v>
      </c>
      <c r="G24" s="1218"/>
      <c r="H24" s="1213"/>
      <c r="I24" s="1222">
        <v>-4200</v>
      </c>
      <c r="J24" s="1222">
        <f>'[8]IS-BS-CF-Reco Tables'!AJ200</f>
        <v>0</v>
      </c>
      <c r="K24" s="1222">
        <f>'[8]IS-BS-CF-Reco Tables'!AO200</f>
        <v>0</v>
      </c>
      <c r="L24" s="1222">
        <f>'[8]IS-BS-CF-Reco Tables'!AT200</f>
        <v>0</v>
      </c>
      <c r="M24" s="1222"/>
      <c r="N24" s="1222"/>
      <c r="O24" s="1223"/>
      <c r="P24" s="1224">
        <v>-4620</v>
      </c>
      <c r="Q24" s="1224">
        <v>-5800</v>
      </c>
      <c r="R24" s="1224">
        <v>-5500</v>
      </c>
      <c r="S24" s="1224">
        <v>-5500</v>
      </c>
      <c r="T24" s="1222"/>
      <c r="U24" s="1222"/>
      <c r="V24" s="1223"/>
      <c r="W24" s="1224">
        <v>-4620</v>
      </c>
      <c r="X24" s="1224">
        <v>-5800</v>
      </c>
      <c r="Y24" s="1224">
        <v>-5500</v>
      </c>
      <c r="Z24" s="1224">
        <v>-5500</v>
      </c>
      <c r="AA24" s="1222"/>
      <c r="AB24" s="1222"/>
      <c r="AC24" s="1223"/>
      <c r="AD24" s="1222">
        <v>-5530</v>
      </c>
      <c r="AE24" s="1222">
        <v>-5267</v>
      </c>
      <c r="AF24" s="1222">
        <v>-5267</v>
      </c>
    </row>
    <row r="25" spans="6:32">
      <c r="F25" s="1212" t="s">
        <v>983</v>
      </c>
      <c r="G25" s="1218"/>
      <c r="H25" s="1225"/>
      <c r="I25" s="1213">
        <f>13334-883</f>
        <v>12451</v>
      </c>
      <c r="J25" s="1222">
        <f>I25-'[8]IS-BS-CF-Reco Tables'!AJ224</f>
        <v>12451</v>
      </c>
      <c r="K25" s="1222">
        <f>J25-'[8]IS-BS-CF-Reco Tables'!AO224</f>
        <v>12451</v>
      </c>
      <c r="L25" s="1222">
        <f>K25-'[8]IS-BS-CF-Reco Tables'!AT224</f>
        <v>12451</v>
      </c>
      <c r="M25" s="1222"/>
      <c r="N25" s="1222"/>
      <c r="O25" s="1225"/>
      <c r="P25" s="1213">
        <v>4315.6091569372475</v>
      </c>
      <c r="Q25" s="1222">
        <v>-4424.8932973481824</v>
      </c>
      <c r="R25" s="1222">
        <v>-4307.2117277761354</v>
      </c>
      <c r="S25" s="1222">
        <v>-1004.2031376304585</v>
      </c>
      <c r="T25" s="1222"/>
      <c r="U25" s="1222"/>
      <c r="V25" s="1225"/>
      <c r="W25" s="1213">
        <v>4315.6091569372475</v>
      </c>
      <c r="X25" s="1222">
        <v>-1329.7441361767487</v>
      </c>
      <c r="Y25" s="1222">
        <v>2717.2000606841357</v>
      </c>
      <c r="Z25" s="1222">
        <v>8994.0629051060241</v>
      </c>
      <c r="AA25" s="1222"/>
      <c r="AB25" s="1222"/>
      <c r="AC25" s="1225"/>
      <c r="AD25" s="1222">
        <v>-1030</v>
      </c>
      <c r="AE25" s="1222">
        <v>-3618</v>
      </c>
      <c r="AF25" s="1222">
        <v>-3618</v>
      </c>
    </row>
    <row r="26" spans="6:32">
      <c r="F26" s="1212" t="s">
        <v>984</v>
      </c>
      <c r="G26" s="1218"/>
      <c r="H26" s="1225"/>
      <c r="I26" s="1226" t="e">
        <f t="shared" ref="I26:L26" si="8">I25/I18</f>
        <v>#DIV/0!</v>
      </c>
      <c r="J26" s="1226" t="e">
        <f t="shared" si="8"/>
        <v>#DIV/0!</v>
      </c>
      <c r="K26" s="1226" t="e">
        <f t="shared" si="8"/>
        <v>#DIV/0!</v>
      </c>
      <c r="L26" s="1226" t="e">
        <f t="shared" si="8"/>
        <v>#DIV/0!</v>
      </c>
      <c r="M26" s="1226"/>
      <c r="N26" s="1226"/>
      <c r="O26" s="1225"/>
      <c r="P26" s="1226">
        <v>0.22718029860297562</v>
      </c>
      <c r="Q26" s="1226">
        <v>-9.9402728354596417E-2</v>
      </c>
      <c r="R26" s="1226">
        <v>-0.13013873719548755</v>
      </c>
      <c r="S26" s="1226">
        <v>-3.5268700156362319E-2</v>
      </c>
      <c r="T26" s="1226"/>
      <c r="U26" s="1226"/>
      <c r="V26" s="1225"/>
      <c r="W26" s="1226">
        <v>0.22718029860297562</v>
      </c>
      <c r="X26" s="1226">
        <v>-3.2469630402790668E-2</v>
      </c>
      <c r="Y26" s="1226">
        <v>0.10643021682169775</v>
      </c>
      <c r="Z26" s="1226">
        <v>0.42221170442908695</v>
      </c>
      <c r="AA26" s="1226"/>
      <c r="AB26" s="1226"/>
      <c r="AC26" s="1225"/>
      <c r="AD26" s="1226" t="e">
        <f>AD25/AD18</f>
        <v>#REF!</v>
      </c>
      <c r="AE26" s="1226" t="e">
        <f>AE25/AE18</f>
        <v>#REF!</v>
      </c>
      <c r="AF26" s="1226" t="e">
        <f>AF25/AF18</f>
        <v>#REF!</v>
      </c>
    </row>
    <row r="27" spans="6:32">
      <c r="F27" s="1218"/>
      <c r="G27" s="1218"/>
      <c r="H27" s="1225"/>
      <c r="I27" s="1129"/>
      <c r="J27" s="1225"/>
      <c r="K27" s="1225"/>
      <c r="L27" s="1225"/>
      <c r="M27" s="1225"/>
      <c r="N27" s="1225"/>
      <c r="O27" s="1225"/>
      <c r="P27" s="1129"/>
      <c r="Q27" s="1129"/>
      <c r="R27" s="1225"/>
      <c r="S27" s="1225"/>
      <c r="T27" s="1225"/>
      <c r="U27" s="1225"/>
      <c r="V27" s="1225"/>
      <c r="W27" s="1129"/>
      <c r="X27" s="1129"/>
      <c r="Y27" s="1225"/>
      <c r="Z27" s="1225"/>
      <c r="AA27" s="1225"/>
      <c r="AB27" s="1225"/>
      <c r="AC27" s="1225"/>
      <c r="AD27" s="1225"/>
      <c r="AE27" s="1129"/>
      <c r="AF27" s="1225"/>
    </row>
    <row r="28" spans="6:32">
      <c r="F28" s="1212" t="s">
        <v>455</v>
      </c>
      <c r="G28" s="1218"/>
      <c r="H28" s="1225"/>
      <c r="I28" s="1129"/>
      <c r="J28" s="1227">
        <f>D29</f>
        <v>0</v>
      </c>
      <c r="K28" s="1227">
        <f>J28</f>
        <v>0</v>
      </c>
      <c r="L28" s="1227">
        <f>K28</f>
        <v>0</v>
      </c>
      <c r="M28" s="1227"/>
      <c r="N28" s="1227"/>
      <c r="O28" s="1225"/>
      <c r="P28" s="1129"/>
      <c r="Q28" s="1227">
        <f>J28</f>
        <v>0</v>
      </c>
      <c r="R28" s="1227">
        <f>Q28</f>
        <v>0</v>
      </c>
      <c r="S28" s="1227">
        <f>R28</f>
        <v>0</v>
      </c>
      <c r="T28" s="1227"/>
      <c r="U28" s="1227"/>
      <c r="V28" s="1225"/>
      <c r="W28" s="1129"/>
      <c r="X28" s="1227">
        <f>Q28</f>
        <v>0</v>
      </c>
      <c r="Y28" s="1227">
        <f>X28</f>
        <v>0</v>
      </c>
      <c r="Z28" s="1227">
        <f>Y28</f>
        <v>0</v>
      </c>
      <c r="AA28" s="1227"/>
      <c r="AB28" s="1227"/>
      <c r="AC28" s="1225"/>
      <c r="AD28" s="1227">
        <f>X28</f>
        <v>0</v>
      </c>
      <c r="AE28" s="1227">
        <f>AD28</f>
        <v>0</v>
      </c>
      <c r="AF28" s="1227">
        <f>AE28</f>
        <v>0</v>
      </c>
    </row>
    <row r="29" spans="6:32">
      <c r="F29" s="1212" t="s">
        <v>985</v>
      </c>
      <c r="G29" s="1218"/>
      <c r="H29" s="1225"/>
      <c r="I29" s="1227">
        <f>C29+I25</f>
        <v>12451</v>
      </c>
      <c r="J29" s="1227">
        <f>I29-(I25-J25)</f>
        <v>12451</v>
      </c>
      <c r="K29" s="1227">
        <f>J29-(J25-K25)</f>
        <v>12451</v>
      </c>
      <c r="L29" s="1227">
        <f>K29-(K25-L25)</f>
        <v>12451</v>
      </c>
      <c r="M29" s="1227"/>
      <c r="N29" s="1227"/>
      <c r="O29" s="1225"/>
      <c r="P29" s="1227">
        <v>72338.553054574179</v>
      </c>
      <c r="Q29" s="1227">
        <f>I29-(I25-Q25)</f>
        <v>-4424.8932973481824</v>
      </c>
      <c r="R29" s="1227">
        <f>Q29-(Q25-R25)</f>
        <v>-4307.2117277761354</v>
      </c>
      <c r="S29" s="1227">
        <f>R29-(R25-S25)</f>
        <v>-1004.2031376304585</v>
      </c>
      <c r="T29" s="1227"/>
      <c r="U29" s="1227"/>
      <c r="V29" s="1225"/>
      <c r="W29" s="1227">
        <v>72338.553054574179</v>
      </c>
      <c r="X29" s="1227">
        <f>I29-(I25-X25)</f>
        <v>-1329.7441361767487</v>
      </c>
      <c r="Y29" s="1227">
        <f>X29-(X25-Y25)</f>
        <v>2717.2000606841357</v>
      </c>
      <c r="Z29" s="1227">
        <f>Y29-(Y25-Z25)</f>
        <v>8994.0629051060241</v>
      </c>
      <c r="AA29" s="1227"/>
      <c r="AB29" s="1227"/>
      <c r="AC29" s="1225"/>
      <c r="AD29" s="1227">
        <f>I29-(I25-AD25)</f>
        <v>-1030</v>
      </c>
      <c r="AE29" s="1227">
        <f>AD29-(AD25-AE25)</f>
        <v>-3618</v>
      </c>
      <c r="AF29" s="1227">
        <f>AE29-(AE25-AF25)</f>
        <v>-3618</v>
      </c>
    </row>
    <row r="30" spans="6:32">
      <c r="F30" s="1212" t="s">
        <v>986</v>
      </c>
      <c r="G30" s="1218"/>
      <c r="H30" s="1228"/>
      <c r="I30" s="1228"/>
      <c r="J30" s="1228" t="e">
        <f>J$66/J18</f>
        <v>#DIV/0!</v>
      </c>
      <c r="K30" s="1228" t="e">
        <f>K$66/K18</f>
        <v>#DIV/0!</v>
      </c>
      <c r="L30" s="1228" t="e">
        <f>L$66/L18</f>
        <v>#DIV/0!</v>
      </c>
      <c r="M30" s="1228"/>
      <c r="N30" s="1228"/>
      <c r="O30" s="1225"/>
      <c r="P30" s="1228"/>
      <c r="Q30" s="1228">
        <f>Q$66/Q18</f>
        <v>0</v>
      </c>
      <c r="R30" s="1228">
        <f>R$66/R18</f>
        <v>0</v>
      </c>
      <c r="S30" s="1228">
        <f>S$66/S18</f>
        <v>0</v>
      </c>
      <c r="T30" s="1228"/>
      <c r="U30" s="1228"/>
      <c r="V30" s="1225"/>
      <c r="W30" s="1228"/>
      <c r="X30" s="1228">
        <f>X$66/X18</f>
        <v>0</v>
      </c>
      <c r="Y30" s="1228">
        <f>Y$66/Y18</f>
        <v>0</v>
      </c>
      <c r="Z30" s="1228">
        <f>Z$66/Z18</f>
        <v>0</v>
      </c>
      <c r="AA30" s="1228"/>
      <c r="AB30" s="1228"/>
      <c r="AC30" s="1225"/>
      <c r="AD30" s="1228" t="e">
        <f>AD$66/AD18</f>
        <v>#REF!</v>
      </c>
      <c r="AE30" s="1228" t="e">
        <f>AE$66/AE18</f>
        <v>#REF!</v>
      </c>
      <c r="AF30" s="1228" t="e">
        <f>AF$66/AF18</f>
        <v>#REF!</v>
      </c>
    </row>
    <row r="31" spans="6:32">
      <c r="F31" s="1212" t="s">
        <v>987</v>
      </c>
      <c r="G31" s="1218"/>
      <c r="H31" s="1228" t="e">
        <f>C29/H18</f>
        <v>#REF!</v>
      </c>
      <c r="I31" s="1228" t="e">
        <f>C29/I18</f>
        <v>#DIV/0!</v>
      </c>
      <c r="J31" s="1228" t="e">
        <f>J29/J18</f>
        <v>#DIV/0!</v>
      </c>
      <c r="K31" s="1228" t="e">
        <f>K29/K18</f>
        <v>#DIV/0!</v>
      </c>
      <c r="L31" s="1228" t="e">
        <f>L29/L18</f>
        <v>#DIV/0!</v>
      </c>
      <c r="M31" s="1228"/>
      <c r="N31" s="1228"/>
      <c r="O31" s="1225"/>
      <c r="P31" s="1228">
        <f>P29/P18</f>
        <v>3.8080126086089678</v>
      </c>
      <c r="Q31" s="1228">
        <f>Q29/Q18</f>
        <v>-9.9402728354596417E-2</v>
      </c>
      <c r="R31" s="1228">
        <f>R29/R18</f>
        <v>-0.13013873719548755</v>
      </c>
      <c r="S31" s="1228">
        <f>S29/S18</f>
        <v>-3.5268700156362319E-2</v>
      </c>
      <c r="T31" s="1228"/>
      <c r="U31" s="1228"/>
      <c r="V31" s="1225"/>
      <c r="W31" s="1228">
        <f>W29/W18</f>
        <v>3.8080126086089678</v>
      </c>
      <c r="X31" s="1228">
        <f>X29/X18</f>
        <v>-3.2469630402790668E-2</v>
      </c>
      <c r="Y31" s="1228">
        <f>Y29/Y18</f>
        <v>0.10643021682169775</v>
      </c>
      <c r="Z31" s="1228">
        <f>Z29/Z18</f>
        <v>0.42221170442908695</v>
      </c>
      <c r="AA31" s="1228"/>
      <c r="AB31" s="1228"/>
      <c r="AC31" s="1225"/>
      <c r="AD31" s="1228" t="e">
        <f>AD29/AD18</f>
        <v>#REF!</v>
      </c>
      <c r="AE31" s="1228" t="e">
        <f>AE29/AE18</f>
        <v>#REF!</v>
      </c>
      <c r="AF31" s="1228" t="e">
        <f>AF29/AF18</f>
        <v>#REF!</v>
      </c>
    </row>
    <row r="32" spans="6:32">
      <c r="F32" s="1212" t="s">
        <v>457</v>
      </c>
      <c r="G32" s="1218"/>
      <c r="H32" s="1220" t="e">
        <f>(H19/($E$9)/$F$3)</f>
        <v>#REF!</v>
      </c>
      <c r="I32" s="1220" t="e">
        <f t="shared" ref="I32:L33" si="9">(I19/($E$9+$F$9))/$F$3</f>
        <v>#REF!</v>
      </c>
      <c r="J32" s="1220" t="e">
        <f t="shared" si="9"/>
        <v>#DIV/0!</v>
      </c>
      <c r="K32" s="1220" t="e">
        <f t="shared" si="9"/>
        <v>#DIV/0!</v>
      </c>
      <c r="L32" s="1220" t="e">
        <f t="shared" si="9"/>
        <v>#DIV/0!</v>
      </c>
      <c r="M32" s="1220"/>
      <c r="N32" s="1220"/>
      <c r="O32" s="1229"/>
      <c r="P32" s="1220" t="e">
        <f t="shared" ref="P32:S33" si="10">(P19/($E$9+$F$9))/$F$3</f>
        <v>#DIV/0!</v>
      </c>
      <c r="Q32" s="1220" t="e">
        <f t="shared" si="10"/>
        <v>#DIV/0!</v>
      </c>
      <c r="R32" s="1220" t="e">
        <f t="shared" si="10"/>
        <v>#DIV/0!</v>
      </c>
      <c r="S32" s="1220" t="e">
        <f t="shared" si="10"/>
        <v>#DIV/0!</v>
      </c>
      <c r="T32" s="1220"/>
      <c r="U32" s="1220"/>
      <c r="V32" s="1229"/>
      <c r="W32" s="1220" t="e">
        <f t="shared" ref="W32:Z33" si="11">(W19/($E$9+$F$9))/$F$3</f>
        <v>#DIV/0!</v>
      </c>
      <c r="X32" s="1220" t="e">
        <f t="shared" si="11"/>
        <v>#DIV/0!</v>
      </c>
      <c r="Y32" s="1220" t="e">
        <f t="shared" si="11"/>
        <v>#DIV/0!</v>
      </c>
      <c r="Z32" s="1220" t="e">
        <f t="shared" si="11"/>
        <v>#DIV/0!</v>
      </c>
      <c r="AA32" s="1220"/>
      <c r="AB32" s="1220"/>
      <c r="AC32" s="1229"/>
      <c r="AD32" s="1220" t="e">
        <f t="shared" ref="AD32:AF33" si="12">(AD19/($E$9+$F$9))/$F$3</f>
        <v>#REF!</v>
      </c>
      <c r="AE32" s="1220" t="e">
        <f t="shared" si="12"/>
        <v>#REF!</v>
      </c>
      <c r="AF32" s="1220" t="e">
        <f t="shared" si="12"/>
        <v>#REF!</v>
      </c>
    </row>
    <row r="33" spans="6:32">
      <c r="F33" s="1212" t="s">
        <v>988</v>
      </c>
      <c r="G33" s="1218"/>
      <c r="H33" s="1220"/>
      <c r="I33" s="1220" t="e">
        <f t="shared" si="9"/>
        <v>#REF!</v>
      </c>
      <c r="J33" s="1220" t="e">
        <f t="shared" si="9"/>
        <v>#DIV/0!</v>
      </c>
      <c r="K33" s="1220" t="e">
        <f t="shared" si="9"/>
        <v>#DIV/0!</v>
      </c>
      <c r="L33" s="1220" t="e">
        <f t="shared" si="9"/>
        <v>#DIV/0!</v>
      </c>
      <c r="M33" s="1220"/>
      <c r="N33" s="1220"/>
      <c r="O33" s="1229"/>
      <c r="P33" s="1220" t="e">
        <f t="shared" si="10"/>
        <v>#DIV/0!</v>
      </c>
      <c r="Q33" s="1220" t="e">
        <f t="shared" si="10"/>
        <v>#DIV/0!</v>
      </c>
      <c r="R33" s="1220" t="e">
        <f t="shared" si="10"/>
        <v>#DIV/0!</v>
      </c>
      <c r="S33" s="1220" t="e">
        <f t="shared" si="10"/>
        <v>#DIV/0!</v>
      </c>
      <c r="T33" s="1220"/>
      <c r="U33" s="1220"/>
      <c r="V33" s="1229"/>
      <c r="W33" s="1220" t="e">
        <f t="shared" si="11"/>
        <v>#DIV/0!</v>
      </c>
      <c r="X33" s="1220" t="e">
        <f t="shared" si="11"/>
        <v>#DIV/0!</v>
      </c>
      <c r="Y33" s="1220" t="e">
        <f t="shared" si="11"/>
        <v>#DIV/0!</v>
      </c>
      <c r="Z33" s="1220" t="e">
        <f t="shared" si="11"/>
        <v>#DIV/0!</v>
      </c>
      <c r="AA33" s="1220"/>
      <c r="AB33" s="1220"/>
      <c r="AC33" s="1229"/>
      <c r="AD33" s="1220" t="e">
        <f t="shared" si="12"/>
        <v>#REF!</v>
      </c>
      <c r="AE33" s="1220" t="e">
        <f t="shared" si="12"/>
        <v>#REF!</v>
      </c>
      <c r="AF33" s="1220" t="e">
        <f t="shared" si="12"/>
        <v>#REF!</v>
      </c>
    </row>
    <row r="34" spans="6:32">
      <c r="F34" s="1212" t="s">
        <v>458</v>
      </c>
      <c r="G34" s="1218"/>
      <c r="H34" s="1220" t="e">
        <f>H19/C29</f>
        <v>#REF!</v>
      </c>
      <c r="I34" s="1220" t="e">
        <f t="shared" ref="I34:L34" si="13">I19/I29</f>
        <v>#REF!</v>
      </c>
      <c r="J34" s="1220">
        <f t="shared" si="13"/>
        <v>0</v>
      </c>
      <c r="K34" s="1220">
        <f t="shared" si="13"/>
        <v>0</v>
      </c>
      <c r="L34" s="1220">
        <f t="shared" si="13"/>
        <v>0</v>
      </c>
      <c r="M34" s="1220"/>
      <c r="N34" s="1220"/>
      <c r="O34" s="1225"/>
      <c r="P34" s="1220">
        <f>P19/P29</f>
        <v>0.13630893108442194</v>
      </c>
      <c r="Q34" s="1220">
        <f>Q19/Q29</f>
        <v>-6.3269838641624823</v>
      </c>
      <c r="R34" s="1220">
        <f>R19/R29</f>
        <v>-4.5044783134386188</v>
      </c>
      <c r="S34" s="1220">
        <f>S19/S29</f>
        <v>-15.522830258327579</v>
      </c>
      <c r="T34" s="1220"/>
      <c r="U34" s="1220"/>
      <c r="V34" s="1225"/>
      <c r="W34" s="1220">
        <f>W19/W29</f>
        <v>0.13630893108442194</v>
      </c>
      <c r="X34" s="1220">
        <f>X19/X29</f>
        <v>-18.670239189999492</v>
      </c>
      <c r="Y34" s="1220">
        <f>Y19/Y29</f>
        <v>4.6823649577546771</v>
      </c>
      <c r="Z34" s="1220">
        <f>Z19/Z29</f>
        <v>1.0235840839943391</v>
      </c>
      <c r="AA34" s="1220"/>
      <c r="AB34" s="1220"/>
      <c r="AC34" s="1225"/>
      <c r="AD34" s="1220" t="e">
        <f>AD19/AD29</f>
        <v>#REF!</v>
      </c>
      <c r="AE34" s="1220" t="e">
        <f>AE19/AE29</f>
        <v>#REF!</v>
      </c>
      <c r="AF34" s="1220" t="e">
        <f>AF19/AF29</f>
        <v>#REF!</v>
      </c>
    </row>
    <row r="35" spans="6:32">
      <c r="F35" s="1212" t="s">
        <v>459</v>
      </c>
      <c r="G35" s="1218"/>
      <c r="H35" s="1220" t="e">
        <f t="shared" ref="H35:L35" si="14">H19/$E$10</f>
        <v>#REF!</v>
      </c>
      <c r="I35" s="1220" t="e">
        <f t="shared" si="14"/>
        <v>#REF!</v>
      </c>
      <c r="J35" s="1220" t="e">
        <f t="shared" si="14"/>
        <v>#DIV/0!</v>
      </c>
      <c r="K35" s="1220" t="e">
        <f t="shared" si="14"/>
        <v>#DIV/0!</v>
      </c>
      <c r="L35" s="1220" t="e">
        <f t="shared" si="14"/>
        <v>#DIV/0!</v>
      </c>
      <c r="M35" s="1220"/>
      <c r="N35" s="1220"/>
      <c r="O35" s="1225"/>
      <c r="P35" s="1220" t="e">
        <f>P19/$E$10</f>
        <v>#DIV/0!</v>
      </c>
      <c r="Q35" s="1220" t="e">
        <f>Q19/$E$10</f>
        <v>#DIV/0!</v>
      </c>
      <c r="R35" s="1220" t="e">
        <f>R19/$E$10</f>
        <v>#DIV/0!</v>
      </c>
      <c r="S35" s="1220" t="e">
        <f>S19/$E$10</f>
        <v>#DIV/0!</v>
      </c>
      <c r="T35" s="1220"/>
      <c r="U35" s="1220"/>
      <c r="V35" s="1225"/>
      <c r="W35" s="1220" t="e">
        <f>W19/$E$10</f>
        <v>#DIV/0!</v>
      </c>
      <c r="X35" s="1220" t="e">
        <f>X19/$E$10</f>
        <v>#DIV/0!</v>
      </c>
      <c r="Y35" s="1220" t="e">
        <f>Y19/$E$10</f>
        <v>#DIV/0!</v>
      </c>
      <c r="Z35" s="1220" t="e">
        <f>Z19/$E$10</f>
        <v>#DIV/0!</v>
      </c>
      <c r="AA35" s="1220"/>
      <c r="AB35" s="1220"/>
      <c r="AC35" s="1225"/>
      <c r="AD35" s="1220" t="e">
        <f>AD19/$E$10</f>
        <v>#REF!</v>
      </c>
      <c r="AE35" s="1220" t="e">
        <f>AE19/$E$10</f>
        <v>#REF!</v>
      </c>
      <c r="AF35" s="1220" t="e">
        <f>AF19/$E$10</f>
        <v>#REF!</v>
      </c>
    </row>
    <row r="36" spans="6:32">
      <c r="F36" s="1218"/>
      <c r="G36" s="1218"/>
      <c r="H36" s="1225"/>
      <c r="I36" s="1129"/>
      <c r="J36" s="1225"/>
      <c r="K36" s="1225"/>
      <c r="L36" s="1225"/>
      <c r="M36" s="1225"/>
      <c r="N36" s="1225"/>
      <c r="O36" s="1225"/>
      <c r="P36" s="1225"/>
      <c r="Q36" s="1225"/>
      <c r="R36" s="1225"/>
      <c r="S36" s="1225"/>
      <c r="T36" s="1225"/>
      <c r="U36" s="1225"/>
      <c r="V36" s="1225"/>
      <c r="W36" s="1225"/>
      <c r="X36" s="1225"/>
      <c r="Y36" s="1225"/>
      <c r="Z36" s="1225"/>
      <c r="AA36" s="1225"/>
      <c r="AB36" s="1225"/>
      <c r="AC36" s="1225"/>
      <c r="AD36" s="1225"/>
      <c r="AE36" s="1225"/>
      <c r="AF36" s="1225"/>
    </row>
    <row r="37" spans="6:32">
      <c r="F37" s="1230" t="s">
        <v>472</v>
      </c>
      <c r="G37" s="1218"/>
      <c r="H37" s="1220"/>
      <c r="I37" s="1220"/>
      <c r="J37" s="1220"/>
      <c r="K37" s="1220"/>
      <c r="L37" s="1220"/>
      <c r="M37" s="1220"/>
      <c r="N37" s="1220"/>
      <c r="O37" s="1225"/>
      <c r="P37" s="1220"/>
      <c r="Q37" s="1220"/>
      <c r="R37" s="1220"/>
      <c r="S37" s="1220"/>
      <c r="T37" s="1220"/>
      <c r="U37" s="1220"/>
      <c r="V37" s="1225"/>
      <c r="W37" s="1220"/>
      <c r="X37" s="1220"/>
      <c r="Y37" s="1220"/>
      <c r="Z37" s="1220"/>
      <c r="AA37" s="1220"/>
      <c r="AB37" s="1220"/>
      <c r="AC37" s="1225"/>
      <c r="AD37" s="1220"/>
      <c r="AE37" s="1220"/>
      <c r="AF37" s="1220"/>
    </row>
    <row r="38" spans="6:32">
      <c r="F38" s="1212" t="s">
        <v>989</v>
      </c>
      <c r="G38" s="1218"/>
      <c r="H38" s="1220" t="e">
        <f>($E38/H$69)-1</f>
        <v>#DIV/0!</v>
      </c>
      <c r="I38" s="1220" t="e">
        <f t="shared" ref="I38:AF38" si="15">($E38/I$69)-1</f>
        <v>#DIV/0!</v>
      </c>
      <c r="J38" s="1220" t="e">
        <f t="shared" si="15"/>
        <v>#DIV/0!</v>
      </c>
      <c r="K38" s="1220" t="e">
        <f t="shared" si="15"/>
        <v>#DIV/0!</v>
      </c>
      <c r="L38" s="1220" t="e">
        <f t="shared" si="15"/>
        <v>#DIV/0!</v>
      </c>
      <c r="M38" s="1220"/>
      <c r="N38" s="1220"/>
      <c r="O38" s="1225"/>
      <c r="P38" s="1220" t="e">
        <f t="shared" si="15"/>
        <v>#DIV/0!</v>
      </c>
      <c r="Q38" s="1220" t="e">
        <f t="shared" si="15"/>
        <v>#DIV/0!</v>
      </c>
      <c r="R38" s="1220" t="e">
        <f t="shared" si="15"/>
        <v>#DIV/0!</v>
      </c>
      <c r="S38" s="1220" t="e">
        <f t="shared" si="15"/>
        <v>#DIV/0!</v>
      </c>
      <c r="T38" s="1220"/>
      <c r="U38" s="1220"/>
      <c r="V38" s="1225"/>
      <c r="W38" s="1220" t="e">
        <f t="shared" si="15"/>
        <v>#DIV/0!</v>
      </c>
      <c r="X38" s="1220" t="e">
        <f t="shared" si="15"/>
        <v>#DIV/0!</v>
      </c>
      <c r="Y38" s="1220" t="e">
        <f t="shared" si="15"/>
        <v>#DIV/0!</v>
      </c>
      <c r="Z38" s="1220" t="e">
        <f t="shared" si="15"/>
        <v>#DIV/0!</v>
      </c>
      <c r="AA38" s="1220"/>
      <c r="AB38" s="1220"/>
      <c r="AC38" s="1225"/>
      <c r="AD38" s="1220" t="e">
        <f t="shared" si="15"/>
        <v>#DIV/0!</v>
      </c>
      <c r="AE38" s="1220" t="e">
        <f t="shared" si="15"/>
        <v>#DIV/0!</v>
      </c>
      <c r="AF38" s="1220" t="e">
        <f t="shared" si="15"/>
        <v>#DIV/0!</v>
      </c>
    </row>
    <row r="39" spans="6:32">
      <c r="F39" s="1212" t="s">
        <v>990</v>
      </c>
      <c r="G39" s="1218"/>
      <c r="H39" s="1220" t="e">
        <f t="shared" ref="H39:AF40" si="16">($E39/H$69)-1</f>
        <v>#DIV/0!</v>
      </c>
      <c r="I39" s="1220" t="e">
        <f t="shared" si="16"/>
        <v>#DIV/0!</v>
      </c>
      <c r="J39" s="1220" t="e">
        <f t="shared" si="16"/>
        <v>#DIV/0!</v>
      </c>
      <c r="K39" s="1220" t="e">
        <f t="shared" si="16"/>
        <v>#DIV/0!</v>
      </c>
      <c r="L39" s="1220" t="e">
        <f t="shared" si="16"/>
        <v>#DIV/0!</v>
      </c>
      <c r="M39" s="1220"/>
      <c r="N39" s="1220"/>
      <c r="O39" s="1225"/>
      <c r="P39" s="1220" t="e">
        <f t="shared" si="16"/>
        <v>#DIV/0!</v>
      </c>
      <c r="Q39" s="1220" t="e">
        <f t="shared" si="16"/>
        <v>#DIV/0!</v>
      </c>
      <c r="R39" s="1220" t="e">
        <f t="shared" si="16"/>
        <v>#DIV/0!</v>
      </c>
      <c r="S39" s="1220" t="e">
        <f t="shared" si="16"/>
        <v>#DIV/0!</v>
      </c>
      <c r="T39" s="1220"/>
      <c r="U39" s="1220"/>
      <c r="V39" s="1225"/>
      <c r="W39" s="1220" t="e">
        <f t="shared" si="16"/>
        <v>#DIV/0!</v>
      </c>
      <c r="X39" s="1220" t="e">
        <f t="shared" si="16"/>
        <v>#DIV/0!</v>
      </c>
      <c r="Y39" s="1220" t="e">
        <f t="shared" si="16"/>
        <v>#DIV/0!</v>
      </c>
      <c r="Z39" s="1220" t="e">
        <f t="shared" si="16"/>
        <v>#DIV/0!</v>
      </c>
      <c r="AA39" s="1220"/>
      <c r="AB39" s="1220"/>
      <c r="AC39" s="1225"/>
      <c r="AD39" s="1220" t="e">
        <f t="shared" si="16"/>
        <v>#DIV/0!</v>
      </c>
      <c r="AE39" s="1220" t="e">
        <f t="shared" si="16"/>
        <v>#DIV/0!</v>
      </c>
      <c r="AF39" s="1220" t="e">
        <f t="shared" si="16"/>
        <v>#DIV/0!</v>
      </c>
    </row>
    <row r="40" spans="6:32">
      <c r="F40" s="1212" t="s">
        <v>991</v>
      </c>
      <c r="G40" s="1218"/>
      <c r="H40" s="1220" t="e">
        <f>($E40/H$69)-1</f>
        <v>#DIV/0!</v>
      </c>
      <c r="I40" s="1220" t="e">
        <f t="shared" si="16"/>
        <v>#DIV/0!</v>
      </c>
      <c r="J40" s="1220" t="e">
        <f t="shared" si="16"/>
        <v>#DIV/0!</v>
      </c>
      <c r="K40" s="1220" t="e">
        <f t="shared" si="16"/>
        <v>#DIV/0!</v>
      </c>
      <c r="L40" s="1220" t="e">
        <f t="shared" si="16"/>
        <v>#DIV/0!</v>
      </c>
      <c r="M40" s="1220"/>
      <c r="N40" s="1220"/>
      <c r="O40" s="1225"/>
      <c r="P40" s="1220" t="e">
        <f t="shared" si="16"/>
        <v>#DIV/0!</v>
      </c>
      <c r="Q40" s="1220" t="e">
        <f t="shared" si="16"/>
        <v>#DIV/0!</v>
      </c>
      <c r="R40" s="1220" t="e">
        <f t="shared" si="16"/>
        <v>#DIV/0!</v>
      </c>
      <c r="S40" s="1220" t="e">
        <f t="shared" si="16"/>
        <v>#DIV/0!</v>
      </c>
      <c r="T40" s="1220"/>
      <c r="U40" s="1220"/>
      <c r="V40" s="1225"/>
      <c r="W40" s="1220" t="e">
        <f t="shared" si="16"/>
        <v>#DIV/0!</v>
      </c>
      <c r="X40" s="1220" t="e">
        <f t="shared" si="16"/>
        <v>#DIV/0!</v>
      </c>
      <c r="Y40" s="1220" t="e">
        <f t="shared" si="16"/>
        <v>#DIV/0!</v>
      </c>
      <c r="Z40" s="1220" t="e">
        <f t="shared" si="16"/>
        <v>#DIV/0!</v>
      </c>
      <c r="AA40" s="1220"/>
      <c r="AB40" s="1220"/>
      <c r="AC40" s="1225"/>
      <c r="AD40" s="1220" t="e">
        <f t="shared" si="16"/>
        <v>#DIV/0!</v>
      </c>
      <c r="AE40" s="1220" t="e">
        <f t="shared" si="16"/>
        <v>#DIV/0!</v>
      </c>
      <c r="AF40" s="1220" t="e">
        <f t="shared" si="16"/>
        <v>#DIV/0!</v>
      </c>
    </row>
    <row r="41" spans="6:32">
      <c r="F41" s="1218"/>
      <c r="G41" s="1218"/>
      <c r="H41" s="1225"/>
      <c r="I41" s="1129"/>
      <c r="J41" s="1225"/>
      <c r="K41" s="1225"/>
      <c r="L41" s="1225"/>
      <c r="M41" s="1225"/>
      <c r="N41" s="1225"/>
      <c r="O41" s="1225"/>
      <c r="P41" s="1225"/>
      <c r="Q41" s="1225"/>
      <c r="R41" s="1225"/>
      <c r="S41" s="1225"/>
      <c r="T41" s="1225"/>
      <c r="U41" s="1225"/>
      <c r="V41" s="1225"/>
      <c r="W41" s="1225"/>
      <c r="X41" s="1225"/>
      <c r="Y41" s="1225"/>
      <c r="Z41" s="1225"/>
      <c r="AA41" s="1225"/>
      <c r="AB41" s="1225"/>
      <c r="AC41" s="1225"/>
      <c r="AD41" s="1225"/>
      <c r="AE41" s="1225"/>
      <c r="AF41" s="1225"/>
    </row>
    <row r="42" spans="6:32">
      <c r="F42" s="1218"/>
      <c r="G42" s="1218"/>
      <c r="H42" s="1225"/>
      <c r="I42" s="1129"/>
      <c r="J42" s="1225"/>
      <c r="K42" s="1225"/>
      <c r="L42" s="1225"/>
      <c r="M42" s="1225"/>
      <c r="N42" s="1225"/>
      <c r="O42" s="1225"/>
      <c r="P42" s="1225"/>
      <c r="Q42" s="1225"/>
      <c r="R42" s="1225"/>
      <c r="S42" s="1225"/>
      <c r="T42" s="1225"/>
      <c r="U42" s="1225"/>
      <c r="V42" s="1225"/>
      <c r="W42" s="1225"/>
      <c r="X42" s="1225"/>
      <c r="Y42" s="1225"/>
      <c r="Z42" s="1225"/>
      <c r="AA42" s="1225"/>
      <c r="AB42" s="1225"/>
      <c r="AC42" s="1225"/>
      <c r="AD42" s="1225"/>
      <c r="AE42" s="1225"/>
      <c r="AF42" s="1225"/>
    </row>
    <row r="43" spans="6:32">
      <c r="F43" s="1231"/>
      <c r="G43" s="1231"/>
      <c r="H43" s="1232" t="s">
        <v>441</v>
      </c>
      <c r="I43" s="1232"/>
      <c r="J43" s="1393" t="s">
        <v>565</v>
      </c>
      <c r="K43" s="1393"/>
      <c r="L43" s="1393"/>
      <c r="M43" s="1210"/>
      <c r="N43" s="1210"/>
      <c r="O43" s="1233"/>
      <c r="P43" s="1208">
        <f>P8</f>
        <v>0</v>
      </c>
      <c r="Q43" s="1393" t="str">
        <f>Q8</f>
        <v>Curve (IO) + Spot</v>
      </c>
      <c r="R43" s="1393"/>
      <c r="S43" s="1393"/>
      <c r="T43" s="1210"/>
      <c r="U43" s="1210"/>
      <c r="V43" s="1233"/>
      <c r="W43" s="1208">
        <f>W8</f>
        <v>0</v>
      </c>
      <c r="X43" s="1393" t="str">
        <f>X8</f>
        <v>Low IO/Rh + High BMs + Spot</v>
      </c>
      <c r="Y43" s="1393"/>
      <c r="Z43" s="1393"/>
      <c r="AA43" s="1210"/>
      <c r="AB43" s="1210"/>
      <c r="AC43" s="1233"/>
      <c r="AD43" s="1392"/>
      <c r="AE43" s="1392"/>
      <c r="AF43" s="1392"/>
    </row>
    <row r="44" spans="6:32">
      <c r="F44" s="1231"/>
      <c r="G44" s="1231"/>
      <c r="H44" s="1210" t="s">
        <v>468</v>
      </c>
      <c r="I44" s="1210" t="s">
        <v>469</v>
      </c>
      <c r="J44" s="1210" t="s">
        <v>470</v>
      </c>
      <c r="K44" s="1210" t="s">
        <v>925</v>
      </c>
      <c r="L44" s="1210" t="s">
        <v>974</v>
      </c>
      <c r="M44" s="1210"/>
      <c r="N44" s="1210"/>
      <c r="O44" s="1209"/>
      <c r="P44" s="1210" t="str">
        <f>P9</f>
        <v>CY20</v>
      </c>
      <c r="Q44" s="1210" t="str">
        <f>Q9</f>
        <v>CY21</v>
      </c>
      <c r="R44" s="1210" t="str">
        <f>R9</f>
        <v>CY22</v>
      </c>
      <c r="S44" s="1210" t="str">
        <f>S9</f>
        <v>CY23</v>
      </c>
      <c r="T44" s="1210"/>
      <c r="U44" s="1210"/>
      <c r="V44" s="1209"/>
      <c r="W44" s="1210" t="str">
        <f>W9</f>
        <v>CY20</v>
      </c>
      <c r="X44" s="1210" t="str">
        <f>X9</f>
        <v>CY21</v>
      </c>
      <c r="Y44" s="1210" t="str">
        <f>Y9</f>
        <v>CY22</v>
      </c>
      <c r="Z44" s="1210" t="str">
        <f>Z9</f>
        <v>CY23</v>
      </c>
      <c r="AA44" s="1210"/>
      <c r="AB44" s="1210"/>
      <c r="AC44" s="1209"/>
      <c r="AD44" s="1392"/>
      <c r="AE44" s="1392"/>
      <c r="AF44" s="1392"/>
    </row>
    <row r="45" spans="6:32">
      <c r="F45" s="1234" t="s">
        <v>992</v>
      </c>
      <c r="G45" s="1225"/>
      <c r="H45" s="1225"/>
      <c r="I45" s="1129"/>
      <c r="J45" s="1225"/>
      <c r="K45" s="1225"/>
      <c r="L45" s="1225"/>
      <c r="M45" s="1225"/>
      <c r="N45" s="1225"/>
      <c r="O45" s="1225"/>
      <c r="P45" s="1129"/>
      <c r="Q45" s="1129"/>
      <c r="R45" s="1225"/>
      <c r="S45" s="1225"/>
      <c r="T45" s="1225"/>
      <c r="U45" s="1225"/>
      <c r="V45" s="1225"/>
      <c r="W45" s="1129"/>
      <c r="X45" s="1129"/>
      <c r="Y45" s="1225"/>
      <c r="Z45" s="1225"/>
      <c r="AA45" s="1225"/>
      <c r="AB45" s="1225"/>
      <c r="AC45" s="1225"/>
      <c r="AD45" s="1225"/>
      <c r="AE45" s="1129"/>
      <c r="AF45" s="1225"/>
    </row>
    <row r="46" spans="6:32">
      <c r="F46" s="1212" t="s">
        <v>465</v>
      </c>
      <c r="G46" s="1218"/>
      <c r="H46" s="1213">
        <f>'[8]Ferrous Minerals'!AA73</f>
        <v>0</v>
      </c>
      <c r="I46" s="1213" t="e">
        <f>AVERAGE('[8]Ferrous Minerals'!AB469:AE469)</f>
        <v>#DIV/0!</v>
      </c>
      <c r="J46" s="1213">
        <f>[3]Sheet1!$Q$82</f>
        <v>153.69780833333334</v>
      </c>
      <c r="K46" s="1213">
        <f>[3]Sheet1!$AH$82</f>
        <v>85.315999999999988</v>
      </c>
      <c r="L46" s="1213">
        <f>[3]Sheet1!$AY$82</f>
        <v>74.239999999999995</v>
      </c>
      <c r="M46" s="1213"/>
      <c r="N46" s="1213"/>
      <c r="O46" s="1225"/>
      <c r="P46" s="1213">
        <v>100.50393333333334</v>
      </c>
      <c r="Q46" s="1213">
        <v>169.07364166666665</v>
      </c>
      <c r="R46" s="1213">
        <v>118.8933</v>
      </c>
      <c r="S46" s="1213">
        <v>95.244159999999994</v>
      </c>
      <c r="T46" s="1213"/>
      <c r="U46" s="1213"/>
      <c r="V46" s="1225"/>
      <c r="W46" s="1213">
        <v>100.50393333333334</v>
      </c>
      <c r="X46" s="1213">
        <v>159.84447500000002</v>
      </c>
      <c r="Y46" s="1213">
        <v>94.603333333333339</v>
      </c>
      <c r="Z46" s="1213">
        <v>76.34933333333332</v>
      </c>
      <c r="AA46" s="1213"/>
      <c r="AB46" s="1213"/>
      <c r="AC46" s="1225"/>
      <c r="AD46" s="1225"/>
      <c r="AE46" s="1129"/>
      <c r="AF46" s="1225"/>
    </row>
    <row r="47" spans="6:32">
      <c r="F47" s="1212" t="s">
        <v>993</v>
      </c>
      <c r="G47" s="1218"/>
      <c r="H47" s="1213"/>
      <c r="I47" s="1213">
        <f>'[8]Ferrous Minerals'!AF96</f>
        <v>108.9</v>
      </c>
      <c r="J47" s="1213">
        <f>'[8]Ferrous Minerals'!AK96</f>
        <v>0</v>
      </c>
      <c r="K47" s="1213">
        <f>'[8]Ferrous Minerals'!AP96</f>
        <v>0</v>
      </c>
      <c r="L47" s="1213">
        <f>'[8]Ferrous Minerals'!AU96</f>
        <v>0</v>
      </c>
      <c r="M47" s="1213"/>
      <c r="N47" s="1213"/>
      <c r="O47" s="1225"/>
      <c r="P47" s="1213">
        <v>92.791532346158505</v>
      </c>
      <c r="Q47" s="1213">
        <v>156.85141091122298</v>
      </c>
      <c r="R47" s="1213">
        <v>107.68907634834495</v>
      </c>
      <c r="S47" s="1213">
        <v>90.974494927532447</v>
      </c>
      <c r="T47" s="1213"/>
      <c r="U47" s="1213"/>
      <c r="V47" s="1225"/>
      <c r="W47" s="1213">
        <v>92.791532346158505</v>
      </c>
      <c r="X47" s="1213">
        <v>146.03147384736718</v>
      </c>
      <c r="Y47" s="1213">
        <v>83.676121734179659</v>
      </c>
      <c r="Z47" s="1213">
        <v>70.304456597529651</v>
      </c>
      <c r="AA47" s="1213"/>
      <c r="AB47" s="1213"/>
      <c r="AC47" s="1225"/>
      <c r="AD47" s="1225"/>
      <c r="AE47" s="1129"/>
      <c r="AF47" s="1225"/>
    </row>
    <row r="48" spans="6:32">
      <c r="F48" s="1212"/>
      <c r="G48" s="1218"/>
      <c r="H48" s="1213"/>
      <c r="I48" s="1213"/>
      <c r="J48" s="1213"/>
      <c r="K48" s="1213"/>
      <c r="L48" s="1213"/>
      <c r="M48" s="1213"/>
      <c r="N48" s="1213"/>
      <c r="O48" s="1225"/>
      <c r="P48" s="1213"/>
      <c r="Q48" s="1213"/>
      <c r="R48" s="1213"/>
      <c r="S48" s="1213"/>
      <c r="T48" s="1213"/>
      <c r="U48" s="1213"/>
      <c r="V48" s="1225"/>
      <c r="W48" s="1213"/>
      <c r="X48" s="1213"/>
      <c r="Y48" s="1213"/>
      <c r="Z48" s="1213"/>
      <c r="AA48" s="1213"/>
      <c r="AB48" s="1213"/>
      <c r="AC48" s="1225"/>
      <c r="AD48" s="1225"/>
      <c r="AE48" s="1129"/>
      <c r="AF48" s="1225"/>
    </row>
    <row r="49" spans="6:32">
      <c r="F49" s="1218" t="s">
        <v>994</v>
      </c>
      <c r="G49" s="1218"/>
      <c r="H49" s="1213"/>
      <c r="I49" s="1213"/>
      <c r="J49" s="1213"/>
      <c r="K49" s="1213"/>
      <c r="L49" s="1213"/>
      <c r="M49" s="1213"/>
      <c r="N49" s="1213"/>
      <c r="O49" s="1225"/>
      <c r="P49" s="1213"/>
      <c r="Q49" s="1213"/>
      <c r="R49" s="1213"/>
      <c r="S49" s="1213"/>
      <c r="T49" s="1213"/>
      <c r="U49" s="1213"/>
      <c r="V49" s="1225"/>
      <c r="W49" s="1213"/>
      <c r="X49" s="1213"/>
      <c r="Y49" s="1213"/>
      <c r="Z49" s="1213"/>
      <c r="AA49" s="1213"/>
      <c r="AB49" s="1213"/>
      <c r="AC49" s="1225"/>
      <c r="AD49" s="1225"/>
      <c r="AE49" s="1129"/>
      <c r="AF49" s="1225"/>
    </row>
    <row r="50" spans="6:32">
      <c r="F50" s="1218" t="s">
        <v>995</v>
      </c>
      <c r="G50" s="1218"/>
      <c r="H50" s="1213"/>
      <c r="I50" s="1213"/>
      <c r="J50" s="1213"/>
      <c r="K50" s="1213"/>
      <c r="L50" s="1213"/>
      <c r="M50" s="1213"/>
      <c r="N50" s="1213"/>
      <c r="O50" s="1225"/>
      <c r="P50" s="1213"/>
      <c r="Q50" s="1213"/>
      <c r="R50" s="1213"/>
      <c r="S50" s="1213"/>
      <c r="T50" s="1213"/>
      <c r="U50" s="1213"/>
      <c r="V50" s="1225"/>
      <c r="W50" s="1213"/>
      <c r="X50" s="1213"/>
      <c r="Y50" s="1213"/>
      <c r="Z50" s="1213"/>
      <c r="AA50" s="1213"/>
      <c r="AB50" s="1213"/>
      <c r="AC50" s="1225"/>
      <c r="AD50" s="1225"/>
      <c r="AE50" s="1129"/>
      <c r="AF50" s="1225"/>
    </row>
  </sheetData>
  <mergeCells count="9">
    <mergeCell ref="AD44:AF44"/>
    <mergeCell ref="J8:L8"/>
    <mergeCell ref="Q8:S8"/>
    <mergeCell ref="X8:Z8"/>
    <mergeCell ref="AD8:AF8"/>
    <mergeCell ref="J43:L43"/>
    <mergeCell ref="Q43:S43"/>
    <mergeCell ref="X43:Z43"/>
    <mergeCell ref="AD43:AF43"/>
  </mergeCell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17949-3FC0-4AD2-92C7-547A1C551641}">
  <dimension ref="D3:AQ68"/>
  <sheetViews>
    <sheetView workbookViewId="0">
      <selection activeCell="E5" sqref="E5:G5"/>
    </sheetView>
  </sheetViews>
  <sheetFormatPr defaultColWidth="9" defaultRowHeight="14"/>
  <cols>
    <col min="1" max="11" width="9" style="1"/>
    <col min="12" max="12" width="10.5" style="1" bestFit="1" customWidth="1"/>
    <col min="13" max="13" width="9" style="1"/>
    <col min="14" max="14" width="10.5" style="1" bestFit="1" customWidth="1"/>
    <col min="15" max="16384" width="9" style="1"/>
  </cols>
  <sheetData>
    <row r="3" spans="4:43">
      <c r="E3" s="1" t="s">
        <v>146</v>
      </c>
      <c r="F3" s="1" t="s">
        <v>171</v>
      </c>
      <c r="G3" s="1" t="s">
        <v>1036</v>
      </c>
    </row>
    <row r="4" spans="4:43">
      <c r="D4" s="1" t="s">
        <v>641</v>
      </c>
      <c r="E4" s="473">
        <v>220</v>
      </c>
      <c r="F4" s="473">
        <v>550</v>
      </c>
      <c r="G4" s="473">
        <v>2500</v>
      </c>
    </row>
    <row r="5" spans="4:43">
      <c r="D5" s="1" t="s">
        <v>1034</v>
      </c>
      <c r="E5" s="1369">
        <v>9510</v>
      </c>
      <c r="F5" s="1369">
        <v>3100</v>
      </c>
      <c r="G5" s="1369">
        <v>160</v>
      </c>
    </row>
    <row r="6" spans="4:43">
      <c r="D6" s="1" t="s">
        <v>1037</v>
      </c>
      <c r="E6" s="473">
        <v>3500</v>
      </c>
      <c r="F6" s="473">
        <v>1350</v>
      </c>
      <c r="G6" s="473">
        <v>85</v>
      </c>
    </row>
    <row r="7" spans="4:43">
      <c r="D7" s="1" t="s">
        <v>1035</v>
      </c>
      <c r="E7" s="473"/>
      <c r="F7" s="473"/>
      <c r="G7" s="473"/>
      <c r="O7" s="1372">
        <v>0</v>
      </c>
      <c r="P7" s="1258">
        <f>O7</f>
        <v>0</v>
      </c>
      <c r="Q7" s="1258">
        <f t="shared" ref="Q7:AP7" si="0">P7</f>
        <v>0</v>
      </c>
      <c r="R7" s="1258">
        <f t="shared" si="0"/>
        <v>0</v>
      </c>
      <c r="S7" s="1258">
        <f t="shared" si="0"/>
        <v>0</v>
      </c>
      <c r="T7" s="1258">
        <f t="shared" si="0"/>
        <v>0</v>
      </c>
      <c r="U7" s="1258">
        <f t="shared" si="0"/>
        <v>0</v>
      </c>
      <c r="V7" s="1258">
        <f t="shared" si="0"/>
        <v>0</v>
      </c>
      <c r="W7" s="1258">
        <f t="shared" si="0"/>
        <v>0</v>
      </c>
      <c r="X7" s="1258">
        <f t="shared" si="0"/>
        <v>0</v>
      </c>
      <c r="Y7" s="1258">
        <f t="shared" si="0"/>
        <v>0</v>
      </c>
      <c r="Z7" s="1258">
        <f t="shared" si="0"/>
        <v>0</v>
      </c>
      <c r="AA7" s="1258">
        <f t="shared" si="0"/>
        <v>0</v>
      </c>
      <c r="AB7" s="1258">
        <f t="shared" si="0"/>
        <v>0</v>
      </c>
      <c r="AC7" s="1258">
        <f t="shared" si="0"/>
        <v>0</v>
      </c>
      <c r="AD7" s="1258">
        <f t="shared" si="0"/>
        <v>0</v>
      </c>
      <c r="AE7" s="1258">
        <f t="shared" si="0"/>
        <v>0</v>
      </c>
      <c r="AF7" s="1258">
        <f t="shared" si="0"/>
        <v>0</v>
      </c>
      <c r="AG7" s="1258">
        <f t="shared" si="0"/>
        <v>0</v>
      </c>
      <c r="AH7" s="1258">
        <f t="shared" si="0"/>
        <v>0</v>
      </c>
      <c r="AI7" s="1258">
        <f t="shared" si="0"/>
        <v>0</v>
      </c>
      <c r="AJ7" s="1258">
        <f t="shared" si="0"/>
        <v>0</v>
      </c>
      <c r="AK7" s="1258">
        <f t="shared" si="0"/>
        <v>0</v>
      </c>
      <c r="AL7" s="1258">
        <f t="shared" si="0"/>
        <v>0</v>
      </c>
      <c r="AM7" s="1258">
        <f t="shared" si="0"/>
        <v>0</v>
      </c>
      <c r="AN7" s="1258">
        <f t="shared" si="0"/>
        <v>0</v>
      </c>
      <c r="AO7" s="1258">
        <f t="shared" si="0"/>
        <v>0</v>
      </c>
      <c r="AP7" s="1258">
        <f t="shared" si="0"/>
        <v>0</v>
      </c>
    </row>
    <row r="8" spans="4:43">
      <c r="D8" s="1" t="s">
        <v>1035</v>
      </c>
      <c r="E8" s="473"/>
      <c r="F8" s="473"/>
      <c r="G8" s="473"/>
      <c r="O8" s="1">
        <v>0</v>
      </c>
    </row>
    <row r="10" spans="4:43">
      <c r="N10" s="1377">
        <v>212</v>
      </c>
      <c r="O10" s="1376">
        <v>180</v>
      </c>
      <c r="P10" s="1">
        <f>O10</f>
        <v>180</v>
      </c>
      <c r="Q10" s="1">
        <f t="shared" ref="Q10:AP10" si="1">P10</f>
        <v>180</v>
      </c>
      <c r="R10" s="1">
        <f t="shared" si="1"/>
        <v>180</v>
      </c>
      <c r="S10" s="1">
        <f t="shared" si="1"/>
        <v>180</v>
      </c>
      <c r="T10" s="1">
        <f t="shared" si="1"/>
        <v>180</v>
      </c>
      <c r="U10" s="1">
        <f t="shared" si="1"/>
        <v>180</v>
      </c>
      <c r="V10" s="1">
        <f t="shared" si="1"/>
        <v>180</v>
      </c>
      <c r="W10" s="1">
        <f t="shared" si="1"/>
        <v>180</v>
      </c>
      <c r="X10" s="1">
        <f t="shared" si="1"/>
        <v>180</v>
      </c>
      <c r="Y10" s="1">
        <f t="shared" si="1"/>
        <v>180</v>
      </c>
      <c r="Z10" s="1">
        <f t="shared" si="1"/>
        <v>180</v>
      </c>
      <c r="AA10" s="1">
        <f t="shared" si="1"/>
        <v>180</v>
      </c>
      <c r="AB10" s="1">
        <f t="shared" si="1"/>
        <v>180</v>
      </c>
      <c r="AC10" s="1">
        <f t="shared" si="1"/>
        <v>180</v>
      </c>
      <c r="AD10" s="1">
        <f t="shared" si="1"/>
        <v>180</v>
      </c>
      <c r="AE10" s="1">
        <f t="shared" si="1"/>
        <v>180</v>
      </c>
      <c r="AF10" s="1">
        <f t="shared" si="1"/>
        <v>180</v>
      </c>
      <c r="AG10" s="1">
        <f t="shared" si="1"/>
        <v>180</v>
      </c>
      <c r="AH10" s="1">
        <f t="shared" si="1"/>
        <v>180</v>
      </c>
      <c r="AI10" s="1">
        <f t="shared" si="1"/>
        <v>180</v>
      </c>
      <c r="AJ10" s="1">
        <f t="shared" si="1"/>
        <v>180</v>
      </c>
      <c r="AK10" s="1">
        <f t="shared" si="1"/>
        <v>180</v>
      </c>
      <c r="AL10" s="1">
        <f t="shared" si="1"/>
        <v>180</v>
      </c>
      <c r="AM10" s="1">
        <f t="shared" si="1"/>
        <v>180</v>
      </c>
      <c r="AN10" s="1">
        <f t="shared" si="1"/>
        <v>180</v>
      </c>
      <c r="AO10" s="1">
        <f t="shared" si="1"/>
        <v>180</v>
      </c>
      <c r="AP10" s="1">
        <f t="shared" si="1"/>
        <v>180</v>
      </c>
    </row>
    <row r="11" spans="4:43">
      <c r="M11" s="1">
        <v>730</v>
      </c>
      <c r="N11" s="1">
        <f>M11-N15</f>
        <v>705</v>
      </c>
      <c r="O11" s="1">
        <f t="shared" ref="O11:AP11" si="2">N11-O15</f>
        <v>680</v>
      </c>
      <c r="P11" s="1">
        <f t="shared" si="2"/>
        <v>655</v>
      </c>
      <c r="Q11" s="1">
        <f t="shared" si="2"/>
        <v>630</v>
      </c>
      <c r="R11" s="1">
        <f t="shared" si="2"/>
        <v>605</v>
      </c>
      <c r="S11" s="1">
        <f t="shared" si="2"/>
        <v>580</v>
      </c>
      <c r="T11" s="1">
        <f t="shared" si="2"/>
        <v>555</v>
      </c>
      <c r="U11" s="1">
        <f t="shared" si="2"/>
        <v>530</v>
      </c>
      <c r="V11" s="1">
        <f t="shared" si="2"/>
        <v>505</v>
      </c>
      <c r="W11" s="1">
        <f t="shared" si="2"/>
        <v>480</v>
      </c>
      <c r="X11" s="1">
        <f t="shared" si="2"/>
        <v>455</v>
      </c>
      <c r="Y11" s="1">
        <f t="shared" si="2"/>
        <v>430</v>
      </c>
      <c r="Z11" s="1">
        <f t="shared" si="2"/>
        <v>405</v>
      </c>
      <c r="AA11" s="1">
        <f t="shared" si="2"/>
        <v>380</v>
      </c>
      <c r="AB11" s="1">
        <f t="shared" si="2"/>
        <v>355</v>
      </c>
      <c r="AC11" s="1">
        <f t="shared" si="2"/>
        <v>330</v>
      </c>
      <c r="AD11" s="1">
        <f t="shared" si="2"/>
        <v>305</v>
      </c>
      <c r="AE11" s="1">
        <f t="shared" si="2"/>
        <v>280</v>
      </c>
      <c r="AF11" s="1">
        <f t="shared" si="2"/>
        <v>255</v>
      </c>
      <c r="AG11" s="1">
        <f t="shared" si="2"/>
        <v>230</v>
      </c>
      <c r="AH11" s="1">
        <f t="shared" si="2"/>
        <v>205</v>
      </c>
      <c r="AI11" s="1">
        <f t="shared" si="2"/>
        <v>180</v>
      </c>
      <c r="AJ11" s="1">
        <f t="shared" si="2"/>
        <v>155</v>
      </c>
      <c r="AK11" s="1">
        <f t="shared" si="2"/>
        <v>130</v>
      </c>
      <c r="AL11" s="1">
        <f t="shared" si="2"/>
        <v>105</v>
      </c>
      <c r="AM11" s="1">
        <f t="shared" si="2"/>
        <v>80</v>
      </c>
      <c r="AN11" s="1">
        <f t="shared" si="2"/>
        <v>55</v>
      </c>
      <c r="AO11" s="1">
        <f t="shared" si="2"/>
        <v>30</v>
      </c>
      <c r="AP11" s="1">
        <f t="shared" si="2"/>
        <v>5</v>
      </c>
    </row>
    <row r="13" spans="4:43">
      <c r="N13" s="1">
        <v>1</v>
      </c>
      <c r="O13" s="1">
        <v>2</v>
      </c>
      <c r="P13" s="1">
        <v>3</v>
      </c>
      <c r="Q13" s="1">
        <v>4</v>
      </c>
      <c r="R13" s="1">
        <v>5</v>
      </c>
      <c r="S13" s="1">
        <v>6</v>
      </c>
      <c r="T13" s="1">
        <v>7</v>
      </c>
      <c r="U13" s="1">
        <v>8</v>
      </c>
      <c r="V13" s="1">
        <v>9</v>
      </c>
      <c r="W13" s="1">
        <v>10</v>
      </c>
      <c r="X13" s="1">
        <v>11</v>
      </c>
      <c r="Y13" s="1">
        <v>12</v>
      </c>
      <c r="Z13" s="1">
        <v>13</v>
      </c>
      <c r="AA13" s="1">
        <v>14</v>
      </c>
      <c r="AB13" s="1">
        <v>15</v>
      </c>
      <c r="AC13" s="1">
        <v>16</v>
      </c>
      <c r="AD13" s="1">
        <v>17</v>
      </c>
      <c r="AE13" s="1">
        <v>18</v>
      </c>
      <c r="AF13" s="1">
        <v>19</v>
      </c>
      <c r="AG13" s="1">
        <v>20</v>
      </c>
      <c r="AH13" s="1">
        <v>21</v>
      </c>
      <c r="AI13" s="1">
        <v>22</v>
      </c>
      <c r="AJ13" s="1">
        <v>23</v>
      </c>
      <c r="AK13" s="1">
        <v>24</v>
      </c>
      <c r="AL13" s="1">
        <v>25</v>
      </c>
      <c r="AM13" s="1">
        <v>26</v>
      </c>
      <c r="AN13" s="1">
        <v>27</v>
      </c>
      <c r="AO13" s="1">
        <v>28</v>
      </c>
      <c r="AP13" s="1">
        <v>29</v>
      </c>
    </row>
    <row r="14" spans="4:43">
      <c r="M14" s="1371">
        <v>2021</v>
      </c>
      <c r="N14" s="1371">
        <v>2022</v>
      </c>
      <c r="O14" s="1371">
        <v>2023</v>
      </c>
      <c r="P14" s="1371">
        <v>2024</v>
      </c>
      <c r="Q14" s="1371">
        <v>2025</v>
      </c>
      <c r="R14" s="1371">
        <v>2026</v>
      </c>
      <c r="S14" s="1371">
        <v>2027</v>
      </c>
      <c r="T14" s="1371">
        <v>2028</v>
      </c>
      <c r="U14" s="1371">
        <v>2029</v>
      </c>
      <c r="V14" s="1371">
        <v>2030</v>
      </c>
      <c r="W14" s="1371">
        <v>2031</v>
      </c>
      <c r="X14" s="1371">
        <v>2032</v>
      </c>
      <c r="Y14" s="1371">
        <v>2033</v>
      </c>
      <c r="Z14" s="1371">
        <v>2034</v>
      </c>
      <c r="AA14" s="1371">
        <v>2035</v>
      </c>
      <c r="AB14" s="1371">
        <v>2036</v>
      </c>
      <c r="AC14" s="1371">
        <v>2037</v>
      </c>
      <c r="AD14" s="1371">
        <v>2038</v>
      </c>
      <c r="AE14" s="1371">
        <v>2039</v>
      </c>
      <c r="AF14" s="1371">
        <v>2040</v>
      </c>
      <c r="AG14" s="1371">
        <v>2041</v>
      </c>
      <c r="AH14" s="1371">
        <v>2042</v>
      </c>
      <c r="AI14" s="1371">
        <v>2043</v>
      </c>
      <c r="AJ14" s="1371">
        <v>2044</v>
      </c>
      <c r="AK14" s="1371">
        <v>2045</v>
      </c>
      <c r="AL14" s="1371">
        <v>2046</v>
      </c>
      <c r="AM14" s="1371">
        <v>2047</v>
      </c>
      <c r="AN14" s="1371">
        <v>2048</v>
      </c>
      <c r="AO14" s="1371">
        <v>2049</v>
      </c>
      <c r="AP14" s="1371">
        <v>2050</v>
      </c>
      <c r="AQ14" s="1371"/>
    </row>
    <row r="15" spans="4:43">
      <c r="L15" s="1" t="s">
        <v>641</v>
      </c>
      <c r="M15" s="797"/>
      <c r="N15" s="797">
        <v>25</v>
      </c>
      <c r="O15" s="797">
        <f>N15</f>
        <v>25</v>
      </c>
      <c r="P15" s="797">
        <f t="shared" ref="P15:AP15" si="3">O15</f>
        <v>25</v>
      </c>
      <c r="Q15" s="797">
        <f t="shared" si="3"/>
        <v>25</v>
      </c>
      <c r="R15" s="797">
        <f t="shared" si="3"/>
        <v>25</v>
      </c>
      <c r="S15" s="797">
        <f t="shared" si="3"/>
        <v>25</v>
      </c>
      <c r="T15" s="797">
        <f t="shared" si="3"/>
        <v>25</v>
      </c>
      <c r="U15" s="797">
        <f t="shared" si="3"/>
        <v>25</v>
      </c>
      <c r="V15" s="797">
        <f t="shared" si="3"/>
        <v>25</v>
      </c>
      <c r="W15" s="797">
        <f t="shared" si="3"/>
        <v>25</v>
      </c>
      <c r="X15" s="797">
        <f t="shared" si="3"/>
        <v>25</v>
      </c>
      <c r="Y15" s="797">
        <f t="shared" si="3"/>
        <v>25</v>
      </c>
      <c r="Z15" s="797">
        <f t="shared" si="3"/>
        <v>25</v>
      </c>
      <c r="AA15" s="797">
        <f t="shared" si="3"/>
        <v>25</v>
      </c>
      <c r="AB15" s="797">
        <f t="shared" si="3"/>
        <v>25</v>
      </c>
      <c r="AC15" s="797">
        <f t="shared" si="3"/>
        <v>25</v>
      </c>
      <c r="AD15" s="797">
        <f t="shared" si="3"/>
        <v>25</v>
      </c>
      <c r="AE15" s="797">
        <f t="shared" si="3"/>
        <v>25</v>
      </c>
      <c r="AF15" s="797">
        <f t="shared" si="3"/>
        <v>25</v>
      </c>
      <c r="AG15" s="797">
        <f t="shared" si="3"/>
        <v>25</v>
      </c>
      <c r="AH15" s="797">
        <f t="shared" si="3"/>
        <v>25</v>
      </c>
      <c r="AI15" s="797">
        <f t="shared" si="3"/>
        <v>25</v>
      </c>
      <c r="AJ15" s="797">
        <f t="shared" si="3"/>
        <v>25</v>
      </c>
      <c r="AK15" s="797">
        <f t="shared" si="3"/>
        <v>25</v>
      </c>
      <c r="AL15" s="797">
        <f t="shared" si="3"/>
        <v>25</v>
      </c>
      <c r="AM15" s="797">
        <f t="shared" si="3"/>
        <v>25</v>
      </c>
      <c r="AN15" s="797">
        <f t="shared" si="3"/>
        <v>25</v>
      </c>
      <c r="AO15" s="797">
        <f t="shared" si="3"/>
        <v>25</v>
      </c>
      <c r="AP15" s="797">
        <f t="shared" si="3"/>
        <v>25</v>
      </c>
      <c r="AQ15" s="797"/>
    </row>
    <row r="16" spans="4:43">
      <c r="L16" s="1" t="s">
        <v>1009</v>
      </c>
      <c r="M16" s="797"/>
      <c r="N16" s="805">
        <f>N10*(1-N31)</f>
        <v>195.04000000000002</v>
      </c>
      <c r="O16" s="1373">
        <f t="shared" ref="O16:AP16" si="4">O10*(1-O31)</f>
        <v>165.6</v>
      </c>
      <c r="P16" s="805">
        <f t="shared" si="4"/>
        <v>165.6</v>
      </c>
      <c r="Q16" s="805">
        <f t="shared" si="4"/>
        <v>165.6</v>
      </c>
      <c r="R16" s="805">
        <f t="shared" si="4"/>
        <v>165.6</v>
      </c>
      <c r="S16" s="805">
        <f t="shared" si="4"/>
        <v>165.6</v>
      </c>
      <c r="T16" s="805">
        <f t="shared" si="4"/>
        <v>165.6</v>
      </c>
      <c r="U16" s="805">
        <f t="shared" si="4"/>
        <v>165.6</v>
      </c>
      <c r="V16" s="805">
        <f t="shared" si="4"/>
        <v>165.6</v>
      </c>
      <c r="W16" s="805">
        <f t="shared" si="4"/>
        <v>165.6</v>
      </c>
      <c r="X16" s="805">
        <f t="shared" si="4"/>
        <v>165.6</v>
      </c>
      <c r="Y16" s="805">
        <f t="shared" si="4"/>
        <v>165.6</v>
      </c>
      <c r="Z16" s="805">
        <f t="shared" si="4"/>
        <v>165.6</v>
      </c>
      <c r="AA16" s="805">
        <f t="shared" si="4"/>
        <v>165.6</v>
      </c>
      <c r="AB16" s="805">
        <f t="shared" si="4"/>
        <v>165.6</v>
      </c>
      <c r="AC16" s="805">
        <f t="shared" si="4"/>
        <v>165.6</v>
      </c>
      <c r="AD16" s="805">
        <f t="shared" si="4"/>
        <v>165.6</v>
      </c>
      <c r="AE16" s="805">
        <f t="shared" si="4"/>
        <v>165.6</v>
      </c>
      <c r="AF16" s="805">
        <f t="shared" si="4"/>
        <v>165.6</v>
      </c>
      <c r="AG16" s="805">
        <f t="shared" si="4"/>
        <v>165.6</v>
      </c>
      <c r="AH16" s="805">
        <f t="shared" si="4"/>
        <v>165.6</v>
      </c>
      <c r="AI16" s="805">
        <f t="shared" si="4"/>
        <v>165.6</v>
      </c>
      <c r="AJ16" s="805">
        <f t="shared" si="4"/>
        <v>165.6</v>
      </c>
      <c r="AK16" s="805">
        <f t="shared" si="4"/>
        <v>165.6</v>
      </c>
      <c r="AL16" s="805">
        <f t="shared" si="4"/>
        <v>165.6</v>
      </c>
      <c r="AM16" s="805">
        <f t="shared" si="4"/>
        <v>165.6</v>
      </c>
      <c r="AN16" s="805">
        <f t="shared" si="4"/>
        <v>165.6</v>
      </c>
      <c r="AO16" s="805">
        <f t="shared" si="4"/>
        <v>165.6</v>
      </c>
      <c r="AP16" s="805">
        <f t="shared" si="4"/>
        <v>165.6</v>
      </c>
      <c r="AQ16" s="805"/>
    </row>
    <row r="17" spans="12:43">
      <c r="L17" s="1" t="s">
        <v>1037</v>
      </c>
      <c r="M17" s="797"/>
      <c r="N17" s="1374">
        <v>100</v>
      </c>
      <c r="O17" s="805">
        <f>N17*(1+O7)</f>
        <v>100</v>
      </c>
      <c r="P17" s="805">
        <f>O17*(1+P7)</f>
        <v>100</v>
      </c>
      <c r="Q17" s="805">
        <f t="shared" ref="Q17:AP17" si="5">P17*(1+Q7)</f>
        <v>100</v>
      </c>
      <c r="R17" s="805">
        <f t="shared" si="5"/>
        <v>100</v>
      </c>
      <c r="S17" s="805">
        <f t="shared" si="5"/>
        <v>100</v>
      </c>
      <c r="T17" s="805">
        <f t="shared" si="5"/>
        <v>100</v>
      </c>
      <c r="U17" s="805">
        <f t="shared" si="5"/>
        <v>100</v>
      </c>
      <c r="V17" s="805">
        <f t="shared" si="5"/>
        <v>100</v>
      </c>
      <c r="W17" s="805">
        <f t="shared" si="5"/>
        <v>100</v>
      </c>
      <c r="X17" s="805">
        <f t="shared" si="5"/>
        <v>100</v>
      </c>
      <c r="Y17" s="805">
        <f t="shared" si="5"/>
        <v>100</v>
      </c>
      <c r="Z17" s="805">
        <f t="shared" si="5"/>
        <v>100</v>
      </c>
      <c r="AA17" s="805">
        <f t="shared" si="5"/>
        <v>100</v>
      </c>
      <c r="AB17" s="805">
        <f t="shared" si="5"/>
        <v>100</v>
      </c>
      <c r="AC17" s="805">
        <f t="shared" si="5"/>
        <v>100</v>
      </c>
      <c r="AD17" s="805">
        <f t="shared" si="5"/>
        <v>100</v>
      </c>
      <c r="AE17" s="805">
        <f t="shared" si="5"/>
        <v>100</v>
      </c>
      <c r="AF17" s="805">
        <f t="shared" si="5"/>
        <v>100</v>
      </c>
      <c r="AG17" s="805">
        <f t="shared" si="5"/>
        <v>100</v>
      </c>
      <c r="AH17" s="805">
        <f t="shared" si="5"/>
        <v>100</v>
      </c>
      <c r="AI17" s="805">
        <f t="shared" si="5"/>
        <v>100</v>
      </c>
      <c r="AJ17" s="805">
        <f t="shared" si="5"/>
        <v>100</v>
      </c>
      <c r="AK17" s="805">
        <f t="shared" si="5"/>
        <v>100</v>
      </c>
      <c r="AL17" s="805">
        <f t="shared" si="5"/>
        <v>100</v>
      </c>
      <c r="AM17" s="805">
        <f t="shared" si="5"/>
        <v>100</v>
      </c>
      <c r="AN17" s="805">
        <f t="shared" si="5"/>
        <v>100</v>
      </c>
      <c r="AO17" s="805">
        <f t="shared" si="5"/>
        <v>100</v>
      </c>
      <c r="AP17" s="805">
        <f t="shared" si="5"/>
        <v>100</v>
      </c>
      <c r="AQ17" s="797"/>
    </row>
    <row r="18" spans="12:43">
      <c r="L18" s="1" t="s">
        <v>1035</v>
      </c>
      <c r="M18" s="797"/>
      <c r="N18" s="805">
        <f>N16-N17</f>
        <v>95.04000000000002</v>
      </c>
      <c r="O18" s="805">
        <f t="shared" ref="O18:AP18" si="6">O16-O17</f>
        <v>65.599999999999994</v>
      </c>
      <c r="P18" s="805">
        <f t="shared" si="6"/>
        <v>65.599999999999994</v>
      </c>
      <c r="Q18" s="805">
        <f t="shared" si="6"/>
        <v>65.599999999999994</v>
      </c>
      <c r="R18" s="805">
        <f t="shared" si="6"/>
        <v>65.599999999999994</v>
      </c>
      <c r="S18" s="805">
        <f t="shared" si="6"/>
        <v>65.599999999999994</v>
      </c>
      <c r="T18" s="805">
        <f t="shared" si="6"/>
        <v>65.599999999999994</v>
      </c>
      <c r="U18" s="805">
        <f t="shared" si="6"/>
        <v>65.599999999999994</v>
      </c>
      <c r="V18" s="805">
        <f t="shared" si="6"/>
        <v>65.599999999999994</v>
      </c>
      <c r="W18" s="805">
        <f t="shared" si="6"/>
        <v>65.599999999999994</v>
      </c>
      <c r="X18" s="805">
        <f t="shared" si="6"/>
        <v>65.599999999999994</v>
      </c>
      <c r="Y18" s="805">
        <f t="shared" si="6"/>
        <v>65.599999999999994</v>
      </c>
      <c r="Z18" s="805">
        <f t="shared" si="6"/>
        <v>65.599999999999994</v>
      </c>
      <c r="AA18" s="805">
        <f t="shared" si="6"/>
        <v>65.599999999999994</v>
      </c>
      <c r="AB18" s="805">
        <f t="shared" si="6"/>
        <v>65.599999999999994</v>
      </c>
      <c r="AC18" s="805">
        <f t="shared" si="6"/>
        <v>65.599999999999994</v>
      </c>
      <c r="AD18" s="805">
        <f t="shared" si="6"/>
        <v>65.599999999999994</v>
      </c>
      <c r="AE18" s="805">
        <f t="shared" si="6"/>
        <v>65.599999999999994</v>
      </c>
      <c r="AF18" s="805">
        <f t="shared" si="6"/>
        <v>65.599999999999994</v>
      </c>
      <c r="AG18" s="805">
        <f t="shared" si="6"/>
        <v>65.599999999999994</v>
      </c>
      <c r="AH18" s="805">
        <f t="shared" si="6"/>
        <v>65.599999999999994</v>
      </c>
      <c r="AI18" s="805">
        <f t="shared" si="6"/>
        <v>65.599999999999994</v>
      </c>
      <c r="AJ18" s="805">
        <f t="shared" si="6"/>
        <v>65.599999999999994</v>
      </c>
      <c r="AK18" s="805">
        <f t="shared" si="6"/>
        <v>65.599999999999994</v>
      </c>
      <c r="AL18" s="805">
        <f t="shared" si="6"/>
        <v>65.599999999999994</v>
      </c>
      <c r="AM18" s="805">
        <f t="shared" si="6"/>
        <v>65.599999999999994</v>
      </c>
      <c r="AN18" s="805">
        <f t="shared" si="6"/>
        <v>65.599999999999994</v>
      </c>
      <c r="AO18" s="805">
        <f t="shared" si="6"/>
        <v>65.599999999999994</v>
      </c>
      <c r="AP18" s="805">
        <f t="shared" si="6"/>
        <v>65.599999999999994</v>
      </c>
      <c r="AQ18" s="797"/>
    </row>
    <row r="19" spans="12:43">
      <c r="L19" s="1" t="s">
        <v>1042</v>
      </c>
      <c r="M19" s="797"/>
      <c r="N19" s="1374">
        <v>27</v>
      </c>
      <c r="O19" s="1">
        <f>N19</f>
        <v>27</v>
      </c>
      <c r="P19" s="1">
        <f t="shared" ref="P19:AP19" si="7">O19</f>
        <v>27</v>
      </c>
      <c r="Q19" s="1">
        <f t="shared" si="7"/>
        <v>27</v>
      </c>
      <c r="R19" s="1">
        <f t="shared" si="7"/>
        <v>27</v>
      </c>
      <c r="S19" s="1">
        <f t="shared" si="7"/>
        <v>27</v>
      </c>
      <c r="T19" s="1">
        <f t="shared" si="7"/>
        <v>27</v>
      </c>
      <c r="U19" s="1">
        <f t="shared" si="7"/>
        <v>27</v>
      </c>
      <c r="V19" s="1">
        <f t="shared" si="7"/>
        <v>27</v>
      </c>
      <c r="W19" s="1">
        <f t="shared" si="7"/>
        <v>27</v>
      </c>
      <c r="X19" s="1">
        <f t="shared" si="7"/>
        <v>27</v>
      </c>
      <c r="Y19" s="1">
        <f t="shared" si="7"/>
        <v>27</v>
      </c>
      <c r="Z19" s="1">
        <f t="shared" si="7"/>
        <v>27</v>
      </c>
      <c r="AA19" s="1">
        <f t="shared" si="7"/>
        <v>27</v>
      </c>
      <c r="AB19" s="1">
        <f t="shared" si="7"/>
        <v>27</v>
      </c>
      <c r="AC19" s="1">
        <f t="shared" si="7"/>
        <v>27</v>
      </c>
      <c r="AD19" s="1">
        <f t="shared" si="7"/>
        <v>27</v>
      </c>
      <c r="AE19" s="1">
        <f t="shared" si="7"/>
        <v>27</v>
      </c>
      <c r="AF19" s="1">
        <f t="shared" si="7"/>
        <v>27</v>
      </c>
      <c r="AG19" s="1">
        <f t="shared" si="7"/>
        <v>27</v>
      </c>
      <c r="AH19" s="1">
        <f t="shared" si="7"/>
        <v>27</v>
      </c>
      <c r="AI19" s="1">
        <f t="shared" si="7"/>
        <v>27</v>
      </c>
      <c r="AJ19" s="1">
        <f t="shared" si="7"/>
        <v>27</v>
      </c>
      <c r="AK19" s="1">
        <f t="shared" si="7"/>
        <v>27</v>
      </c>
      <c r="AL19" s="1">
        <f t="shared" si="7"/>
        <v>27</v>
      </c>
      <c r="AM19" s="1">
        <f t="shared" si="7"/>
        <v>27</v>
      </c>
      <c r="AN19" s="1">
        <f t="shared" si="7"/>
        <v>27</v>
      </c>
      <c r="AO19" s="1">
        <f t="shared" si="7"/>
        <v>27</v>
      </c>
      <c r="AP19" s="1">
        <f t="shared" si="7"/>
        <v>27</v>
      </c>
      <c r="AQ19" s="797"/>
    </row>
    <row r="20" spans="12:43">
      <c r="L20" s="1" t="s">
        <v>1043</v>
      </c>
      <c r="M20" s="797"/>
      <c r="N20" s="805">
        <f>N18-N19</f>
        <v>68.04000000000002</v>
      </c>
      <c r="O20" s="805">
        <f t="shared" ref="O20:AO20" si="8">O18-O19</f>
        <v>38.599999999999994</v>
      </c>
      <c r="P20" s="805">
        <f t="shared" si="8"/>
        <v>38.599999999999994</v>
      </c>
      <c r="Q20" s="805">
        <f t="shared" si="8"/>
        <v>38.599999999999994</v>
      </c>
      <c r="R20" s="805">
        <f t="shared" si="8"/>
        <v>38.599999999999994</v>
      </c>
      <c r="S20" s="805">
        <f t="shared" si="8"/>
        <v>38.599999999999994</v>
      </c>
      <c r="T20" s="805">
        <f t="shared" si="8"/>
        <v>38.599999999999994</v>
      </c>
      <c r="U20" s="805">
        <f t="shared" si="8"/>
        <v>38.599999999999994</v>
      </c>
      <c r="V20" s="805">
        <f t="shared" si="8"/>
        <v>38.599999999999994</v>
      </c>
      <c r="W20" s="805">
        <f t="shared" si="8"/>
        <v>38.599999999999994</v>
      </c>
      <c r="X20" s="805">
        <f t="shared" si="8"/>
        <v>38.599999999999994</v>
      </c>
      <c r="Y20" s="805">
        <f t="shared" si="8"/>
        <v>38.599999999999994</v>
      </c>
      <c r="Z20" s="805">
        <f t="shared" si="8"/>
        <v>38.599999999999994</v>
      </c>
      <c r="AA20" s="805">
        <f t="shared" si="8"/>
        <v>38.599999999999994</v>
      </c>
      <c r="AB20" s="805">
        <f t="shared" si="8"/>
        <v>38.599999999999994</v>
      </c>
      <c r="AC20" s="805">
        <f t="shared" si="8"/>
        <v>38.599999999999994</v>
      </c>
      <c r="AD20" s="805">
        <f t="shared" si="8"/>
        <v>38.599999999999994</v>
      </c>
      <c r="AE20" s="805">
        <f t="shared" si="8"/>
        <v>38.599999999999994</v>
      </c>
      <c r="AF20" s="805">
        <f t="shared" si="8"/>
        <v>38.599999999999994</v>
      </c>
      <c r="AG20" s="805">
        <f t="shared" si="8"/>
        <v>38.599999999999994</v>
      </c>
      <c r="AH20" s="805">
        <f t="shared" si="8"/>
        <v>38.599999999999994</v>
      </c>
      <c r="AI20" s="805">
        <f t="shared" si="8"/>
        <v>38.599999999999994</v>
      </c>
      <c r="AJ20" s="805">
        <f t="shared" si="8"/>
        <v>38.599999999999994</v>
      </c>
      <c r="AK20" s="805">
        <f t="shared" si="8"/>
        <v>38.599999999999994</v>
      </c>
      <c r="AL20" s="805">
        <f t="shared" si="8"/>
        <v>38.599999999999994</v>
      </c>
      <c r="AM20" s="805">
        <f t="shared" si="8"/>
        <v>38.599999999999994</v>
      </c>
      <c r="AN20" s="805">
        <f t="shared" si="8"/>
        <v>38.599999999999994</v>
      </c>
      <c r="AO20" s="805">
        <f t="shared" si="8"/>
        <v>38.599999999999994</v>
      </c>
      <c r="AP20" s="797"/>
      <c r="AQ20" s="797"/>
    </row>
    <row r="21" spans="12:43">
      <c r="L21" s="1" t="s">
        <v>1044</v>
      </c>
      <c r="M21" s="797"/>
      <c r="N21" s="805">
        <f>N20*0.15</f>
        <v>10.206000000000003</v>
      </c>
      <c r="O21" s="805">
        <f t="shared" ref="O21:AO21" si="9">O20*0.15</f>
        <v>5.7899999999999991</v>
      </c>
      <c r="P21" s="805">
        <f t="shared" si="9"/>
        <v>5.7899999999999991</v>
      </c>
      <c r="Q21" s="805">
        <f t="shared" si="9"/>
        <v>5.7899999999999991</v>
      </c>
      <c r="R21" s="805">
        <f t="shared" si="9"/>
        <v>5.7899999999999991</v>
      </c>
      <c r="S21" s="805">
        <f t="shared" si="9"/>
        <v>5.7899999999999991</v>
      </c>
      <c r="T21" s="805">
        <f t="shared" si="9"/>
        <v>5.7899999999999991</v>
      </c>
      <c r="U21" s="805">
        <f t="shared" si="9"/>
        <v>5.7899999999999991</v>
      </c>
      <c r="V21" s="805">
        <f t="shared" si="9"/>
        <v>5.7899999999999991</v>
      </c>
      <c r="W21" s="805">
        <f t="shared" si="9"/>
        <v>5.7899999999999991</v>
      </c>
      <c r="X21" s="805">
        <f t="shared" si="9"/>
        <v>5.7899999999999991</v>
      </c>
      <c r="Y21" s="805">
        <f t="shared" si="9"/>
        <v>5.7899999999999991</v>
      </c>
      <c r="Z21" s="805">
        <f t="shared" si="9"/>
        <v>5.7899999999999991</v>
      </c>
      <c r="AA21" s="805">
        <f t="shared" si="9"/>
        <v>5.7899999999999991</v>
      </c>
      <c r="AB21" s="805">
        <f t="shared" si="9"/>
        <v>5.7899999999999991</v>
      </c>
      <c r="AC21" s="805">
        <f t="shared" si="9"/>
        <v>5.7899999999999991</v>
      </c>
      <c r="AD21" s="805">
        <f t="shared" si="9"/>
        <v>5.7899999999999991</v>
      </c>
      <c r="AE21" s="805">
        <f t="shared" si="9"/>
        <v>5.7899999999999991</v>
      </c>
      <c r="AF21" s="805">
        <f t="shared" si="9"/>
        <v>5.7899999999999991</v>
      </c>
      <c r="AG21" s="805">
        <f t="shared" si="9"/>
        <v>5.7899999999999991</v>
      </c>
      <c r="AH21" s="805">
        <f t="shared" si="9"/>
        <v>5.7899999999999991</v>
      </c>
      <c r="AI21" s="805">
        <f t="shared" si="9"/>
        <v>5.7899999999999991</v>
      </c>
      <c r="AJ21" s="805">
        <f t="shared" si="9"/>
        <v>5.7899999999999991</v>
      </c>
      <c r="AK21" s="805">
        <f t="shared" si="9"/>
        <v>5.7899999999999991</v>
      </c>
      <c r="AL21" s="805">
        <f t="shared" si="9"/>
        <v>5.7899999999999991</v>
      </c>
      <c r="AM21" s="805">
        <f t="shared" si="9"/>
        <v>5.7899999999999991</v>
      </c>
      <c r="AN21" s="805">
        <f t="shared" si="9"/>
        <v>5.7899999999999991</v>
      </c>
      <c r="AO21" s="805">
        <f t="shared" si="9"/>
        <v>5.7899999999999991</v>
      </c>
      <c r="AP21" s="797"/>
      <c r="AQ21" s="797"/>
    </row>
    <row r="22" spans="12:43">
      <c r="L22" s="1" t="s">
        <v>1044</v>
      </c>
      <c r="M22" s="797"/>
      <c r="N22" s="805">
        <f>N21*N15</f>
        <v>255.15000000000009</v>
      </c>
      <c r="O22" s="805">
        <f t="shared" ref="O22:AO22" si="10">O21*O15</f>
        <v>144.74999999999997</v>
      </c>
      <c r="P22" s="805">
        <f t="shared" si="10"/>
        <v>144.74999999999997</v>
      </c>
      <c r="Q22" s="805">
        <f t="shared" si="10"/>
        <v>144.74999999999997</v>
      </c>
      <c r="R22" s="805">
        <f t="shared" si="10"/>
        <v>144.74999999999997</v>
      </c>
      <c r="S22" s="805">
        <f t="shared" si="10"/>
        <v>144.74999999999997</v>
      </c>
      <c r="T22" s="805">
        <f t="shared" si="10"/>
        <v>144.74999999999997</v>
      </c>
      <c r="U22" s="805">
        <f t="shared" si="10"/>
        <v>144.74999999999997</v>
      </c>
      <c r="V22" s="805">
        <f t="shared" si="10"/>
        <v>144.74999999999997</v>
      </c>
      <c r="W22" s="805">
        <f t="shared" si="10"/>
        <v>144.74999999999997</v>
      </c>
      <c r="X22" s="805">
        <f t="shared" si="10"/>
        <v>144.74999999999997</v>
      </c>
      <c r="Y22" s="805">
        <f t="shared" si="10"/>
        <v>144.74999999999997</v>
      </c>
      <c r="Z22" s="805">
        <f t="shared" si="10"/>
        <v>144.74999999999997</v>
      </c>
      <c r="AA22" s="805">
        <f t="shared" si="10"/>
        <v>144.74999999999997</v>
      </c>
      <c r="AB22" s="805">
        <f t="shared" si="10"/>
        <v>144.74999999999997</v>
      </c>
      <c r="AC22" s="805">
        <f t="shared" si="10"/>
        <v>144.74999999999997</v>
      </c>
      <c r="AD22" s="805">
        <f t="shared" si="10"/>
        <v>144.74999999999997</v>
      </c>
      <c r="AE22" s="805">
        <f t="shared" si="10"/>
        <v>144.74999999999997</v>
      </c>
      <c r="AF22" s="805">
        <f t="shared" si="10"/>
        <v>144.74999999999997</v>
      </c>
      <c r="AG22" s="805">
        <f t="shared" si="10"/>
        <v>144.74999999999997</v>
      </c>
      <c r="AH22" s="805">
        <f t="shared" si="10"/>
        <v>144.74999999999997</v>
      </c>
      <c r="AI22" s="805">
        <f t="shared" si="10"/>
        <v>144.74999999999997</v>
      </c>
      <c r="AJ22" s="805">
        <f t="shared" si="10"/>
        <v>144.74999999999997</v>
      </c>
      <c r="AK22" s="805">
        <f t="shared" si="10"/>
        <v>144.74999999999997</v>
      </c>
      <c r="AL22" s="805">
        <f t="shared" si="10"/>
        <v>144.74999999999997</v>
      </c>
      <c r="AM22" s="805">
        <f t="shared" si="10"/>
        <v>144.74999999999997</v>
      </c>
      <c r="AN22" s="805">
        <f t="shared" si="10"/>
        <v>144.74999999999997</v>
      </c>
      <c r="AO22" s="805">
        <f t="shared" si="10"/>
        <v>144.74999999999997</v>
      </c>
      <c r="AP22" s="797"/>
      <c r="AQ22" s="797"/>
    </row>
    <row r="23" spans="12:43">
      <c r="M23" s="797"/>
      <c r="N23" s="805">
        <f>N22</f>
        <v>255.15000000000009</v>
      </c>
      <c r="O23" s="930">
        <f>N23+O22</f>
        <v>399.90000000000009</v>
      </c>
      <c r="P23" s="930">
        <f t="shared" ref="P23:AO23" si="11">O23+P22</f>
        <v>544.65000000000009</v>
      </c>
      <c r="Q23" s="930">
        <f t="shared" si="11"/>
        <v>689.40000000000009</v>
      </c>
      <c r="R23" s="930">
        <f t="shared" si="11"/>
        <v>834.15000000000009</v>
      </c>
      <c r="S23" s="930">
        <f t="shared" si="11"/>
        <v>978.90000000000009</v>
      </c>
      <c r="T23" s="930">
        <f t="shared" si="11"/>
        <v>1123.6500000000001</v>
      </c>
      <c r="U23" s="930">
        <f t="shared" si="11"/>
        <v>1268.4000000000001</v>
      </c>
      <c r="V23" s="930">
        <f t="shared" si="11"/>
        <v>1413.15</v>
      </c>
      <c r="W23" s="930">
        <f t="shared" si="11"/>
        <v>1557.9</v>
      </c>
      <c r="X23" s="930">
        <f t="shared" si="11"/>
        <v>1702.65</v>
      </c>
      <c r="Y23" s="930">
        <f t="shared" si="11"/>
        <v>1847.4</v>
      </c>
      <c r="Z23" s="930">
        <f t="shared" si="11"/>
        <v>1992.15</v>
      </c>
      <c r="AA23" s="930">
        <f t="shared" si="11"/>
        <v>2136.9</v>
      </c>
      <c r="AB23" s="930">
        <f t="shared" si="11"/>
        <v>2281.65</v>
      </c>
      <c r="AC23" s="930">
        <f t="shared" si="11"/>
        <v>2426.4</v>
      </c>
      <c r="AD23" s="930">
        <f t="shared" si="11"/>
        <v>2571.15</v>
      </c>
      <c r="AE23" s="930">
        <f t="shared" si="11"/>
        <v>2715.9</v>
      </c>
      <c r="AF23" s="930">
        <f t="shared" si="11"/>
        <v>2860.65</v>
      </c>
      <c r="AG23" s="930">
        <f t="shared" si="11"/>
        <v>3005.4</v>
      </c>
      <c r="AH23" s="930">
        <f t="shared" si="11"/>
        <v>3150.15</v>
      </c>
      <c r="AI23" s="930">
        <f t="shared" si="11"/>
        <v>3294.9</v>
      </c>
      <c r="AJ23" s="930">
        <f t="shared" si="11"/>
        <v>3439.65</v>
      </c>
      <c r="AK23" s="930">
        <f t="shared" si="11"/>
        <v>3584.4</v>
      </c>
      <c r="AL23" s="930">
        <f t="shared" si="11"/>
        <v>3729.15</v>
      </c>
      <c r="AM23" s="930">
        <f t="shared" si="11"/>
        <v>3873.9</v>
      </c>
      <c r="AN23" s="930">
        <f t="shared" si="11"/>
        <v>4018.65</v>
      </c>
      <c r="AO23" s="930">
        <f t="shared" si="11"/>
        <v>4163.3999999999996</v>
      </c>
      <c r="AP23" s="797"/>
      <c r="AQ23" s="797"/>
    </row>
    <row r="24" spans="12:43">
      <c r="M24" s="797"/>
      <c r="N24" s="797"/>
      <c r="P24" s="797"/>
      <c r="Q24" s="797"/>
      <c r="R24" s="797"/>
      <c r="S24" s="797"/>
      <c r="T24" s="797"/>
      <c r="U24" s="797"/>
      <c r="V24" s="797"/>
      <c r="W24" s="797"/>
      <c r="X24" s="797"/>
      <c r="Y24" s="797"/>
      <c r="Z24" s="797"/>
      <c r="AA24" s="797"/>
      <c r="AB24" s="797"/>
      <c r="AC24" s="797"/>
      <c r="AD24" s="797"/>
      <c r="AE24" s="797"/>
      <c r="AF24" s="797"/>
      <c r="AG24" s="797"/>
      <c r="AH24" s="797"/>
      <c r="AI24" s="797"/>
      <c r="AJ24" s="797"/>
      <c r="AK24" s="797"/>
      <c r="AL24" s="797"/>
      <c r="AM24" s="797"/>
      <c r="AN24" s="797"/>
      <c r="AO24" s="797"/>
      <c r="AP24" s="797"/>
      <c r="AQ24" s="797"/>
    </row>
    <row r="25" spans="12:43">
      <c r="L25" s="1" t="s">
        <v>302</v>
      </c>
      <c r="M25" s="797"/>
      <c r="N25" s="1374">
        <v>38</v>
      </c>
      <c r="O25" s="805">
        <f>N25*(1+O8)</f>
        <v>38</v>
      </c>
      <c r="P25" s="805">
        <f t="shared" ref="P25:AP25" si="12">O25*(1+P7)</f>
        <v>38</v>
      </c>
      <c r="Q25" s="805">
        <f t="shared" si="12"/>
        <v>38</v>
      </c>
      <c r="R25" s="805">
        <f t="shared" si="12"/>
        <v>38</v>
      </c>
      <c r="S25" s="805">
        <f t="shared" si="12"/>
        <v>38</v>
      </c>
      <c r="T25" s="805">
        <f t="shared" si="12"/>
        <v>38</v>
      </c>
      <c r="U25" s="805">
        <f t="shared" si="12"/>
        <v>38</v>
      </c>
      <c r="V25" s="805">
        <f t="shared" si="12"/>
        <v>38</v>
      </c>
      <c r="W25" s="805">
        <f t="shared" si="12"/>
        <v>38</v>
      </c>
      <c r="X25" s="805">
        <f t="shared" si="12"/>
        <v>38</v>
      </c>
      <c r="Y25" s="805">
        <f t="shared" si="12"/>
        <v>38</v>
      </c>
      <c r="Z25" s="805">
        <f t="shared" si="12"/>
        <v>38</v>
      </c>
      <c r="AA25" s="805">
        <f t="shared" si="12"/>
        <v>38</v>
      </c>
      <c r="AB25" s="805">
        <f t="shared" si="12"/>
        <v>38</v>
      </c>
      <c r="AC25" s="805">
        <f t="shared" si="12"/>
        <v>38</v>
      </c>
      <c r="AD25" s="805">
        <f t="shared" si="12"/>
        <v>38</v>
      </c>
      <c r="AE25" s="805">
        <f t="shared" si="12"/>
        <v>38</v>
      </c>
      <c r="AF25" s="805">
        <f t="shared" si="12"/>
        <v>38</v>
      </c>
      <c r="AG25" s="805">
        <f t="shared" si="12"/>
        <v>38</v>
      </c>
      <c r="AH25" s="805">
        <f t="shared" si="12"/>
        <v>38</v>
      </c>
      <c r="AI25" s="805">
        <f t="shared" si="12"/>
        <v>38</v>
      </c>
      <c r="AJ25" s="805">
        <f t="shared" si="12"/>
        <v>38</v>
      </c>
      <c r="AK25" s="805">
        <f t="shared" si="12"/>
        <v>38</v>
      </c>
      <c r="AL25" s="805">
        <f t="shared" si="12"/>
        <v>38</v>
      </c>
      <c r="AM25" s="805">
        <f t="shared" si="12"/>
        <v>38</v>
      </c>
      <c r="AN25" s="805">
        <f t="shared" si="12"/>
        <v>38</v>
      </c>
      <c r="AO25" s="805">
        <f t="shared" si="12"/>
        <v>38</v>
      </c>
      <c r="AP25" s="805">
        <f t="shared" si="12"/>
        <v>38</v>
      </c>
      <c r="AQ25" s="797"/>
    </row>
    <row r="26" spans="12:43">
      <c r="L26" s="1" t="s">
        <v>450</v>
      </c>
      <c r="M26" s="797"/>
      <c r="N26" s="805">
        <f>N18-N25</f>
        <v>57.04000000000002</v>
      </c>
      <c r="O26" s="805">
        <f t="shared" ref="O26:AP26" si="13">O18-O25</f>
        <v>27.599999999999994</v>
      </c>
      <c r="P26" s="805">
        <f t="shared" si="13"/>
        <v>27.599999999999994</v>
      </c>
      <c r="Q26" s="805">
        <f t="shared" si="13"/>
        <v>27.599999999999994</v>
      </c>
      <c r="R26" s="805">
        <f t="shared" si="13"/>
        <v>27.599999999999994</v>
      </c>
      <c r="S26" s="805">
        <f t="shared" si="13"/>
        <v>27.599999999999994</v>
      </c>
      <c r="T26" s="805">
        <f t="shared" si="13"/>
        <v>27.599999999999994</v>
      </c>
      <c r="U26" s="805">
        <f t="shared" si="13"/>
        <v>27.599999999999994</v>
      </c>
      <c r="V26" s="805">
        <f t="shared" si="13"/>
        <v>27.599999999999994</v>
      </c>
      <c r="W26" s="805">
        <f t="shared" si="13"/>
        <v>27.599999999999994</v>
      </c>
      <c r="X26" s="805">
        <f t="shared" si="13"/>
        <v>27.599999999999994</v>
      </c>
      <c r="Y26" s="805">
        <f t="shared" si="13"/>
        <v>27.599999999999994</v>
      </c>
      <c r="Z26" s="805">
        <f t="shared" si="13"/>
        <v>27.599999999999994</v>
      </c>
      <c r="AA26" s="805">
        <f t="shared" si="13"/>
        <v>27.599999999999994</v>
      </c>
      <c r="AB26" s="805">
        <f t="shared" si="13"/>
        <v>27.599999999999994</v>
      </c>
      <c r="AC26" s="805">
        <f t="shared" si="13"/>
        <v>27.599999999999994</v>
      </c>
      <c r="AD26" s="805">
        <f t="shared" si="13"/>
        <v>27.599999999999994</v>
      </c>
      <c r="AE26" s="805">
        <f t="shared" si="13"/>
        <v>27.599999999999994</v>
      </c>
      <c r="AF26" s="805">
        <f t="shared" si="13"/>
        <v>27.599999999999994</v>
      </c>
      <c r="AG26" s="805">
        <f t="shared" si="13"/>
        <v>27.599999999999994</v>
      </c>
      <c r="AH26" s="805">
        <f t="shared" si="13"/>
        <v>27.599999999999994</v>
      </c>
      <c r="AI26" s="805">
        <f t="shared" si="13"/>
        <v>27.599999999999994</v>
      </c>
      <c r="AJ26" s="805">
        <f t="shared" si="13"/>
        <v>27.599999999999994</v>
      </c>
      <c r="AK26" s="805">
        <f t="shared" si="13"/>
        <v>27.599999999999994</v>
      </c>
      <c r="AL26" s="805">
        <f t="shared" si="13"/>
        <v>27.599999999999994</v>
      </c>
      <c r="AM26" s="805">
        <f t="shared" si="13"/>
        <v>27.599999999999994</v>
      </c>
      <c r="AN26" s="805">
        <f t="shared" si="13"/>
        <v>27.599999999999994</v>
      </c>
      <c r="AO26" s="805">
        <f t="shared" si="13"/>
        <v>27.599999999999994</v>
      </c>
      <c r="AP26" s="805">
        <f t="shared" si="13"/>
        <v>27.599999999999994</v>
      </c>
      <c r="AQ26" s="797"/>
    </row>
    <row r="27" spans="12:43">
      <c r="M27" s="797"/>
      <c r="N27" s="805"/>
      <c r="O27" s="805"/>
      <c r="P27" s="805"/>
      <c r="Q27" s="805"/>
      <c r="R27" s="805"/>
      <c r="S27" s="805"/>
      <c r="T27" s="805"/>
      <c r="U27" s="805"/>
      <c r="V27" s="805"/>
      <c r="W27" s="805"/>
      <c r="X27" s="805"/>
      <c r="Y27" s="805"/>
      <c r="Z27" s="805"/>
      <c r="AA27" s="805"/>
      <c r="AB27" s="805"/>
      <c r="AC27" s="805"/>
      <c r="AD27" s="805"/>
      <c r="AE27" s="805"/>
      <c r="AF27" s="805"/>
      <c r="AG27" s="805"/>
      <c r="AH27" s="805"/>
      <c r="AI27" s="805"/>
      <c r="AJ27" s="805"/>
      <c r="AK27" s="805"/>
      <c r="AL27" s="805"/>
      <c r="AM27" s="805"/>
      <c r="AN27" s="805"/>
      <c r="AO27" s="805"/>
      <c r="AP27" s="805"/>
      <c r="AQ27" s="797"/>
    </row>
    <row r="28" spans="12:43">
      <c r="M28" s="797"/>
      <c r="N28" s="805"/>
      <c r="O28" s="805"/>
      <c r="P28" s="805"/>
      <c r="Q28" s="805"/>
      <c r="R28" s="805"/>
      <c r="S28" s="805"/>
      <c r="T28" s="805"/>
      <c r="U28" s="805"/>
      <c r="V28" s="805"/>
      <c r="W28" s="805"/>
      <c r="X28" s="805"/>
      <c r="Y28" s="805"/>
      <c r="Z28" s="805"/>
      <c r="AA28" s="805"/>
      <c r="AB28" s="805"/>
      <c r="AC28" s="805"/>
      <c r="AD28" s="805"/>
      <c r="AE28" s="805"/>
      <c r="AF28" s="805"/>
      <c r="AG28" s="805"/>
      <c r="AH28" s="805"/>
      <c r="AI28" s="805"/>
      <c r="AJ28" s="805"/>
      <c r="AK28" s="805"/>
      <c r="AL28" s="805"/>
      <c r="AM28" s="805"/>
      <c r="AN28" s="805"/>
      <c r="AO28" s="805"/>
      <c r="AP28" s="805"/>
      <c r="AQ28" s="797"/>
    </row>
    <row r="29" spans="12:43">
      <c r="L29" s="1" t="s">
        <v>450</v>
      </c>
      <c r="M29" s="797"/>
      <c r="N29" s="805">
        <f>N26*N15</f>
        <v>1426.0000000000005</v>
      </c>
      <c r="O29" s="805">
        <f t="shared" ref="O29:AP29" si="14">O26*O15</f>
        <v>689.99999999999989</v>
      </c>
      <c r="P29" s="805">
        <f t="shared" si="14"/>
        <v>689.99999999999989</v>
      </c>
      <c r="Q29" s="805">
        <f t="shared" si="14"/>
        <v>689.99999999999989</v>
      </c>
      <c r="R29" s="805">
        <f t="shared" si="14"/>
        <v>689.99999999999989</v>
      </c>
      <c r="S29" s="805">
        <f t="shared" si="14"/>
        <v>689.99999999999989</v>
      </c>
      <c r="T29" s="805">
        <f t="shared" si="14"/>
        <v>689.99999999999989</v>
      </c>
      <c r="U29" s="805">
        <f t="shared" si="14"/>
        <v>689.99999999999989</v>
      </c>
      <c r="V29" s="805">
        <f t="shared" si="14"/>
        <v>689.99999999999989</v>
      </c>
      <c r="W29" s="805">
        <f t="shared" si="14"/>
        <v>689.99999999999989</v>
      </c>
      <c r="X29" s="805">
        <f t="shared" si="14"/>
        <v>689.99999999999989</v>
      </c>
      <c r="Y29" s="805">
        <f t="shared" si="14"/>
        <v>689.99999999999989</v>
      </c>
      <c r="Z29" s="805">
        <f t="shared" si="14"/>
        <v>689.99999999999989</v>
      </c>
      <c r="AA29" s="805">
        <f t="shared" si="14"/>
        <v>689.99999999999989</v>
      </c>
      <c r="AB29" s="805">
        <f t="shared" si="14"/>
        <v>689.99999999999989</v>
      </c>
      <c r="AC29" s="805">
        <f t="shared" si="14"/>
        <v>689.99999999999989</v>
      </c>
      <c r="AD29" s="805">
        <f t="shared" si="14"/>
        <v>689.99999999999989</v>
      </c>
      <c r="AE29" s="805">
        <f t="shared" si="14"/>
        <v>689.99999999999989</v>
      </c>
      <c r="AF29" s="805">
        <f t="shared" si="14"/>
        <v>689.99999999999989</v>
      </c>
      <c r="AG29" s="805">
        <f t="shared" si="14"/>
        <v>689.99999999999989</v>
      </c>
      <c r="AH29" s="805">
        <f t="shared" si="14"/>
        <v>689.99999999999989</v>
      </c>
      <c r="AI29" s="805">
        <f t="shared" si="14"/>
        <v>689.99999999999989</v>
      </c>
      <c r="AJ29" s="805">
        <f t="shared" si="14"/>
        <v>689.99999999999989</v>
      </c>
      <c r="AK29" s="805">
        <f t="shared" si="14"/>
        <v>689.99999999999989</v>
      </c>
      <c r="AL29" s="805">
        <f t="shared" si="14"/>
        <v>689.99999999999989</v>
      </c>
      <c r="AM29" s="805">
        <f t="shared" si="14"/>
        <v>689.99999999999989</v>
      </c>
      <c r="AN29" s="805">
        <f t="shared" si="14"/>
        <v>689.99999999999989</v>
      </c>
      <c r="AO29" s="805">
        <f t="shared" si="14"/>
        <v>689.99999999999989</v>
      </c>
      <c r="AP29" s="805">
        <f t="shared" si="14"/>
        <v>689.99999999999989</v>
      </c>
      <c r="AQ29" s="797"/>
    </row>
    <row r="30" spans="12:43">
      <c r="M30" s="797"/>
      <c r="N30" s="797"/>
      <c r="O30" s="797"/>
      <c r="P30" s="797"/>
      <c r="Q30" s="797"/>
      <c r="R30" s="797"/>
      <c r="S30" s="797"/>
      <c r="T30" s="797"/>
      <c r="U30" s="797"/>
      <c r="V30" s="797"/>
      <c r="W30" s="797"/>
      <c r="X30" s="797"/>
      <c r="Y30" s="797"/>
      <c r="Z30" s="797"/>
      <c r="AA30" s="797"/>
      <c r="AB30" s="797"/>
      <c r="AC30" s="797"/>
      <c r="AD30" s="797"/>
      <c r="AE30" s="797"/>
      <c r="AF30" s="797"/>
      <c r="AG30" s="797"/>
      <c r="AH30" s="797"/>
      <c r="AI30" s="797"/>
      <c r="AJ30" s="797"/>
      <c r="AK30" s="797"/>
      <c r="AL30" s="797"/>
      <c r="AM30" s="797"/>
      <c r="AN30" s="797"/>
      <c r="AO30" s="797"/>
      <c r="AP30" s="797"/>
      <c r="AQ30" s="797"/>
    </row>
    <row r="31" spans="12:43">
      <c r="L31" s="1" t="s">
        <v>1045</v>
      </c>
      <c r="M31" s="797"/>
      <c r="N31" s="1372">
        <v>0.08</v>
      </c>
      <c r="O31" s="1375">
        <f>N31</f>
        <v>0.08</v>
      </c>
      <c r="P31" s="1375">
        <f t="shared" ref="P31:AP31" si="15">O31</f>
        <v>0.08</v>
      </c>
      <c r="Q31" s="1375">
        <f t="shared" si="15"/>
        <v>0.08</v>
      </c>
      <c r="R31" s="1375">
        <f t="shared" si="15"/>
        <v>0.08</v>
      </c>
      <c r="S31" s="1375">
        <f t="shared" si="15"/>
        <v>0.08</v>
      </c>
      <c r="T31" s="1375">
        <f t="shared" si="15"/>
        <v>0.08</v>
      </c>
      <c r="U31" s="1375">
        <f t="shared" si="15"/>
        <v>0.08</v>
      </c>
      <c r="V31" s="1375">
        <f t="shared" si="15"/>
        <v>0.08</v>
      </c>
      <c r="W31" s="1375">
        <f t="shared" si="15"/>
        <v>0.08</v>
      </c>
      <c r="X31" s="1375">
        <f t="shared" si="15"/>
        <v>0.08</v>
      </c>
      <c r="Y31" s="1375">
        <f t="shared" si="15"/>
        <v>0.08</v>
      </c>
      <c r="Z31" s="1375">
        <f t="shared" si="15"/>
        <v>0.08</v>
      </c>
      <c r="AA31" s="1375">
        <f t="shared" si="15"/>
        <v>0.08</v>
      </c>
      <c r="AB31" s="1375">
        <f t="shared" si="15"/>
        <v>0.08</v>
      </c>
      <c r="AC31" s="1375">
        <f t="shared" si="15"/>
        <v>0.08</v>
      </c>
      <c r="AD31" s="1375">
        <f t="shared" si="15"/>
        <v>0.08</v>
      </c>
      <c r="AE31" s="1375">
        <f t="shared" si="15"/>
        <v>0.08</v>
      </c>
      <c r="AF31" s="1375">
        <f t="shared" si="15"/>
        <v>0.08</v>
      </c>
      <c r="AG31" s="1375">
        <f t="shared" si="15"/>
        <v>0.08</v>
      </c>
      <c r="AH31" s="1375">
        <f t="shared" si="15"/>
        <v>0.08</v>
      </c>
      <c r="AI31" s="1375">
        <f t="shared" si="15"/>
        <v>0.08</v>
      </c>
      <c r="AJ31" s="1375">
        <f t="shared" si="15"/>
        <v>0.08</v>
      </c>
      <c r="AK31" s="1375">
        <f t="shared" si="15"/>
        <v>0.08</v>
      </c>
      <c r="AL31" s="1375">
        <f t="shared" si="15"/>
        <v>0.08</v>
      </c>
      <c r="AM31" s="1375">
        <f t="shared" si="15"/>
        <v>0.08</v>
      </c>
      <c r="AN31" s="1375">
        <f t="shared" si="15"/>
        <v>0.08</v>
      </c>
      <c r="AO31" s="1375">
        <f t="shared" si="15"/>
        <v>0.08</v>
      </c>
      <c r="AP31" s="1375">
        <f t="shared" si="15"/>
        <v>0.08</v>
      </c>
      <c r="AQ31" s="797"/>
    </row>
    <row r="32" spans="12:43">
      <c r="M32" s="797"/>
      <c r="N32" s="797"/>
      <c r="O32" s="797"/>
      <c r="P32" s="797"/>
      <c r="Q32" s="797"/>
      <c r="R32" s="797"/>
      <c r="S32" s="797"/>
      <c r="T32" s="797"/>
      <c r="U32" s="797"/>
      <c r="V32" s="797"/>
      <c r="W32" s="797"/>
      <c r="X32" s="797"/>
      <c r="Y32" s="797"/>
      <c r="Z32" s="797"/>
      <c r="AA32" s="797"/>
      <c r="AB32" s="797"/>
      <c r="AC32" s="797"/>
      <c r="AD32" s="797"/>
      <c r="AE32" s="797"/>
      <c r="AF32" s="797"/>
      <c r="AG32" s="797"/>
      <c r="AH32" s="797"/>
      <c r="AI32" s="797"/>
      <c r="AJ32" s="797"/>
      <c r="AK32" s="797"/>
      <c r="AL32" s="797"/>
      <c r="AM32" s="797"/>
      <c r="AN32" s="797"/>
      <c r="AO32" s="797"/>
      <c r="AP32" s="797"/>
      <c r="AQ32" s="797"/>
    </row>
    <row r="33" spans="12:43">
      <c r="M33" s="797"/>
      <c r="N33" s="797"/>
      <c r="O33" s="797"/>
      <c r="P33" s="797"/>
      <c r="Q33" s="797"/>
      <c r="R33" s="797"/>
      <c r="S33" s="797"/>
      <c r="T33" s="797"/>
      <c r="U33" s="797"/>
      <c r="V33" s="797"/>
      <c r="W33" s="797"/>
      <c r="X33" s="797"/>
      <c r="Y33" s="797"/>
      <c r="Z33" s="797"/>
      <c r="AA33" s="797"/>
      <c r="AB33" s="797"/>
      <c r="AC33" s="797"/>
      <c r="AD33" s="797"/>
      <c r="AE33" s="797"/>
      <c r="AF33" s="797"/>
      <c r="AG33" s="797"/>
      <c r="AH33" s="797"/>
      <c r="AI33" s="797"/>
      <c r="AJ33" s="797"/>
      <c r="AK33" s="797"/>
      <c r="AL33" s="797"/>
      <c r="AM33" s="797"/>
      <c r="AN33" s="797"/>
      <c r="AO33" s="797"/>
      <c r="AP33" s="797"/>
      <c r="AQ33" s="797"/>
    </row>
    <row r="34" spans="12:43">
      <c r="M34" s="797"/>
      <c r="N34" s="797"/>
      <c r="O34" s="797"/>
      <c r="P34" s="797"/>
      <c r="Q34" s="797"/>
      <c r="R34" s="797"/>
      <c r="S34" s="797"/>
      <c r="T34" s="797"/>
      <c r="U34" s="797"/>
      <c r="V34" s="797"/>
      <c r="W34" s="797"/>
      <c r="X34" s="797"/>
      <c r="Y34" s="797"/>
      <c r="Z34" s="797"/>
      <c r="AA34" s="797"/>
      <c r="AB34" s="797"/>
      <c r="AC34" s="797"/>
      <c r="AD34" s="797"/>
      <c r="AE34" s="797"/>
      <c r="AF34" s="797"/>
      <c r="AG34" s="797"/>
      <c r="AH34" s="797"/>
      <c r="AI34" s="797"/>
      <c r="AJ34" s="797"/>
      <c r="AK34" s="797"/>
      <c r="AL34" s="797"/>
      <c r="AM34" s="797"/>
      <c r="AN34" s="797"/>
      <c r="AO34" s="797"/>
      <c r="AP34" s="797"/>
      <c r="AQ34" s="797"/>
    </row>
    <row r="35" spans="12:43">
      <c r="L35" s="1" t="s">
        <v>130</v>
      </c>
      <c r="M35" s="930">
        <f>Model!AE82</f>
        <v>1449.0703343999999</v>
      </c>
      <c r="N35" s="930">
        <f>Model!AF82</f>
        <v>1236.4364999999998</v>
      </c>
      <c r="O35" s="930">
        <f>Model!AG82</f>
        <v>1092.5680000000002</v>
      </c>
      <c r="P35" s="930">
        <f>Model!AH82</f>
        <v>1125.5870000000004</v>
      </c>
      <c r="Q35" s="930">
        <f>Model!AI82</f>
        <v>1125.5870000000004</v>
      </c>
      <c r="R35" s="930">
        <f>Model!AJ82</f>
        <v>1125.5870000000004</v>
      </c>
      <c r="S35" s="930">
        <f>Model!AK82</f>
        <v>1125.5870000000004</v>
      </c>
      <c r="T35" s="930">
        <f>Model!AL82</f>
        <v>1125.5870000000004</v>
      </c>
      <c r="U35" s="930">
        <f>Model!AM82</f>
        <v>0</v>
      </c>
      <c r="V35" s="930">
        <f>Model!AN82</f>
        <v>0</v>
      </c>
      <c r="W35" s="930">
        <f>Model!AO82</f>
        <v>0</v>
      </c>
      <c r="X35" s="930">
        <f>Model!AP82</f>
        <v>0</v>
      </c>
      <c r="Y35" s="930">
        <f>Model!AQ82</f>
        <v>0</v>
      </c>
      <c r="Z35" s="930">
        <f>Model!AR82</f>
        <v>0</v>
      </c>
      <c r="AA35" s="930">
        <f>Model!AS82</f>
        <v>0</v>
      </c>
      <c r="AB35" s="930">
        <f>Model!AT82</f>
        <v>0</v>
      </c>
      <c r="AC35" s="930">
        <f>Model!AU82</f>
        <v>0</v>
      </c>
      <c r="AD35" s="930">
        <f>Model!AV82</f>
        <v>0</v>
      </c>
      <c r="AE35" s="930">
        <f>Model!AW82</f>
        <v>0</v>
      </c>
      <c r="AF35" s="930">
        <f>Model!AX82</f>
        <v>0</v>
      </c>
      <c r="AG35" s="930">
        <f>Model!AY82</f>
        <v>0</v>
      </c>
      <c r="AH35" s="930">
        <f>Model!AZ82</f>
        <v>0</v>
      </c>
      <c r="AI35" s="930">
        <f>Model!BA82</f>
        <v>0</v>
      </c>
      <c r="AJ35" s="930">
        <f>Model!BB82</f>
        <v>0</v>
      </c>
      <c r="AK35" s="930">
        <f>Model!BC82</f>
        <v>0</v>
      </c>
      <c r="AL35" s="930">
        <f>Model!BD82</f>
        <v>0</v>
      </c>
      <c r="AM35" s="930">
        <f>Model!BE82</f>
        <v>0</v>
      </c>
      <c r="AN35" s="930">
        <f>Model!BF82</f>
        <v>0</v>
      </c>
      <c r="AO35" s="930">
        <f>Model!BG82</f>
        <v>0</v>
      </c>
      <c r="AP35" s="930">
        <f>Model!BH82</f>
        <v>0</v>
      </c>
      <c r="AQ35" s="930"/>
    </row>
    <row r="36" spans="12:43">
      <c r="L36" s="1" t="s">
        <v>302</v>
      </c>
      <c r="M36" s="930">
        <f>Model!AE102</f>
        <v>1115</v>
      </c>
      <c r="N36" s="930">
        <f>Model!AF102</f>
        <v>1192</v>
      </c>
      <c r="O36" s="930">
        <f>Model!AG102</f>
        <v>1192</v>
      </c>
      <c r="P36" s="930">
        <f>Model!AH102</f>
        <v>1192</v>
      </c>
      <c r="Q36" s="930">
        <f>Model!AI102</f>
        <v>1192</v>
      </c>
      <c r="R36" s="930">
        <f>Model!AJ102</f>
        <v>1192</v>
      </c>
      <c r="S36" s="930">
        <f>Model!AK102</f>
        <v>1413.2192688015966</v>
      </c>
      <c r="T36" s="930">
        <f>Model!AL102</f>
        <v>1413.2192688015966</v>
      </c>
      <c r="U36" s="930">
        <f>Model!AM102</f>
        <v>0</v>
      </c>
      <c r="V36" s="930">
        <f>Model!AN102</f>
        <v>0</v>
      </c>
      <c r="W36" s="930">
        <f>Model!AO102</f>
        <v>0</v>
      </c>
      <c r="X36" s="930">
        <f>Model!AP102</f>
        <v>0</v>
      </c>
      <c r="Y36" s="930">
        <f>Model!AQ102</f>
        <v>0</v>
      </c>
      <c r="Z36" s="930">
        <f>Model!AR102</f>
        <v>0</v>
      </c>
      <c r="AA36" s="930">
        <f>Model!AS102</f>
        <v>0</v>
      </c>
      <c r="AB36" s="930">
        <f>Model!AT102</f>
        <v>0</v>
      </c>
      <c r="AC36" s="930">
        <f>Model!AU102</f>
        <v>0</v>
      </c>
      <c r="AD36" s="930">
        <f>Model!AV102</f>
        <v>0</v>
      </c>
      <c r="AE36" s="930">
        <f>Model!AW102</f>
        <v>0</v>
      </c>
      <c r="AF36" s="930">
        <f>Model!AX102</f>
        <v>0</v>
      </c>
      <c r="AG36" s="930">
        <f>Model!AY102</f>
        <v>0</v>
      </c>
      <c r="AH36" s="930">
        <f>Model!AZ102</f>
        <v>0</v>
      </c>
      <c r="AI36" s="930">
        <f>Model!BA102</f>
        <v>0</v>
      </c>
      <c r="AJ36" s="930">
        <f>Model!BB102</f>
        <v>0</v>
      </c>
      <c r="AK36" s="930">
        <f>Model!BC102</f>
        <v>0</v>
      </c>
      <c r="AL36" s="930">
        <f>Model!BD102</f>
        <v>0</v>
      </c>
      <c r="AM36" s="930">
        <f>Model!BE102</f>
        <v>0</v>
      </c>
      <c r="AN36" s="930">
        <f>Model!BF102</f>
        <v>0</v>
      </c>
      <c r="AO36" s="930">
        <f>Model!BG102</f>
        <v>0</v>
      </c>
      <c r="AP36" s="930">
        <f>Model!BH102</f>
        <v>0</v>
      </c>
      <c r="AQ36" s="930"/>
    </row>
    <row r="37" spans="12:43">
      <c r="L37" s="1" t="s">
        <v>450</v>
      </c>
      <c r="M37" s="930">
        <f>M35-M36</f>
        <v>334.07033439999987</v>
      </c>
      <c r="N37" s="930">
        <f t="shared" ref="N37:T37" si="16">N35-N36</f>
        <v>44.436499999999796</v>
      </c>
      <c r="O37" s="930">
        <f t="shared" si="16"/>
        <v>-99.431999999999789</v>
      </c>
      <c r="P37" s="930">
        <f t="shared" si="16"/>
        <v>-66.412999999999556</v>
      </c>
      <c r="Q37" s="930">
        <f t="shared" si="16"/>
        <v>-66.412999999999556</v>
      </c>
      <c r="R37" s="930">
        <f t="shared" si="16"/>
        <v>-66.412999999999556</v>
      </c>
      <c r="S37" s="930">
        <f t="shared" si="16"/>
        <v>-287.63226880159618</v>
      </c>
      <c r="T37" s="930">
        <f t="shared" si="16"/>
        <v>-287.63226880159618</v>
      </c>
      <c r="U37" s="930">
        <f t="shared" ref="U37" si="17">U35-U36</f>
        <v>0</v>
      </c>
      <c r="V37" s="930">
        <f t="shared" ref="V37" si="18">V35-V36</f>
        <v>0</v>
      </c>
      <c r="W37" s="930">
        <f t="shared" ref="W37" si="19">W35-W36</f>
        <v>0</v>
      </c>
      <c r="X37" s="930">
        <f t="shared" ref="X37" si="20">X35-X36</f>
        <v>0</v>
      </c>
      <c r="Y37" s="930">
        <f t="shared" ref="Y37" si="21">Y35-Y36</f>
        <v>0</v>
      </c>
      <c r="Z37" s="930">
        <f t="shared" ref="Z37" si="22">Z35-Z36</f>
        <v>0</v>
      </c>
      <c r="AA37" s="930">
        <f t="shared" ref="AA37" si="23">AA35-AA36</f>
        <v>0</v>
      </c>
      <c r="AB37" s="930">
        <f t="shared" ref="AB37" si="24">AB35-AB36</f>
        <v>0</v>
      </c>
      <c r="AC37" s="930">
        <f t="shared" ref="AC37" si="25">AC35-AC36</f>
        <v>0</v>
      </c>
      <c r="AD37" s="930">
        <f t="shared" ref="AD37" si="26">AD35-AD36</f>
        <v>0</v>
      </c>
      <c r="AE37" s="930">
        <f t="shared" ref="AE37" si="27">AE35-AE36</f>
        <v>0</v>
      </c>
      <c r="AF37" s="930">
        <f t="shared" ref="AF37" si="28">AF35-AF36</f>
        <v>0</v>
      </c>
      <c r="AG37" s="930">
        <f t="shared" ref="AG37" si="29">AG35-AG36</f>
        <v>0</v>
      </c>
      <c r="AH37" s="930">
        <f t="shared" ref="AH37" si="30">AH35-AH36</f>
        <v>0</v>
      </c>
      <c r="AI37" s="930">
        <f t="shared" ref="AI37" si="31">AI35-AI36</f>
        <v>0</v>
      </c>
      <c r="AJ37" s="930">
        <f t="shared" ref="AJ37" si="32">AJ35-AJ36</f>
        <v>0</v>
      </c>
      <c r="AK37" s="930">
        <f t="shared" ref="AK37" si="33">AK35-AK36</f>
        <v>0</v>
      </c>
      <c r="AL37" s="930">
        <f t="shared" ref="AL37" si="34">AL35-AL36</f>
        <v>0</v>
      </c>
      <c r="AM37" s="930">
        <f t="shared" ref="AM37" si="35">AM35-AM36</f>
        <v>0</v>
      </c>
      <c r="AN37" s="930">
        <f t="shared" ref="AN37" si="36">AN35-AN36</f>
        <v>0</v>
      </c>
      <c r="AO37" s="930">
        <f t="shared" ref="AO37" si="37">AO35-AO36</f>
        <v>0</v>
      </c>
      <c r="AP37" s="930">
        <f t="shared" ref="AP37" si="38">AP35-AP36</f>
        <v>0</v>
      </c>
      <c r="AQ37" s="930"/>
    </row>
    <row r="40" spans="12:43">
      <c r="L40" s="1370">
        <f>NPV(L43,M37:T37)</f>
        <v>-190.60680333103238</v>
      </c>
      <c r="N40" s="1">
        <f>N35*2.5</f>
        <v>3091.0912499999995</v>
      </c>
    </row>
    <row r="43" spans="12:43">
      <c r="L43" s="1258">
        <v>0.08</v>
      </c>
      <c r="V43" s="1" t="s">
        <v>1038</v>
      </c>
      <c r="W43" s="1">
        <v>253.9</v>
      </c>
      <c r="X43" s="1">
        <v>1</v>
      </c>
      <c r="Y43" s="1">
        <f>X43*W43</f>
        <v>253.9</v>
      </c>
    </row>
    <row r="44" spans="12:43">
      <c r="V44" s="1" t="s">
        <v>1039</v>
      </c>
      <c r="W44" s="1">
        <v>256.89999999999998</v>
      </c>
      <c r="X44" s="1">
        <v>0.95</v>
      </c>
      <c r="Y44" s="1">
        <f t="shared" ref="Y44:Y47" si="39">X44*W44</f>
        <v>244.05499999999998</v>
      </c>
    </row>
    <row r="45" spans="12:43">
      <c r="N45" s="1370">
        <f>NPV(L43,N29:AP29)</f>
        <v>8380.7816287800779</v>
      </c>
      <c r="V45" s="1" t="s">
        <v>1040</v>
      </c>
      <c r="W45" s="1">
        <v>223.8</v>
      </c>
      <c r="X45" s="1">
        <v>0.8</v>
      </c>
      <c r="Y45" s="1">
        <f t="shared" si="39"/>
        <v>179.04000000000002</v>
      </c>
    </row>
    <row r="46" spans="12:43">
      <c r="V46" s="1" t="s">
        <v>916</v>
      </c>
      <c r="W46" s="1">
        <v>40.4</v>
      </c>
      <c r="X46" s="1">
        <v>1</v>
      </c>
      <c r="Y46" s="1">
        <f t="shared" si="39"/>
        <v>40.4</v>
      </c>
    </row>
    <row r="47" spans="12:43">
      <c r="V47" s="1" t="s">
        <v>1041</v>
      </c>
      <c r="W47" s="1">
        <v>36</v>
      </c>
      <c r="X47" s="1">
        <v>1</v>
      </c>
      <c r="Y47" s="1">
        <f t="shared" si="39"/>
        <v>36</v>
      </c>
    </row>
    <row r="48" spans="12:43">
      <c r="Y48" s="1">
        <f>SUM(Y43:Y47)</f>
        <v>753.39499999999998</v>
      </c>
      <c r="Z48" s="1">
        <f>Y48-24</f>
        <v>729.39499999999998</v>
      </c>
    </row>
    <row r="49" spans="16:40">
      <c r="Y49" s="1">
        <f>Y48/25</f>
        <v>30.1358</v>
      </c>
      <c r="Z49" s="1">
        <f>Z48/25</f>
        <v>29.175799999999999</v>
      </c>
    </row>
    <row r="50" spans="16:40">
      <c r="AI50" s="1">
        <f>22*25</f>
        <v>550</v>
      </c>
    </row>
    <row r="54" spans="16:40">
      <c r="AL54" s="1">
        <f>500/1.25</f>
        <v>400</v>
      </c>
    </row>
    <row r="55" spans="16:40">
      <c r="P55" s="1370">
        <f>N45</f>
        <v>8380.7816287800779</v>
      </c>
      <c r="Q55" s="1245">
        <v>150</v>
      </c>
      <c r="R55" s="1245">
        <v>155</v>
      </c>
      <c r="S55" s="1245">
        <v>160</v>
      </c>
      <c r="T55" s="1245">
        <v>165</v>
      </c>
      <c r="U55" s="1245">
        <v>170</v>
      </c>
      <c r="V55" s="1245">
        <v>175</v>
      </c>
      <c r="W55" s="1245">
        <v>180</v>
      </c>
      <c r="X55" s="1245">
        <v>185</v>
      </c>
      <c r="AH55" s="1">
        <f>295/26</f>
        <v>11.346153846153847</v>
      </c>
      <c r="AI55" s="1">
        <f>295/1.25</f>
        <v>236</v>
      </c>
      <c r="AL55" s="1">
        <f>AL54/25</f>
        <v>16</v>
      </c>
    </row>
    <row r="56" spans="16:40">
      <c r="P56" s="1258">
        <v>0.1</v>
      </c>
      <c r="Q56" s="1245">
        <f t="dataTable" ref="Q56:X62" dt2D="1" dtr="1" r1="O10" r2="L43"/>
        <v>1296.3636363636367</v>
      </c>
      <c r="R56" s="1245">
        <v>2269.322861892203</v>
      </c>
      <c r="S56" s="1245">
        <v>3242.2820874207737</v>
      </c>
      <c r="T56" s="1245">
        <v>4215.2413129493407</v>
      </c>
      <c r="U56" s="1245">
        <v>5188.200538477905</v>
      </c>
      <c r="V56" s="1245">
        <v>6161.1597640064711</v>
      </c>
      <c r="W56" s="1245">
        <v>7134.1189895350381</v>
      </c>
      <c r="X56" s="1245">
        <v>8107.0782150636105</v>
      </c>
      <c r="AI56" s="1">
        <f>AI55/25</f>
        <v>9.44</v>
      </c>
    </row>
    <row r="57" spans="16:40">
      <c r="P57" s="1258">
        <v>0.09</v>
      </c>
      <c r="Q57" s="1245">
        <v>1308.2568807339453</v>
      </c>
      <c r="R57" s="1245">
        <v>2375.5548278707552</v>
      </c>
      <c r="S57" s="1245">
        <v>3442.8527750075718</v>
      </c>
      <c r="T57" s="1245">
        <v>4510.1507221443808</v>
      </c>
      <c r="U57" s="1245">
        <v>5577.4486692811906</v>
      </c>
      <c r="V57" s="1245">
        <v>6644.7466164180023</v>
      </c>
      <c r="W57" s="1245">
        <v>7712.0445635548103</v>
      </c>
      <c r="X57" s="1245">
        <v>8779.3425106916275</v>
      </c>
    </row>
    <row r="58" spans="16:40">
      <c r="P58" s="1258">
        <v>0.08</v>
      </c>
      <c r="Q58" s="1245">
        <v>1320.3703703703707</v>
      </c>
      <c r="R58" s="1245">
        <v>2497.1055801053208</v>
      </c>
      <c r="S58" s="1245">
        <v>3673.8407898402779</v>
      </c>
      <c r="T58" s="1245">
        <v>4850.5759995752278</v>
      </c>
      <c r="U58" s="1245">
        <v>6027.3112093101763</v>
      </c>
      <c r="V58" s="1245">
        <v>7204.0464190451266</v>
      </c>
      <c r="W58" s="1245">
        <v>8380.7816287800779</v>
      </c>
      <c r="X58" s="1245">
        <v>9557.5168385150355</v>
      </c>
      <c r="AN58" s="1">
        <f>48/1.25</f>
        <v>38.4</v>
      </c>
    </row>
    <row r="59" spans="16:40">
      <c r="P59" s="1258">
        <v>7.0000000000000007E-2</v>
      </c>
      <c r="Q59" s="1245">
        <v>1332.7102803738321</v>
      </c>
      <c r="R59" s="1245">
        <v>2637.1661624902063</v>
      </c>
      <c r="S59" s="1245">
        <v>3941.6220446065904</v>
      </c>
      <c r="T59" s="1245">
        <v>5246.0779267229655</v>
      </c>
      <c r="U59" s="1245">
        <v>6550.5338088393401</v>
      </c>
      <c r="V59" s="1245">
        <v>7854.9896909557137</v>
      </c>
      <c r="W59" s="1245">
        <v>9159.4455730720929</v>
      </c>
      <c r="X59" s="1245">
        <v>10463.901455188472</v>
      </c>
    </row>
    <row r="60" spans="16:40">
      <c r="P60" s="1258">
        <v>0.06</v>
      </c>
      <c r="Q60" s="1245">
        <v>1345.283018867925</v>
      </c>
      <c r="R60" s="1245">
        <v>2799.7253701967466</v>
      </c>
      <c r="S60" s="1245">
        <v>4254.1677215255768</v>
      </c>
      <c r="T60" s="1245">
        <v>5708.6100728544006</v>
      </c>
      <c r="U60" s="1245">
        <v>7163.0524241832227</v>
      </c>
      <c r="V60" s="1245">
        <v>8617.4947755120465</v>
      </c>
      <c r="W60" s="1245">
        <v>10071.937126840867</v>
      </c>
      <c r="X60" s="1245">
        <v>11526.3794781697</v>
      </c>
      <c r="AL60" s="1">
        <f>250/25</f>
        <v>10</v>
      </c>
    </row>
    <row r="61" spans="16:40">
      <c r="P61" s="1258">
        <v>0.05</v>
      </c>
      <c r="Q61" s="1245">
        <v>1358.0952380952385</v>
      </c>
      <c r="R61" s="1245">
        <v>2989.7948900675287</v>
      </c>
      <c r="S61" s="1245">
        <v>4621.494542039828</v>
      </c>
      <c r="T61" s="1245">
        <v>6253.1941940121178</v>
      </c>
      <c r="U61" s="1245">
        <v>7884.8938459844094</v>
      </c>
      <c r="V61" s="1245">
        <v>9516.5934979566955</v>
      </c>
      <c r="W61" s="1245">
        <v>11148.293149928988</v>
      </c>
      <c r="X61" s="1245">
        <v>12779.992801901288</v>
      </c>
    </row>
    <row r="62" spans="16:40">
      <c r="P62" s="1258">
        <v>3.9999999999999897E-2</v>
      </c>
      <c r="Q62" s="1245">
        <v>1371.1538461538469</v>
      </c>
      <c r="R62" s="1245">
        <v>3213.7041058363989</v>
      </c>
      <c r="S62" s="1245">
        <v>5056.254365518962</v>
      </c>
      <c r="T62" s="1245">
        <v>6898.8046252015129</v>
      </c>
      <c r="U62" s="1245">
        <v>8741.3548848840655</v>
      </c>
      <c r="V62" s="1245">
        <v>10583.905144566614</v>
      </c>
      <c r="W62" s="1245">
        <v>12426.455404249169</v>
      </c>
      <c r="X62" s="1245">
        <v>14269.005663931723</v>
      </c>
      <c r="AJ62" s="1">
        <f>48*1.25</f>
        <v>60</v>
      </c>
    </row>
    <row r="68" spans="36:38">
      <c r="AJ68" s="1">
        <v>450</v>
      </c>
      <c r="AL68" s="1">
        <v>0</v>
      </c>
    </row>
  </sheetData>
  <conditionalFormatting sqref="Q56:X6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3C37E-8C50-4BD7-8B76-A5BEF3F66E7F}">
  <dimension ref="A2:CH684"/>
  <sheetViews>
    <sheetView zoomScale="85" zoomScaleNormal="85" workbookViewId="0">
      <selection activeCell="K17" sqref="K17"/>
    </sheetView>
  </sheetViews>
  <sheetFormatPr defaultColWidth="9" defaultRowHeight="14" outlineLevelRow="1" outlineLevelCol="1"/>
  <cols>
    <col min="1" max="4" width="9" style="1"/>
    <col min="5" max="5" width="12" style="1" bestFit="1" customWidth="1"/>
    <col min="6" max="6" width="21.83203125" style="1" customWidth="1"/>
    <col min="7" max="7" width="3" style="1" customWidth="1"/>
    <col min="8" max="8" width="9.33203125" style="1" hidden="1" customWidth="1"/>
    <col min="9" max="9" width="9.33203125" style="473" hidden="1" customWidth="1"/>
    <col min="10" max="12" width="9.33203125" style="1" customWidth="1"/>
    <col min="13" max="14" width="9.33203125" style="1" hidden="1" customWidth="1" outlineLevel="1"/>
    <col min="15" max="15" width="4.5" style="1" customWidth="1" collapsed="1"/>
    <col min="16" max="16" width="9.33203125" style="1" hidden="1" customWidth="1"/>
    <col min="17" max="19" width="9.33203125" style="1" customWidth="1"/>
    <col min="20" max="21" width="9.33203125" style="1" hidden="1" customWidth="1" outlineLevel="1"/>
    <col min="22" max="22" width="4.5" style="1" customWidth="1" collapsed="1"/>
    <col min="23" max="23" width="9.33203125" style="1" hidden="1" customWidth="1"/>
    <col min="24" max="26" width="9.33203125" style="1" customWidth="1"/>
    <col min="27" max="28" width="9.33203125" style="1" hidden="1" customWidth="1" outlineLevel="1"/>
    <col min="29" max="29" width="4.5" style="1" customWidth="1" collapsed="1"/>
    <col min="30" max="35" width="9.33203125" style="1" customWidth="1"/>
    <col min="36" max="36" width="12" style="1" customWidth="1"/>
    <col min="37" max="38" width="9" style="1"/>
    <col min="39" max="39" width="9" style="473"/>
    <col min="40" max="40" width="9" style="1"/>
    <col min="41" max="41" width="10.33203125" style="1" bestFit="1" customWidth="1"/>
    <col min="42" max="50" width="9" style="1"/>
    <col min="51" max="51" width="10.5" style="1" bestFit="1" customWidth="1"/>
    <col min="52" max="52" width="15.25" style="1" bestFit="1" customWidth="1"/>
    <col min="53" max="53" width="15.5" style="1" bestFit="1" customWidth="1"/>
    <col min="54" max="54" width="15.75" style="1" bestFit="1" customWidth="1"/>
    <col min="55" max="55" width="16.33203125" style="1" bestFit="1" customWidth="1"/>
    <col min="56" max="56" width="9" style="1"/>
    <col min="57" max="57" width="14" style="1" bestFit="1" customWidth="1"/>
    <col min="58" max="58" width="15.5" style="1" customWidth="1"/>
    <col min="59" max="59" width="16.33203125" style="1" bestFit="1" customWidth="1"/>
    <col min="60" max="60" width="8" style="1" bestFit="1" customWidth="1"/>
    <col min="61" max="70" width="9" style="1"/>
    <col min="71" max="71" width="17.83203125" style="1" customWidth="1"/>
    <col min="72" max="74" width="9" style="1"/>
    <col min="75" max="75" width="3" style="1" customWidth="1"/>
    <col min="76" max="76" width="14.25" style="1" bestFit="1" customWidth="1"/>
    <col min="77" max="79" width="9" style="1"/>
    <col min="80" max="80" width="15" style="1" bestFit="1" customWidth="1"/>
    <col min="81" max="81" width="15.33203125" style="1" bestFit="1" customWidth="1"/>
    <col min="82" max="84" width="9" style="1"/>
    <col min="85" max="85" width="15.33203125" style="1" bestFit="1" customWidth="1"/>
    <col min="86" max="16384" width="9" style="1"/>
  </cols>
  <sheetData>
    <row r="2" spans="2:48">
      <c r="AD2" s="1" t="s">
        <v>418</v>
      </c>
      <c r="AH2" s="1" t="s">
        <v>419</v>
      </c>
      <c r="AK2" s="1" t="s">
        <v>996</v>
      </c>
      <c r="AM2" s="473" t="s">
        <v>997</v>
      </c>
    </row>
    <row r="3" spans="2:48">
      <c r="B3" s="1" t="s">
        <v>420</v>
      </c>
      <c r="C3" s="1" t="s">
        <v>1032</v>
      </c>
      <c r="E3" s="1" t="s">
        <v>421</v>
      </c>
      <c r="F3" s="1235">
        <f>_xll.BDP($C$3,$B$8,$AE$3,$AF$3)</f>
        <v>23.30545</v>
      </c>
      <c r="G3" s="1235"/>
      <c r="H3" s="1235">
        <f>_xll.BDP($C$3,"PR005")</f>
        <v>29.81</v>
      </c>
      <c r="R3" s="1236"/>
      <c r="S3" s="1236"/>
      <c r="V3" s="1237"/>
      <c r="Y3" s="1236"/>
      <c r="Z3" s="1236"/>
      <c r="AC3" s="1237"/>
      <c r="AD3" s="1" t="s">
        <v>422</v>
      </c>
      <c r="AE3" s="1" t="s">
        <v>423</v>
      </c>
      <c r="AF3" s="1" t="s">
        <v>424</v>
      </c>
      <c r="AH3" s="1" t="s">
        <v>422</v>
      </c>
      <c r="AI3" s="1" t="s">
        <v>423</v>
      </c>
      <c r="AJ3" s="1" t="s">
        <v>424</v>
      </c>
    </row>
    <row r="4" spans="2:48">
      <c r="R4" s="1236"/>
      <c r="S4" s="1236"/>
      <c r="V4" s="1237"/>
      <c r="Y4" s="1236"/>
      <c r="Z4" s="1236"/>
      <c r="AC4" s="1237"/>
    </row>
    <row r="5" spans="2:48">
      <c r="B5" s="1" t="s">
        <v>425</v>
      </c>
      <c r="C5" s="1" t="s">
        <v>426</v>
      </c>
      <c r="AD5" s="1" t="s">
        <v>427</v>
      </c>
      <c r="AE5" s="1" t="s">
        <v>428</v>
      </c>
      <c r="AF5" s="1" t="s">
        <v>429</v>
      </c>
      <c r="AH5" s="1" t="s">
        <v>427</v>
      </c>
      <c r="AI5" s="1" t="s">
        <v>428</v>
      </c>
      <c r="AJ5" s="1" t="s">
        <v>429</v>
      </c>
    </row>
    <row r="7" spans="2:48">
      <c r="B7" s="1" t="s">
        <v>430</v>
      </c>
      <c r="C7" s="1" t="s">
        <v>431</v>
      </c>
      <c r="AH7" s="1" t="s">
        <v>432</v>
      </c>
      <c r="AI7" s="1" t="s">
        <v>433</v>
      </c>
      <c r="AJ7" s="1" t="s">
        <v>434</v>
      </c>
    </row>
    <row r="8" spans="2:48">
      <c r="B8" s="1" t="s">
        <v>435</v>
      </c>
      <c r="C8" s="1" t="s">
        <v>436</v>
      </c>
      <c r="F8" s="1238"/>
      <c r="G8" s="1238"/>
    </row>
    <row r="9" spans="2:48">
      <c r="B9" s="1" t="s">
        <v>425</v>
      </c>
      <c r="C9" s="1" t="s">
        <v>437</v>
      </c>
      <c r="E9" s="1239">
        <f>_xll.BDP($C$3,$B$9)</f>
        <v>524.65519999999992</v>
      </c>
      <c r="F9" s="1">
        <v>371</v>
      </c>
      <c r="H9" s="1240">
        <f>H18/[4]Model!S785</f>
        <v>1.5983784852679455</v>
      </c>
    </row>
    <row r="10" spans="2:48">
      <c r="B10" s="1" t="s">
        <v>438</v>
      </c>
      <c r="C10" s="1" t="s">
        <v>439</v>
      </c>
      <c r="E10" s="1239">
        <f>_xll.BDP($C$3,$B$10,$AI$3,$AJ$3)</f>
        <v>12435.441279123317</v>
      </c>
      <c r="H10" s="1241">
        <f>H9/F3</f>
        <v>6.8583892834849586E-2</v>
      </c>
    </row>
    <row r="11" spans="2:48" ht="8.25" customHeight="1"/>
    <row r="12" spans="2:48">
      <c r="E12" s="1242">
        <f>(E9+F9)*F3</f>
        <v>20873.647480839998</v>
      </c>
    </row>
    <row r="13" spans="2:48">
      <c r="F13" s="1238"/>
      <c r="G13" s="1238"/>
      <c r="H13" s="1395" t="s">
        <v>440</v>
      </c>
      <c r="I13" s="1395"/>
      <c r="J13" s="1395"/>
      <c r="K13" s="1243"/>
      <c r="L13" s="1243"/>
      <c r="M13" s="1243"/>
      <c r="N13" s="1243"/>
      <c r="P13" s="1395"/>
      <c r="Q13" s="1395"/>
      <c r="R13" s="1395"/>
      <c r="S13" s="1243"/>
      <c r="T13" s="1243"/>
      <c r="U13" s="1243"/>
      <c r="W13" s="1395"/>
      <c r="X13" s="1395"/>
      <c r="Y13" s="1395"/>
      <c r="Z13" s="1243"/>
      <c r="AA13" s="1243"/>
      <c r="AB13" s="1243"/>
      <c r="AD13" s="1395" t="s">
        <v>442</v>
      </c>
      <c r="AE13" s="1395"/>
      <c r="AF13" s="1395"/>
      <c r="AP13" s="1395" t="s">
        <v>443</v>
      </c>
      <c r="AQ13" s="1395"/>
      <c r="AR13" s="1395"/>
      <c r="AT13" s="1395" t="s">
        <v>444</v>
      </c>
      <c r="AU13" s="1395"/>
      <c r="AV13" s="1395"/>
    </row>
    <row r="14" spans="2:48" ht="14.5" thickBot="1">
      <c r="F14" s="1238"/>
      <c r="G14" s="1238"/>
      <c r="H14" s="1244" t="s">
        <v>445</v>
      </c>
      <c r="I14" s="1244" t="s">
        <v>446</v>
      </c>
      <c r="J14" s="1244" t="s">
        <v>447</v>
      </c>
      <c r="K14" s="1244" t="s">
        <v>447</v>
      </c>
      <c r="L14" s="473"/>
      <c r="M14" s="473"/>
      <c r="N14" s="473"/>
      <c r="P14" s="1244" t="s">
        <v>446</v>
      </c>
      <c r="Q14" s="1244"/>
      <c r="R14" s="1244" t="s">
        <v>447</v>
      </c>
      <c r="S14" s="1244" t="s">
        <v>447</v>
      </c>
      <c r="T14" s="473"/>
      <c r="U14" s="473"/>
      <c r="W14" s="1244" t="s">
        <v>446</v>
      </c>
      <c r="X14" s="1244"/>
      <c r="Y14" s="1244" t="s">
        <v>447</v>
      </c>
      <c r="Z14" s="1244" t="s">
        <v>447</v>
      </c>
      <c r="AA14" s="473"/>
      <c r="AB14" s="473"/>
      <c r="AD14" s="1244" t="s">
        <v>445</v>
      </c>
      <c r="AE14" s="1244" t="s">
        <v>446</v>
      </c>
      <c r="AF14" s="1244" t="s">
        <v>447</v>
      </c>
      <c r="AP14" s="1244" t="s">
        <v>445</v>
      </c>
      <c r="AQ14" s="1244" t="s">
        <v>446</v>
      </c>
      <c r="AR14" s="1244" t="s">
        <v>447</v>
      </c>
      <c r="AT14" s="1244" t="s">
        <v>445</v>
      </c>
      <c r="AU14" s="1244" t="s">
        <v>446</v>
      </c>
      <c r="AV14" s="1244" t="s">
        <v>447</v>
      </c>
    </row>
    <row r="15" spans="2:48" ht="14.5" thickTop="1">
      <c r="F15" s="1238"/>
      <c r="G15" s="1238"/>
      <c r="H15" s="473"/>
      <c r="J15" s="473"/>
      <c r="K15" s="473"/>
      <c r="L15" s="473"/>
      <c r="M15" s="473"/>
      <c r="N15" s="473"/>
      <c r="P15" s="473"/>
      <c r="Q15" s="473"/>
      <c r="R15" s="473"/>
      <c r="S15" s="473"/>
      <c r="T15" s="473"/>
      <c r="U15" s="473"/>
      <c r="W15" s="473"/>
      <c r="X15" s="473"/>
      <c r="Y15" s="473"/>
      <c r="Z15" s="473"/>
      <c r="AA15" s="473"/>
      <c r="AB15" s="473"/>
      <c r="AD15" s="473"/>
      <c r="AE15" s="473"/>
      <c r="AF15" s="473"/>
      <c r="AP15" s="473"/>
      <c r="AQ15" s="473"/>
      <c r="AR15" s="473"/>
      <c r="AT15" s="473"/>
      <c r="AU15" s="473"/>
      <c r="AV15" s="473"/>
    </row>
    <row r="16" spans="2:48">
      <c r="F16" s="1238"/>
      <c r="G16" s="1238"/>
      <c r="P16" s="473"/>
      <c r="Q16" s="473"/>
      <c r="W16" s="473"/>
      <c r="X16" s="473"/>
      <c r="AD16" s="1245">
        <f>_xll.BDP($C$3,$AM$2,$AH$3,$AH$5,$AE$3,$AF$3)</f>
        <v>9445.6560000000009</v>
      </c>
      <c r="AE16" s="1245">
        <f>_xll.BDP($C$3,$AM$2,$AH$3,$AI$5,$AE$3,$AF$3)</f>
        <v>10065.734</v>
      </c>
      <c r="AF16" s="1245">
        <f>_xll.BDP($C$3,$AM$2,$AH$3,$AJ$5,$AE$3,$AF$3)</f>
        <v>10702.237999999999</v>
      </c>
      <c r="AQ16" s="473"/>
      <c r="AU16" s="473"/>
    </row>
    <row r="17" spans="2:48">
      <c r="F17" s="1238" t="s">
        <v>130</v>
      </c>
      <c r="G17" s="1238"/>
      <c r="H17" s="1246">
        <f t="shared" ref="H17:K18" si="0">H56</f>
        <v>17987</v>
      </c>
      <c r="I17" s="1246">
        <f t="shared" si="0"/>
        <v>21535</v>
      </c>
      <c r="J17" s="1246">
        <f t="shared" ca="1" si="0"/>
        <v>43057.492651398425</v>
      </c>
      <c r="K17" s="1246">
        <f t="shared" si="0"/>
        <v>19617.965464697885</v>
      </c>
      <c r="L17" s="1246"/>
      <c r="M17" s="1246"/>
      <c r="N17" s="1246"/>
      <c r="O17" s="473"/>
      <c r="P17" s="1245">
        <f>[5]Model!$W$823</f>
        <v>22869.720466994779</v>
      </c>
      <c r="Q17" s="1245"/>
      <c r="R17" s="1245">
        <f>[5]Model!$Z$823</f>
        <v>24248.074282585199</v>
      </c>
      <c r="S17" s="1245">
        <f>[5]Model!$Z$823</f>
        <v>24248.074282585199</v>
      </c>
      <c r="T17" s="1246"/>
      <c r="U17" s="1246"/>
      <c r="V17" s="473"/>
      <c r="W17" s="1245">
        <f>[5]Model!$W$823</f>
        <v>22869.720466994779</v>
      </c>
      <c r="X17" s="1245"/>
      <c r="Y17" s="1245">
        <f>[5]Model!$Z$823</f>
        <v>24248.074282585199</v>
      </c>
      <c r="Z17" s="1245">
        <f>[5]Model!$Z$823</f>
        <v>24248.074282585199</v>
      </c>
      <c r="AA17" s="1246"/>
      <c r="AB17" s="1246"/>
      <c r="AC17" s="473"/>
      <c r="AD17" s="1245">
        <f>_xll.BDP($C$3,$AH$2,$AH$3,$AH$5,$AE$3,$AF$3)</f>
        <v>4002.0509999999999</v>
      </c>
      <c r="AE17" s="1245">
        <f>_xll.BDP($C$3,$AH$2,$AH$3,$AH$5,$AE$3,$AF$3)</f>
        <v>4002.0509999999999</v>
      </c>
      <c r="AF17" s="1245">
        <f>_xll.BDP($C$3,$AH$2,$AH$3,$AI$5,$AE$3,$AF$3)</f>
        <v>4250.3590000000004</v>
      </c>
      <c r="AG17" s="1245">
        <f>_xll.BDP($C$3,$AH$2,$AH$3,$AJ$5,$AE$3,$AF$3)</f>
        <v>4432.0510000000004</v>
      </c>
      <c r="AI17" s="1247">
        <f>P17-AE17</f>
        <v>18867.669466994779</v>
      </c>
      <c r="AJ17" s="637" t="s">
        <v>448</v>
      </c>
      <c r="AK17" s="637"/>
      <c r="AL17" s="637"/>
      <c r="AM17" s="1248" t="s">
        <v>449</v>
      </c>
      <c r="AO17" s="1238" t="s">
        <v>130</v>
      </c>
      <c r="AP17" s="1241" t="e">
        <f>(#REF!/H17)-1</f>
        <v>#REF!</v>
      </c>
      <c r="AQ17" s="1241">
        <f>(P17/I17)-1</f>
        <v>6.1979125469922458E-2</v>
      </c>
      <c r="AR17" s="1241">
        <f ca="1">(R17/J17)-1</f>
        <v>-0.43684425661052351</v>
      </c>
      <c r="AS17" s="473"/>
      <c r="AT17" s="1241">
        <f t="shared" ref="AT17:AV18" si="1">(AD17/H17)-1</f>
        <v>-0.77750314115750263</v>
      </c>
      <c r="AU17" s="1241">
        <f t="shared" si="1"/>
        <v>-0.81416062224286045</v>
      </c>
      <c r="AV17" s="1241">
        <f t="shared" ca="1" si="1"/>
        <v>-0.90305891627750334</v>
      </c>
    </row>
    <row r="18" spans="2:48">
      <c r="F18" s="1238" t="s">
        <v>450</v>
      </c>
      <c r="G18" s="1238"/>
      <c r="H18" s="1246">
        <f t="shared" si="0"/>
        <v>8083</v>
      </c>
      <c r="I18" s="1246">
        <f t="shared" si="0"/>
        <v>13415</v>
      </c>
      <c r="J18" s="1246" t="e">
        <f t="shared" si="0"/>
        <v>#VALUE!</v>
      </c>
      <c r="K18" s="1246">
        <f t="shared" si="0"/>
        <v>7460.9053402909149</v>
      </c>
      <c r="L18" s="1246"/>
      <c r="M18" s="1246"/>
      <c r="N18" s="1246"/>
      <c r="O18" s="473"/>
      <c r="P18" s="1245">
        <f>[5]Model!$W$836</f>
        <v>8352.2903502460831</v>
      </c>
      <c r="Q18" s="1245"/>
      <c r="R18" s="1245">
        <f>[5]Model!$Z$836</f>
        <v>9386.0557119388977</v>
      </c>
      <c r="S18" s="1245">
        <f>[5]Model!$Z$836</f>
        <v>9386.0557119388977</v>
      </c>
      <c r="T18" s="1246"/>
      <c r="U18" s="1246"/>
      <c r="V18" s="473"/>
      <c r="W18" s="1245">
        <f>[5]Model!$W$836</f>
        <v>8352.2903502460831</v>
      </c>
      <c r="X18" s="1245"/>
      <c r="Y18" s="1245">
        <f>[5]Model!$Z$836</f>
        <v>9386.0557119388977</v>
      </c>
      <c r="Z18" s="1245">
        <f>[5]Model!$Z$836</f>
        <v>9386.0557119388977</v>
      </c>
      <c r="AA18" s="1246"/>
      <c r="AB18" s="1246"/>
      <c r="AC18" s="473"/>
      <c r="AD18" s="1245">
        <f>_xll.BDP($C$3,$AD$2,$AH$3,$AH$5,$AE$3,$AF$3)</f>
        <v>-298.57100000000003</v>
      </c>
      <c r="AE18" s="1245">
        <f>_xll.BDP($C$3,$AD$2,$AH$3,$AH$5,$AE$3,$AF$3)</f>
        <v>-298.57100000000003</v>
      </c>
      <c r="AF18" s="1245">
        <f>_xll.BDP($C$3,$AD$2,$AH$3,$AI$5,$AE$3,$AF$3)</f>
        <v>808.66100000000006</v>
      </c>
      <c r="AG18" s="1245">
        <f>_xll.BDP($C$3,$AD$2,$AH$3,$AJ$5,$AE$3,$AF$3)</f>
        <v>1652.152</v>
      </c>
      <c r="AI18" s="634">
        <f>AI55*2</f>
        <v>0</v>
      </c>
      <c r="AJ18" s="1" t="s">
        <v>451</v>
      </c>
      <c r="AM18" s="1249">
        <f>I36</f>
        <v>90</v>
      </c>
      <c r="AO18" s="1238" t="s">
        <v>450</v>
      </c>
      <c r="AP18" s="1241" t="e">
        <f>(#REF!/H18)-1</f>
        <v>#REF!</v>
      </c>
      <c r="AQ18" s="1241">
        <f>(P18/I18)-1</f>
        <v>-0.37739169957166729</v>
      </c>
      <c r="AR18" s="1241" t="e">
        <f>(R18/J18)-1</f>
        <v>#VALUE!</v>
      </c>
      <c r="AS18" s="473"/>
      <c r="AT18" s="1241">
        <f t="shared" si="1"/>
        <v>-1.0369381417790424</v>
      </c>
      <c r="AU18" s="1241">
        <f t="shared" si="1"/>
        <v>-1.0222565039135296</v>
      </c>
      <c r="AV18" s="1241" t="e">
        <f t="shared" si="1"/>
        <v>#VALUE!</v>
      </c>
    </row>
    <row r="19" spans="2:48">
      <c r="F19" s="1250" t="s">
        <v>452</v>
      </c>
      <c r="G19" s="1250"/>
      <c r="H19" s="1251">
        <f>H18/H17</f>
        <v>0.44938010785567356</v>
      </c>
      <c r="I19" s="1251">
        <f>I18/I17</f>
        <v>0.62293940097515677</v>
      </c>
      <c r="J19" s="1251">
        <f ca="1">J18/J17</f>
        <v>0.62008298244179028</v>
      </c>
      <c r="K19" s="1251">
        <f>K18/K17</f>
        <v>0.38030984169671705</v>
      </c>
      <c r="L19" s="1251"/>
      <c r="M19" s="1251"/>
      <c r="N19" s="1251"/>
      <c r="P19" s="1251">
        <f>P18/P17</f>
        <v>0.36521173760300119</v>
      </c>
      <c r="Q19" s="1251"/>
      <c r="R19" s="1251">
        <f>R18/R17</f>
        <v>0.38708458257569339</v>
      </c>
      <c r="S19" s="1251">
        <f>S18/S17</f>
        <v>0.38708458257569339</v>
      </c>
      <c r="T19" s="1251"/>
      <c r="U19" s="1251"/>
      <c r="W19" s="1251">
        <f>W18/W17</f>
        <v>0.36521173760300119</v>
      </c>
      <c r="X19" s="1251"/>
      <c r="Y19" s="1251">
        <f>Y18/Y17</f>
        <v>0.38708458257569339</v>
      </c>
      <c r="Z19" s="1251">
        <f>Z18/Z17</f>
        <v>0.38708458257569339</v>
      </c>
      <c r="AA19" s="1251"/>
      <c r="AB19" s="1251"/>
      <c r="AD19" s="1251">
        <f>AD18/AD17</f>
        <v>-7.4604496544396867E-2</v>
      </c>
      <c r="AE19" s="1251">
        <f>AE18/AE17</f>
        <v>-7.4604496544396867E-2</v>
      </c>
      <c r="AF19" s="1251">
        <f>AF18/AF17</f>
        <v>0.19025710534098414</v>
      </c>
      <c r="AI19" s="634">
        <f>AL45*25</f>
        <v>0</v>
      </c>
      <c r="AJ19" s="1" t="s">
        <v>453</v>
      </c>
      <c r="AM19" s="1249">
        <f>I38</f>
        <v>75</v>
      </c>
      <c r="AO19" s="1238" t="s">
        <v>454</v>
      </c>
      <c r="AP19" s="1241" t="e">
        <f>(#REF!/H23)-1</f>
        <v>#REF!</v>
      </c>
      <c r="AQ19" s="1241" t="e">
        <f>(P23/I23)-1</f>
        <v>#REF!</v>
      </c>
      <c r="AR19" s="1241" t="e">
        <f ca="1">(R23/J23)-1</f>
        <v>#REF!</v>
      </c>
      <c r="AT19" s="1241">
        <f>(AD23/H23)-1</f>
        <v>3.494445473083676</v>
      </c>
      <c r="AU19" s="1241">
        <f>(AE23/I23)-1</f>
        <v>17.410690003302101</v>
      </c>
      <c r="AV19" s="1241">
        <f ca="1">(AF23/J23)-1</f>
        <v>-10.855040343796883</v>
      </c>
    </row>
    <row r="20" spans="2:48" ht="14.5" thickBot="1">
      <c r="F20" s="1238"/>
      <c r="G20" s="1238"/>
      <c r="P20" s="473"/>
      <c r="Q20" s="473"/>
      <c r="W20" s="473"/>
      <c r="X20" s="473"/>
      <c r="AE20" s="1245">
        <f>_xll.BDP($C$3,$AK$2,$AH$3,$AH$5,$AE$3,$AF$3)</f>
        <v>0.16500000000000001</v>
      </c>
      <c r="AF20" s="1245">
        <f>_xll.BDP($C$3,$AK$2,$AH$3,$AI$5,$AE$3,$AF$3)</f>
        <v>0.16500000000000001</v>
      </c>
      <c r="AG20" s="1245">
        <f>_xll.BDP($C$3,$AK$2,$AH$3,$AJ$5,$AE$3,$AF$3)</f>
        <v>0.23400000000000001</v>
      </c>
      <c r="AI20" s="1252">
        <v>425</v>
      </c>
      <c r="AJ20" s="1253" t="s">
        <v>453</v>
      </c>
      <c r="AK20" s="1253"/>
      <c r="AL20" s="1253"/>
      <c r="AM20" s="1254">
        <f>I39</f>
        <v>160</v>
      </c>
    </row>
    <row r="21" spans="2:48" ht="14.5" thickTop="1">
      <c r="F21" s="1238"/>
      <c r="G21" s="1238"/>
      <c r="P21" s="473"/>
      <c r="Q21" s="473"/>
      <c r="W21" s="473"/>
      <c r="X21" s="473"/>
      <c r="AE21" s="473"/>
      <c r="AI21" s="634">
        <f>AI17-AI18-AI19-AI20</f>
        <v>18442.669466994779</v>
      </c>
    </row>
    <row r="22" spans="2:48">
      <c r="B22" s="1">
        <f>1.57/0.71</f>
        <v>2.211267605633803</v>
      </c>
      <c r="F22" s="1238" t="s">
        <v>455</v>
      </c>
      <c r="G22" s="1238"/>
      <c r="H22" s="1239">
        <f>_xll.BDP($C$3,$B$7,$AI$3,$AJ$3)</f>
        <v>19078.4155641457</v>
      </c>
      <c r="I22" s="1239">
        <f>H22-I18</f>
        <v>5663.4155641457</v>
      </c>
      <c r="J22" s="1239" t="e">
        <f>I22-J18</f>
        <v>#VALUE!</v>
      </c>
      <c r="K22" s="1239" t="e">
        <f>J22-K18</f>
        <v>#VALUE!</v>
      </c>
      <c r="L22" s="1239"/>
      <c r="M22" s="1239"/>
      <c r="N22" s="1239"/>
      <c r="P22" s="1239" t="e">
        <f>#REF!-P18</f>
        <v>#REF!</v>
      </c>
      <c r="Q22" s="1239"/>
      <c r="R22" s="1239" t="e">
        <f>P22-R18</f>
        <v>#REF!</v>
      </c>
      <c r="S22" s="1239">
        <f>Q22-S18</f>
        <v>-9386.0557119388977</v>
      </c>
      <c r="T22" s="1239"/>
      <c r="U22" s="1239"/>
      <c r="W22" s="1239" t="e">
        <f>#REF!-W18</f>
        <v>#REF!</v>
      </c>
      <c r="X22" s="1239"/>
      <c r="Y22" s="1239" t="e">
        <f>W22-Y18</f>
        <v>#REF!</v>
      </c>
      <c r="Z22" s="1239">
        <f>X22-Z18</f>
        <v>-9386.0557119388977</v>
      </c>
      <c r="AA22" s="1239"/>
      <c r="AB22" s="1239"/>
      <c r="AD22" s="1239">
        <f>_xll.BDP($C$3,$B$7,$AI$3,$AJ$3)</f>
        <v>19078.4155641457</v>
      </c>
      <c r="AE22" s="1239">
        <f>AD22-AE18</f>
        <v>19376.9865641457</v>
      </c>
      <c r="AF22" s="1239">
        <f>AE22-AF18</f>
        <v>18568.3255641457</v>
      </c>
      <c r="AP22" s="1395" t="s">
        <v>456</v>
      </c>
      <c r="AQ22" s="1395"/>
      <c r="AR22" s="1395"/>
    </row>
    <row r="23" spans="2:48" ht="14.5" thickBot="1">
      <c r="B23" s="1">
        <v>37.86</v>
      </c>
      <c r="F23" s="1238" t="s">
        <v>454</v>
      </c>
      <c r="G23" s="1238"/>
      <c r="H23" s="1255">
        <f>H22/H17</f>
        <v>1.060678021023278</v>
      </c>
      <c r="I23" s="1255">
        <f>I22/I17</f>
        <v>0.26298655974672391</v>
      </c>
      <c r="J23" s="1255">
        <f ca="1">J22/J17</f>
        <v>-0.47567679718274175</v>
      </c>
      <c r="K23" s="1255" t="e">
        <f>K22/K17</f>
        <v>#VALUE!</v>
      </c>
      <c r="L23" s="1255"/>
      <c r="M23" s="1255"/>
      <c r="N23" s="1255"/>
      <c r="P23" s="1255" t="e">
        <f>P22/P17</f>
        <v>#REF!</v>
      </c>
      <c r="Q23" s="1255"/>
      <c r="R23" s="1255" t="e">
        <f>R22/R17</f>
        <v>#REF!</v>
      </c>
      <c r="S23" s="1255">
        <f>S22/S17</f>
        <v>-0.38708458257569339</v>
      </c>
      <c r="T23" s="1255"/>
      <c r="U23" s="1255"/>
      <c r="W23" s="1255" t="e">
        <f>W22/W17</f>
        <v>#REF!</v>
      </c>
      <c r="X23" s="1255"/>
      <c r="Y23" s="1255" t="e">
        <f>Y22/Y17</f>
        <v>#REF!</v>
      </c>
      <c r="Z23" s="1255">
        <f>Z22/Z17</f>
        <v>-0.38708458257569339</v>
      </c>
      <c r="AA23" s="1255"/>
      <c r="AB23" s="1255"/>
      <c r="AD23" s="1255">
        <f>AD22/AD17</f>
        <v>4.7671595299874241</v>
      </c>
      <c r="AE23" s="1255">
        <f>AE22/AE17</f>
        <v>4.8417640265318207</v>
      </c>
      <c r="AF23" s="1255">
        <f>AF22/AF17</f>
        <v>4.3686487574686508</v>
      </c>
      <c r="AP23" s="1244" t="s">
        <v>445</v>
      </c>
      <c r="AQ23" s="1244" t="s">
        <v>446</v>
      </c>
      <c r="AR23" s="1244" t="s">
        <v>447</v>
      </c>
    </row>
    <row r="24" spans="2:48" ht="14.5" thickTop="1">
      <c r="B24" s="1">
        <f>B22/B23</f>
        <v>5.8406434380184974E-2</v>
      </c>
      <c r="F24" s="1238" t="s">
        <v>457</v>
      </c>
      <c r="G24" s="1238"/>
      <c r="H24" s="1241">
        <f>(H18/($E$9+$F$9))/$F$3</f>
        <v>0.38723467029034653</v>
      </c>
      <c r="I24" s="1241">
        <f>(I18/($E$9+$F$9))/$F$3</f>
        <v>0.64267637040022263</v>
      </c>
      <c r="J24" s="1241" t="e">
        <f>(J18/($E$9+$F$9))/$F$3</f>
        <v>#VALUE!</v>
      </c>
      <c r="K24" s="1241">
        <f>(K18/($E$9+$F$9))/$F$3</f>
        <v>0.35743179753990328</v>
      </c>
      <c r="L24" s="1241"/>
      <c r="M24" s="1241"/>
      <c r="N24" s="1241"/>
      <c r="O24" s="1256"/>
      <c r="P24" s="1241">
        <f>(P18/($E$9+$F$9))/$F$3</f>
        <v>0.40013564270033219</v>
      </c>
      <c r="Q24" s="1241"/>
      <c r="R24" s="1241">
        <f>(R18/($E$9+$F$9))/$F$3</f>
        <v>0.44966054545830553</v>
      </c>
      <c r="S24" s="1241">
        <f>(S18/($E$9+$F$9))/$F$3</f>
        <v>0.44966054545830553</v>
      </c>
      <c r="T24" s="1241"/>
      <c r="U24" s="1241"/>
      <c r="V24" s="1256"/>
      <c r="W24" s="1241">
        <f>(W18/($E$9+$F$9))/$F$3</f>
        <v>0.40013564270033219</v>
      </c>
      <c r="X24" s="1241"/>
      <c r="Y24" s="1241">
        <f>(Y18/($E$9+$F$9))/$F$3</f>
        <v>0.44966054545830553</v>
      </c>
      <c r="Z24" s="1241">
        <f>(Z18/($E$9+$F$9))/$F$3</f>
        <v>0.44966054545830553</v>
      </c>
      <c r="AA24" s="1241"/>
      <c r="AB24" s="1241"/>
      <c r="AC24" s="1256"/>
      <c r="AD24" s="1241">
        <f>(AD18/($E$9+$F$9))/$F$3</f>
        <v>-1.4303729152945572E-2</v>
      </c>
      <c r="AE24" s="1241">
        <f>(AE18/($E$9+$F$9))/$F$3</f>
        <v>-1.4303729152945572E-2</v>
      </c>
      <c r="AF24" s="1241">
        <f>(AF18/($E$9+$F$9))/$F$3</f>
        <v>3.8740761562744273E-2</v>
      </c>
      <c r="AP24" s="473"/>
      <c r="AQ24" s="473"/>
      <c r="AR24" s="473"/>
    </row>
    <row r="25" spans="2:48">
      <c r="F25" s="1238" t="s">
        <v>458</v>
      </c>
      <c r="G25" s="1238"/>
      <c r="H25" s="1241">
        <f>H18/H22</f>
        <v>0.4236724990512567</v>
      </c>
      <c r="I25" s="1241">
        <f>I18/I22</f>
        <v>2.3687119279977455</v>
      </c>
      <c r="J25" s="1241" t="e">
        <f>J18/J22</f>
        <v>#VALUE!</v>
      </c>
      <c r="K25" s="1241" t="e">
        <f>K18/K22</f>
        <v>#VALUE!</v>
      </c>
      <c r="L25" s="1241"/>
      <c r="M25" s="1241"/>
      <c r="N25" s="1241"/>
      <c r="P25" s="1241" t="e">
        <f>P18/P22</f>
        <v>#REF!</v>
      </c>
      <c r="Q25" s="1241"/>
      <c r="R25" s="1241" t="e">
        <f>R18/R22</f>
        <v>#REF!</v>
      </c>
      <c r="S25" s="1241">
        <f>S18/S22</f>
        <v>-1</v>
      </c>
      <c r="T25" s="1241"/>
      <c r="U25" s="1241"/>
      <c r="W25" s="1241" t="e">
        <f>W18/W22</f>
        <v>#REF!</v>
      </c>
      <c r="X25" s="1241"/>
      <c r="Y25" s="1241" t="e">
        <f>Y18/Y22</f>
        <v>#REF!</v>
      </c>
      <c r="Z25" s="1241">
        <f>Z18/Z22</f>
        <v>-1</v>
      </c>
      <c r="AA25" s="1241"/>
      <c r="AB25" s="1241"/>
      <c r="AD25" s="1241">
        <f>AD18/AD22</f>
        <v>-1.5649674837836542E-2</v>
      </c>
      <c r="AE25" s="1241">
        <f>AE18/AE22</f>
        <v>-1.5408536255707702E-2</v>
      </c>
      <c r="AF25" s="1241">
        <f>AF18/AF22</f>
        <v>4.3550561261241294E-2</v>
      </c>
      <c r="AQ25" s="473"/>
    </row>
    <row r="26" spans="2:48">
      <c r="F26" s="1238" t="s">
        <v>459</v>
      </c>
      <c r="G26" s="1238"/>
      <c r="H26" s="1241">
        <f>H18/$E$10</f>
        <v>0.64999703818872778</v>
      </c>
      <c r="I26" s="1241">
        <f>I18/$E$10</f>
        <v>1.0787715288014081</v>
      </c>
      <c r="J26" s="1241" t="e">
        <f>J18/$E$10</f>
        <v>#VALUE!</v>
      </c>
      <c r="K26" s="1241">
        <f>K18/$E$10</f>
        <v>0.59997109654776148</v>
      </c>
      <c r="L26" s="1241"/>
      <c r="M26" s="1241"/>
      <c r="N26" s="1241"/>
      <c r="P26" s="1241">
        <f>P18/$E$10</f>
        <v>0.67165210809751896</v>
      </c>
      <c r="Q26" s="1241"/>
      <c r="R26" s="1241">
        <f>R18/$E$10</f>
        <v>0.75478268131073534</v>
      </c>
      <c r="S26" s="1241">
        <f>S18/$E$10</f>
        <v>0.75478268131073534</v>
      </c>
      <c r="T26" s="1241"/>
      <c r="U26" s="1241"/>
      <c r="W26" s="1241">
        <f>W18/$E$10</f>
        <v>0.67165210809751896</v>
      </c>
      <c r="X26" s="1241"/>
      <c r="Y26" s="1241">
        <f>Y18/$E$10</f>
        <v>0.75478268131073534</v>
      </c>
      <c r="Z26" s="1241">
        <f>Z18/$E$10</f>
        <v>0.75478268131073534</v>
      </c>
      <c r="AA26" s="1241"/>
      <c r="AB26" s="1241"/>
      <c r="AD26" s="1241">
        <f>AD18/$E$10</f>
        <v>-2.4009682752572887E-2</v>
      </c>
      <c r="AE26" s="1241">
        <f>AE18/$E$10</f>
        <v>-2.4009682752572887E-2</v>
      </c>
      <c r="AF26" s="1241">
        <f>AF18/$E$10</f>
        <v>6.502873374968883E-2</v>
      </c>
      <c r="AO26" s="1238" t="s">
        <v>130</v>
      </c>
      <c r="AP26" s="1241" t="e">
        <f>(#REF!/AD17)-1</f>
        <v>#REF!</v>
      </c>
      <c r="AQ26" s="1241">
        <f>(P17/AE17)-1</f>
        <v>4.7145000068701721</v>
      </c>
      <c r="AR26" s="1241">
        <f>(R17/AF17)-1</f>
        <v>4.704947342703333</v>
      </c>
    </row>
    <row r="27" spans="2:48">
      <c r="F27" s="1238"/>
      <c r="G27" s="1238"/>
      <c r="I27" s="1241"/>
      <c r="J27" s="1241"/>
      <c r="K27" s="1241"/>
      <c r="L27" s="1241"/>
      <c r="M27" s="1241"/>
      <c r="N27" s="1241"/>
      <c r="P27" s="1241"/>
      <c r="Q27" s="1241"/>
      <c r="R27" s="1241"/>
      <c r="S27" s="1241"/>
      <c r="T27" s="1241"/>
      <c r="U27" s="1241"/>
      <c r="W27" s="1241"/>
      <c r="X27" s="1241"/>
      <c r="Y27" s="1241"/>
      <c r="Z27" s="1241"/>
      <c r="AA27" s="1241"/>
      <c r="AB27" s="1241"/>
      <c r="AD27" s="1241"/>
      <c r="AE27" s="1241"/>
      <c r="AF27" s="1241"/>
      <c r="AO27" s="1238" t="s">
        <v>450</v>
      </c>
      <c r="AP27" s="1241" t="e">
        <f>(#REF!/AD18)-1</f>
        <v>#REF!</v>
      </c>
      <c r="AQ27" s="1241">
        <f>(P18/AE18)-1</f>
        <v>-28.974218360946249</v>
      </c>
      <c r="AR27" s="1241">
        <f>(R18/AF18)-1</f>
        <v>10.606910326995981</v>
      </c>
    </row>
    <row r="28" spans="2:48">
      <c r="F28" s="1238" t="s">
        <v>460</v>
      </c>
      <c r="G28" s="1238"/>
      <c r="H28" s="1241"/>
      <c r="I28" s="1241"/>
      <c r="J28" s="1241"/>
      <c r="K28" s="1241"/>
      <c r="L28" s="1241"/>
      <c r="M28" s="1241"/>
      <c r="N28" s="1241"/>
      <c r="P28" s="1241"/>
      <c r="Q28" s="1241"/>
      <c r="R28" s="1241"/>
      <c r="S28" s="1241"/>
      <c r="T28" s="1241"/>
      <c r="U28" s="1241"/>
      <c r="W28" s="1241"/>
      <c r="X28" s="1241"/>
      <c r="Y28" s="1241"/>
      <c r="Z28" s="1241"/>
      <c r="AA28" s="1241"/>
      <c r="AB28" s="1241"/>
      <c r="AD28" s="1241"/>
      <c r="AE28" s="1241"/>
      <c r="AF28" s="1241"/>
      <c r="AO28" s="1238" t="s">
        <v>454</v>
      </c>
      <c r="AP28" s="1241" t="e">
        <f>(#REF!/AD23)-1</f>
        <v>#REF!</v>
      </c>
      <c r="AQ28" s="1241" t="e">
        <f>(P23/AE23)-1</f>
        <v>#REF!</v>
      </c>
      <c r="AR28" s="1241" t="e">
        <f>(R23/AF23)-1</f>
        <v>#REF!</v>
      </c>
    </row>
    <row r="29" spans="2:48">
      <c r="E29" s="1257">
        <v>6.6</v>
      </c>
      <c r="F29" s="1238" t="s">
        <v>461</v>
      </c>
      <c r="G29" s="1238"/>
      <c r="H29" s="1241">
        <f>($E29/H$23)-1</f>
        <v>5.2224349606421736</v>
      </c>
      <c r="I29" s="1241">
        <f>($E29/I$23)-1</f>
        <v>24.096339548136232</v>
      </c>
      <c r="J29" s="1241">
        <f ca="1">($E29/J$23)-1</f>
        <v>-14.874967286799285</v>
      </c>
      <c r="K29" s="1241" t="e">
        <f>($E29/K$23)-1</f>
        <v>#VALUE!</v>
      </c>
      <c r="L29" s="1241"/>
      <c r="M29" s="1241"/>
      <c r="N29" s="1241"/>
      <c r="P29" s="1241" t="e">
        <f>($E29/P$23)-1</f>
        <v>#REF!</v>
      </c>
      <c r="Q29" s="1241"/>
      <c r="R29" s="1241" t="e">
        <f>($E29/R$23)-1</f>
        <v>#REF!</v>
      </c>
      <c r="S29" s="1241">
        <f>($E29/S$23)-1</f>
        <v>-18.050537006881143</v>
      </c>
      <c r="T29" s="1241"/>
      <c r="U29" s="1241"/>
      <c r="W29" s="1241" t="e">
        <f>($E29/W$23)-1</f>
        <v>#REF!</v>
      </c>
      <c r="X29" s="1241"/>
      <c r="Y29" s="1241" t="e">
        <f>($E29/Y$23)-1</f>
        <v>#REF!</v>
      </c>
      <c r="Z29" s="1241">
        <f>($E29/Z$23)-1</f>
        <v>-18.050537006881143</v>
      </c>
      <c r="AA29" s="1241"/>
      <c r="AB29" s="1241"/>
      <c r="AD29" s="1241">
        <f>($E29/AD$23)-1</f>
        <v>0.38447223309462242</v>
      </c>
      <c r="AE29" s="1241">
        <f>($E29/AE$23)-1</f>
        <v>0.36313954249596336</v>
      </c>
      <c r="AF29" s="1241">
        <f>($E29/AF$23)-1</f>
        <v>0.51076462458022664</v>
      </c>
    </row>
    <row r="30" spans="2:48">
      <c r="E30" s="1257">
        <v>6.2</v>
      </c>
      <c r="F30" s="1238" t="s">
        <v>462</v>
      </c>
      <c r="G30" s="1238"/>
      <c r="H30" s="1241">
        <f t="shared" ref="H30:AF31" si="2">($E30/H$23)-1</f>
        <v>4.8453176903002246</v>
      </c>
      <c r="I30" s="1241">
        <f t="shared" si="2"/>
        <v>22.575349272491614</v>
      </c>
      <c r="J30" s="1241">
        <f t="shared" ca="1" si="2"/>
        <v>-14.034060178508419</v>
      </c>
      <c r="K30" s="1241" t="e">
        <f t="shared" si="2"/>
        <v>#VALUE!</v>
      </c>
      <c r="L30" s="1241"/>
      <c r="M30" s="1241"/>
      <c r="N30" s="1241"/>
      <c r="P30" s="1241" t="e">
        <f t="shared" si="2"/>
        <v>#REF!</v>
      </c>
      <c r="Q30" s="1241"/>
      <c r="R30" s="1241" t="e">
        <f t="shared" si="2"/>
        <v>#REF!</v>
      </c>
      <c r="S30" s="1241">
        <f t="shared" si="2"/>
        <v>-17.017171127676225</v>
      </c>
      <c r="T30" s="1241"/>
      <c r="U30" s="1241"/>
      <c r="W30" s="1241" t="e">
        <f t="shared" si="2"/>
        <v>#REF!</v>
      </c>
      <c r="X30" s="1241"/>
      <c r="Y30" s="1241" t="e">
        <f t="shared" si="2"/>
        <v>#REF!</v>
      </c>
      <c r="Z30" s="1241">
        <f t="shared" si="2"/>
        <v>-17.017171127676225</v>
      </c>
      <c r="AA30" s="1241"/>
      <c r="AB30" s="1241"/>
      <c r="AD30" s="1241">
        <f t="shared" si="2"/>
        <v>0.30056482502828175</v>
      </c>
      <c r="AE30" s="1241">
        <f t="shared" si="2"/>
        <v>0.28052502476893548</v>
      </c>
      <c r="AF30" s="1241">
        <f t="shared" si="2"/>
        <v>0.41920313218142513</v>
      </c>
    </row>
    <row r="31" spans="2:48">
      <c r="E31" s="1257">
        <v>5.8</v>
      </c>
      <c r="F31" s="1238" t="s">
        <v>463</v>
      </c>
      <c r="G31" s="1238"/>
      <c r="H31" s="1241">
        <f t="shared" si="2"/>
        <v>4.4682004199582739</v>
      </c>
      <c r="I31" s="1241">
        <f t="shared" si="2"/>
        <v>21.054358996846993</v>
      </c>
      <c r="J31" s="1241">
        <f t="shared" ca="1" si="2"/>
        <v>-13.193153070217553</v>
      </c>
      <c r="K31" s="1241" t="e">
        <f t="shared" si="2"/>
        <v>#VALUE!</v>
      </c>
      <c r="L31" s="1241"/>
      <c r="M31" s="1241"/>
      <c r="N31" s="1241"/>
      <c r="P31" s="1241" t="e">
        <f t="shared" si="2"/>
        <v>#REF!</v>
      </c>
      <c r="Q31" s="1241"/>
      <c r="R31" s="1241" t="e">
        <f t="shared" si="2"/>
        <v>#REF!</v>
      </c>
      <c r="S31" s="1241">
        <f t="shared" si="2"/>
        <v>-15.983805248471308</v>
      </c>
      <c r="T31" s="1241"/>
      <c r="U31" s="1241"/>
      <c r="W31" s="1241" t="e">
        <f t="shared" si="2"/>
        <v>#REF!</v>
      </c>
      <c r="X31" s="1241"/>
      <c r="Y31" s="1241" t="e">
        <f t="shared" si="2"/>
        <v>#REF!</v>
      </c>
      <c r="Z31" s="1241">
        <f t="shared" si="2"/>
        <v>-15.983805248471308</v>
      </c>
      <c r="AA31" s="1241"/>
      <c r="AB31" s="1241"/>
      <c r="AD31" s="1241">
        <f t="shared" si="2"/>
        <v>0.21665741696194085</v>
      </c>
      <c r="AE31" s="1241">
        <f t="shared" si="2"/>
        <v>0.19791050704190716</v>
      </c>
      <c r="AF31" s="1241">
        <f t="shared" si="2"/>
        <v>0.3276416397826234</v>
      </c>
    </row>
    <row r="32" spans="2:48">
      <c r="B32" s="1258"/>
      <c r="E32" s="1257"/>
      <c r="F32" s="1238"/>
      <c r="G32" s="1238"/>
      <c r="P32" s="473"/>
      <c r="Q32" s="473"/>
      <c r="W32" s="473"/>
      <c r="X32" s="473"/>
      <c r="AE32" s="473"/>
    </row>
    <row r="33" spans="2:48">
      <c r="E33" s="1257"/>
      <c r="F33" s="1238"/>
      <c r="G33" s="1238"/>
      <c r="H33" s="1395" t="s">
        <v>440</v>
      </c>
      <c r="I33" s="1395"/>
      <c r="J33" s="1395"/>
      <c r="K33" s="1243"/>
      <c r="L33" s="1243"/>
      <c r="M33" s="1243"/>
      <c r="N33" s="1243"/>
      <c r="P33" s="1395"/>
      <c r="Q33" s="1395"/>
      <c r="R33" s="1395"/>
      <c r="S33" s="1243"/>
      <c r="T33" s="1243"/>
      <c r="U33" s="1243"/>
      <c r="W33" s="1395"/>
      <c r="X33" s="1395"/>
      <c r="Y33" s="1395"/>
      <c r="Z33" s="1243"/>
      <c r="AA33" s="1243"/>
      <c r="AB33" s="1243"/>
      <c r="AD33" s="1395" t="s">
        <v>442</v>
      </c>
      <c r="AE33" s="1395"/>
      <c r="AF33" s="1395"/>
    </row>
    <row r="34" spans="2:48" ht="14.5" thickBot="1">
      <c r="E34" s="1257"/>
      <c r="F34" s="1259" t="s">
        <v>464</v>
      </c>
      <c r="G34" s="1238"/>
      <c r="H34" s="1244" t="s">
        <v>445</v>
      </c>
      <c r="I34" s="1244" t="s">
        <v>446</v>
      </c>
      <c r="J34" s="1244" t="s">
        <v>447</v>
      </c>
      <c r="K34" s="1244" t="s">
        <v>447</v>
      </c>
      <c r="L34" s="473"/>
      <c r="M34" s="473"/>
      <c r="N34" s="473"/>
      <c r="P34" s="1244" t="s">
        <v>446</v>
      </c>
      <c r="Q34" s="1244"/>
      <c r="R34" s="1244" t="s">
        <v>447</v>
      </c>
      <c r="S34" s="1244" t="s">
        <v>447</v>
      </c>
      <c r="T34" s="473"/>
      <c r="U34" s="473"/>
      <c r="W34" s="1244" t="s">
        <v>446</v>
      </c>
      <c r="X34" s="1244"/>
      <c r="Y34" s="1244" t="s">
        <v>447</v>
      </c>
      <c r="Z34" s="1244" t="s">
        <v>447</v>
      </c>
      <c r="AA34" s="473"/>
      <c r="AB34" s="473"/>
      <c r="AD34" s="1244" t="s">
        <v>445</v>
      </c>
      <c r="AE34" s="1244" t="s">
        <v>446</v>
      </c>
      <c r="AF34" s="1244" t="s">
        <v>447</v>
      </c>
    </row>
    <row r="35" spans="2:48">
      <c r="E35" s="1257"/>
      <c r="P35" s="473"/>
      <c r="Q35" s="473"/>
      <c r="W35" s="473"/>
      <c r="X35" s="473"/>
      <c r="AE35" s="473"/>
    </row>
    <row r="36" spans="2:48">
      <c r="E36" s="1257"/>
      <c r="F36" s="1238" t="s">
        <v>465</v>
      </c>
      <c r="G36" s="1238"/>
      <c r="H36" s="1245">
        <f>[4]Model!T443</f>
        <v>80.445349999999991</v>
      </c>
      <c r="I36" s="1245">
        <f>[4]Model!W443</f>
        <v>90</v>
      </c>
      <c r="J36" s="1245">
        <f>[4]Model!Z443</f>
        <v>75</v>
      </c>
      <c r="K36" s="1245">
        <f>[4]Model!AA443</f>
        <v>0</v>
      </c>
      <c r="L36" s="1245"/>
      <c r="M36" s="1245"/>
      <c r="N36" s="1245"/>
      <c r="P36" s="1245">
        <f>[5]Model!$AF$5</f>
        <v>81.47</v>
      </c>
      <c r="Q36" s="1245"/>
      <c r="R36" s="1245">
        <f t="shared" ref="R36:S39" si="3">P36</f>
        <v>81.47</v>
      </c>
      <c r="S36" s="1245">
        <f t="shared" si="3"/>
        <v>0</v>
      </c>
      <c r="T36" s="1245"/>
      <c r="U36" s="1245"/>
      <c r="W36" s="1245">
        <f>[5]Model!$AF$5</f>
        <v>81.47</v>
      </c>
      <c r="X36" s="1245"/>
      <c r="Y36" s="1245">
        <f t="shared" ref="Y36:Z39" si="4">W36</f>
        <v>81.47</v>
      </c>
      <c r="Z36" s="1245">
        <f t="shared" si="4"/>
        <v>0</v>
      </c>
      <c r="AA36" s="1245"/>
      <c r="AB36" s="1245"/>
      <c r="AE36" s="473"/>
    </row>
    <row r="37" spans="2:48">
      <c r="E37" s="1257"/>
      <c r="F37" s="1238" t="s">
        <v>146</v>
      </c>
      <c r="G37" s="1238"/>
      <c r="H37" s="1245">
        <f>[4]Model!T252</f>
        <v>6161.5990423387102</v>
      </c>
      <c r="I37" s="1245">
        <f>[4]Model!W252</f>
        <v>6300</v>
      </c>
      <c r="J37" s="1245">
        <f>[4]Model!Z252</f>
        <v>6500</v>
      </c>
      <c r="K37" s="1245">
        <f>[4]Model!AA252</f>
        <v>0</v>
      </c>
      <c r="L37" s="1245"/>
      <c r="M37" s="1245"/>
      <c r="N37" s="1245"/>
      <c r="P37" s="1245">
        <f>[5]Model!$AG$5</f>
        <v>5728</v>
      </c>
      <c r="Q37" s="1245"/>
      <c r="R37" s="1245">
        <f t="shared" si="3"/>
        <v>5728</v>
      </c>
      <c r="S37" s="1245">
        <f t="shared" si="3"/>
        <v>0</v>
      </c>
      <c r="T37" s="1245"/>
      <c r="U37" s="1245"/>
      <c r="W37" s="1245">
        <f>[5]Model!$AG$5</f>
        <v>5728</v>
      </c>
      <c r="X37" s="1245"/>
      <c r="Y37" s="1245">
        <f t="shared" si="4"/>
        <v>5728</v>
      </c>
      <c r="Z37" s="1245">
        <f t="shared" si="4"/>
        <v>0</v>
      </c>
      <c r="AA37" s="1245"/>
      <c r="AB37" s="1245"/>
      <c r="AE37" s="473"/>
    </row>
    <row r="38" spans="2:48">
      <c r="B38" s="1260"/>
      <c r="E38" s="1257"/>
      <c r="F38" s="1238" t="s">
        <v>466</v>
      </c>
      <c r="G38" s="1238"/>
      <c r="H38" s="1245">
        <f>[4]Model!T528</f>
        <v>99.721193216232578</v>
      </c>
      <c r="I38" s="1245">
        <f>[4]Model!W528</f>
        <v>75</v>
      </c>
      <c r="J38" s="1245">
        <f>[4]Model!Z528</f>
        <v>75</v>
      </c>
      <c r="K38" s="1245">
        <f>[4]Model!AA528</f>
        <v>0</v>
      </c>
      <c r="L38" s="1245"/>
      <c r="M38" s="1245"/>
      <c r="N38" s="1245"/>
      <c r="P38" s="1245">
        <f>[5]Model!$AH$5</f>
        <v>65.600000000000009</v>
      </c>
      <c r="Q38" s="1245"/>
      <c r="R38" s="1245">
        <f t="shared" si="3"/>
        <v>65.600000000000009</v>
      </c>
      <c r="S38" s="1245">
        <f t="shared" si="3"/>
        <v>0</v>
      </c>
      <c r="T38" s="1245"/>
      <c r="U38" s="1245"/>
      <c r="W38" s="1245">
        <f>[5]Model!$AH$5</f>
        <v>65.600000000000009</v>
      </c>
      <c r="X38" s="1245"/>
      <c r="Y38" s="1245">
        <f t="shared" si="4"/>
        <v>65.600000000000009</v>
      </c>
      <c r="Z38" s="1245">
        <f t="shared" si="4"/>
        <v>0</v>
      </c>
      <c r="AA38" s="1245"/>
      <c r="AB38" s="1245"/>
      <c r="AE38" s="473"/>
      <c r="AJ38" s="473"/>
    </row>
    <row r="39" spans="2:48">
      <c r="E39" s="1257"/>
      <c r="F39" s="1238" t="s">
        <v>467</v>
      </c>
      <c r="G39" s="1238"/>
      <c r="H39" s="1245">
        <f>[4]Model!T488</f>
        <v>204.56035</v>
      </c>
      <c r="I39" s="1245">
        <f>[4]Model!W488</f>
        <v>160</v>
      </c>
      <c r="J39" s="1245">
        <f>[4]Model!Z488</f>
        <v>155</v>
      </c>
      <c r="K39" s="1245">
        <f>[4]Model!AA488</f>
        <v>0</v>
      </c>
      <c r="L39" s="1245"/>
      <c r="M39" s="1245"/>
      <c r="N39" s="1245"/>
      <c r="P39" s="1245">
        <f>[5]Model!$AI$5</f>
        <v>149</v>
      </c>
      <c r="Q39" s="1245"/>
      <c r="R39" s="1245">
        <f t="shared" si="3"/>
        <v>149</v>
      </c>
      <c r="S39" s="1245">
        <f t="shared" si="3"/>
        <v>0</v>
      </c>
      <c r="T39" s="1245"/>
      <c r="U39" s="1245"/>
      <c r="W39" s="1245">
        <f>[5]Model!$AI$5</f>
        <v>149</v>
      </c>
      <c r="X39" s="1245"/>
      <c r="Y39" s="1245">
        <f t="shared" si="4"/>
        <v>149</v>
      </c>
      <c r="Z39" s="1245">
        <f t="shared" si="4"/>
        <v>0</v>
      </c>
      <c r="AA39" s="1245"/>
      <c r="AB39" s="1245"/>
      <c r="AE39" s="473"/>
      <c r="AJ39" s="473"/>
      <c r="AP39" s="572"/>
      <c r="AQ39" s="572"/>
      <c r="AR39" s="572"/>
      <c r="AT39" s="572"/>
      <c r="AU39" s="572"/>
      <c r="AV39" s="572"/>
    </row>
    <row r="40" spans="2:48">
      <c r="E40" s="1257"/>
      <c r="F40" s="1238"/>
      <c r="G40" s="1238"/>
      <c r="H40" s="1245"/>
      <c r="I40" s="1245"/>
      <c r="J40" s="1245"/>
      <c r="K40" s="1245"/>
      <c r="L40" s="1245"/>
      <c r="M40" s="1245"/>
      <c r="N40" s="1245"/>
      <c r="P40" s="1245"/>
      <c r="Q40" s="1245"/>
      <c r="R40" s="1245"/>
      <c r="S40" s="1245"/>
      <c r="T40" s="1245"/>
      <c r="U40" s="1245"/>
      <c r="W40" s="1245"/>
      <c r="X40" s="1245"/>
      <c r="Y40" s="1245"/>
      <c r="Z40" s="1245"/>
      <c r="AA40" s="1245"/>
      <c r="AB40" s="1245"/>
      <c r="AE40" s="473"/>
      <c r="AJ40" s="473"/>
      <c r="AP40" s="1243"/>
      <c r="AQ40" s="1243"/>
      <c r="AR40" s="1243"/>
      <c r="AT40" s="1243"/>
      <c r="AU40" s="1243"/>
      <c r="AV40" s="1243"/>
    </row>
    <row r="41" spans="2:48">
      <c r="E41" s="1257"/>
      <c r="F41" s="1238"/>
      <c r="G41" s="1238"/>
      <c r="H41" s="1245"/>
      <c r="I41" s="1245"/>
      <c r="J41" s="1245"/>
      <c r="K41" s="1245"/>
      <c r="L41" s="1245"/>
      <c r="M41" s="1245"/>
      <c r="N41" s="1245"/>
      <c r="P41" s="1245"/>
      <c r="Q41" s="1245"/>
      <c r="R41" s="1245"/>
      <c r="S41" s="1245"/>
      <c r="T41" s="1245"/>
      <c r="U41" s="1245"/>
      <c r="W41" s="1245"/>
      <c r="X41" s="1245"/>
      <c r="Y41" s="1245"/>
      <c r="Z41" s="1245"/>
      <c r="AA41" s="1245"/>
      <c r="AB41" s="1245"/>
      <c r="AE41" s="473"/>
      <c r="AJ41" s="473"/>
      <c r="AP41" s="1243"/>
      <c r="AQ41" s="1243"/>
      <c r="AR41" s="1243"/>
      <c r="AT41" s="1243"/>
      <c r="AU41" s="1243"/>
      <c r="AV41" s="1243"/>
    </row>
    <row r="42" spans="2:48">
      <c r="E42" s="1257"/>
      <c r="F42" s="1238" t="s">
        <v>998</v>
      </c>
      <c r="G42" s="1238"/>
      <c r="H42" s="1" t="s">
        <v>999</v>
      </c>
      <c r="I42" s="473" t="s">
        <v>1000</v>
      </c>
      <c r="J42" s="1258" t="e">
        <f>J44/J67</f>
        <v>#VALUE!</v>
      </c>
      <c r="K42" s="1258" t="e">
        <f>K44/K67</f>
        <v>#VALUE!</v>
      </c>
      <c r="L42" s="1258" t="e">
        <f>L44/L67</f>
        <v>#VALUE!</v>
      </c>
      <c r="M42" s="1258" t="e">
        <f>M44/M67</f>
        <v>#VALUE!</v>
      </c>
      <c r="N42" s="1258" t="e">
        <f>N44/N67</f>
        <v>#DIV/0!</v>
      </c>
      <c r="Q42" s="1258">
        <f>Q44/Q67</f>
        <v>0.98446592120959853</v>
      </c>
      <c r="T42" s="1258" t="e">
        <f>T44/T67</f>
        <v>#DIV/0!</v>
      </c>
      <c r="U42" s="1258" t="e">
        <f>U44/U67</f>
        <v>#DIV/0!</v>
      </c>
      <c r="X42" s="1258">
        <f>X44/X67</f>
        <v>0.63839956597097081</v>
      </c>
      <c r="AA42" s="1258" t="e">
        <f>AA44/AA67</f>
        <v>#DIV/0!</v>
      </c>
      <c r="AB42" s="1258" t="e">
        <f>AB44/AB67</f>
        <v>#DIV/0!</v>
      </c>
      <c r="AH42" s="1261"/>
      <c r="AP42" s="473"/>
      <c r="AQ42" s="473"/>
      <c r="AR42" s="473"/>
      <c r="AT42" s="473"/>
      <c r="AU42" s="473"/>
      <c r="AV42" s="473"/>
    </row>
    <row r="43" spans="2:48">
      <c r="E43" s="1257"/>
      <c r="F43" s="1258"/>
      <c r="G43" s="1238"/>
      <c r="J43" s="634" t="e">
        <f>$I$63-J63</f>
        <v>#VALUE!</v>
      </c>
      <c r="K43" s="634" t="e">
        <f>J63-K63</f>
        <v>#VALUE!</v>
      </c>
      <c r="L43" s="634" t="e">
        <f>K63-L63</f>
        <v>#VALUE!</v>
      </c>
      <c r="M43" s="634" t="e">
        <f>L63-M63</f>
        <v>#VALUE!</v>
      </c>
      <c r="N43" s="634">
        <f>M63-N63</f>
        <v>0</v>
      </c>
      <c r="Q43" s="634">
        <f>$I$63-Q63</f>
        <v>16875.893297348182</v>
      </c>
      <c r="R43" s="634">
        <f>Q63-R63</f>
        <v>-117.68156957204701</v>
      </c>
      <c r="S43" s="634">
        <f>R63-S63</f>
        <v>-3303.0085901456769</v>
      </c>
      <c r="T43" s="634">
        <f>S63-T63</f>
        <v>-1004.2031376304585</v>
      </c>
      <c r="U43" s="634">
        <f>T63-U63</f>
        <v>0</v>
      </c>
      <c r="X43" s="634">
        <f>$I$63-X63</f>
        <v>13780.744136176749</v>
      </c>
      <c r="Y43" s="634">
        <f>X63-Y63</f>
        <v>-4046.9441968608844</v>
      </c>
      <c r="Z43" s="634">
        <f>Y63-Z63</f>
        <v>-6276.8628444218884</v>
      </c>
      <c r="AA43" s="634">
        <f>Z63-AA63</f>
        <v>8994.0629051060241</v>
      </c>
      <c r="AB43" s="634">
        <f>AA63-AB63</f>
        <v>0</v>
      </c>
      <c r="AP43" s="473"/>
      <c r="AQ43" s="473"/>
      <c r="AR43" s="473"/>
      <c r="AT43" s="473"/>
      <c r="AU43" s="473"/>
      <c r="AV43" s="473"/>
    </row>
    <row r="44" spans="2:48">
      <c r="B44" s="1260"/>
      <c r="E44" s="1257"/>
      <c r="F44" s="1238" t="s">
        <v>1001</v>
      </c>
      <c r="G44" s="1238"/>
      <c r="H44" s="1" t="s">
        <v>999</v>
      </c>
      <c r="J44" s="634" t="e">
        <f>J43-(12450-10000)</f>
        <v>#VALUE!</v>
      </c>
      <c r="K44" s="634" t="e">
        <f>K43</f>
        <v>#VALUE!</v>
      </c>
      <c r="L44" s="634" t="e">
        <f>L43</f>
        <v>#VALUE!</v>
      </c>
      <c r="M44" s="634" t="e">
        <f>M43</f>
        <v>#VALUE!</v>
      </c>
      <c r="N44" s="634">
        <f>N43</f>
        <v>0</v>
      </c>
      <c r="Q44" s="634">
        <f>Q43-(12450-10000)</f>
        <v>14425.893297348182</v>
      </c>
      <c r="R44" s="634"/>
      <c r="S44" s="634"/>
      <c r="T44" s="634">
        <f>T43</f>
        <v>-1004.2031376304585</v>
      </c>
      <c r="U44" s="634">
        <f>U43</f>
        <v>0</v>
      </c>
      <c r="X44" s="634">
        <f>X43-(12450-10000)</f>
        <v>11330.744136176749</v>
      </c>
      <c r="Y44" s="634"/>
      <c r="Z44" s="634"/>
      <c r="AA44" s="634">
        <f>AA43</f>
        <v>8994.0629051060241</v>
      </c>
      <c r="AB44" s="634">
        <f>AB43</f>
        <v>0</v>
      </c>
      <c r="AI44" s="473"/>
      <c r="AJ44" s="473"/>
      <c r="AK44" s="473"/>
      <c r="AL44" s="473"/>
      <c r="AQ44" s="473"/>
      <c r="AU44" s="473"/>
    </row>
    <row r="45" spans="2:48">
      <c r="E45" s="1257"/>
      <c r="F45" s="1238"/>
      <c r="G45" s="1238"/>
      <c r="AI45" s="473"/>
      <c r="AJ45" s="473"/>
      <c r="AK45" s="473"/>
      <c r="AL45" s="473"/>
      <c r="AO45" s="1238"/>
      <c r="AP45" s="1262"/>
      <c r="AQ45" s="1262"/>
      <c r="AR45" s="1262"/>
      <c r="AS45" s="473"/>
      <c r="AT45" s="1262"/>
      <c r="AU45" s="1262"/>
      <c r="AV45" s="1262"/>
    </row>
    <row r="46" spans="2:48">
      <c r="E46" s="1257"/>
      <c r="F46" s="1207"/>
      <c r="G46" s="1207"/>
      <c r="H46" s="1208" t="s">
        <v>441</v>
      </c>
      <c r="I46" s="1209"/>
      <c r="J46" s="1393" t="s">
        <v>565</v>
      </c>
      <c r="K46" s="1393"/>
      <c r="L46" s="1393"/>
      <c r="M46" s="1210"/>
      <c r="N46" s="1210"/>
      <c r="O46" s="1209"/>
      <c r="P46" s="1208"/>
      <c r="Q46" s="1394" t="s">
        <v>972</v>
      </c>
      <c r="R46" s="1394"/>
      <c r="S46" s="1394"/>
      <c r="T46" s="1210"/>
      <c r="U46" s="1210"/>
      <c r="V46" s="1209"/>
      <c r="W46" s="1208"/>
      <c r="X46" s="1393" t="s">
        <v>973</v>
      </c>
      <c r="Y46" s="1393"/>
      <c r="Z46" s="1393"/>
      <c r="AA46" s="1210"/>
      <c r="AB46" s="1210"/>
      <c r="AC46" s="1209"/>
      <c r="AD46" s="1394" t="s">
        <v>442</v>
      </c>
      <c r="AE46" s="1394"/>
      <c r="AF46" s="1394"/>
      <c r="AI46" s="473"/>
      <c r="AJ46" s="473"/>
      <c r="AK46" s="473"/>
      <c r="AL46" s="473"/>
      <c r="AO46" s="1238"/>
      <c r="AP46" s="1262"/>
      <c r="AQ46" s="1262"/>
      <c r="AR46" s="1262"/>
      <c r="AS46" s="473"/>
      <c r="AT46" s="1262"/>
      <c r="AU46" s="1262"/>
      <c r="AV46" s="1262"/>
    </row>
    <row r="47" spans="2:48">
      <c r="E47" s="1257"/>
      <c r="F47" s="1207"/>
      <c r="G47" s="1207"/>
      <c r="H47" s="1210" t="s">
        <v>468</v>
      </c>
      <c r="I47" s="1210" t="s">
        <v>469</v>
      </c>
      <c r="J47" s="1210" t="s">
        <v>470</v>
      </c>
      <c r="K47" s="1210" t="s">
        <v>925</v>
      </c>
      <c r="L47" s="1210" t="s">
        <v>974</v>
      </c>
      <c r="M47" s="1210" t="s">
        <v>975</v>
      </c>
      <c r="N47" s="1210" t="s">
        <v>976</v>
      </c>
      <c r="O47" s="1209"/>
      <c r="P47" s="1210" t="s">
        <v>469</v>
      </c>
      <c r="Q47" s="1210" t="s">
        <v>470</v>
      </c>
      <c r="R47" s="1210" t="s">
        <v>925</v>
      </c>
      <c r="S47" s="1210" t="str">
        <f>Z47</f>
        <v>CY23</v>
      </c>
      <c r="T47" s="1210" t="s">
        <v>975</v>
      </c>
      <c r="U47" s="1210" t="s">
        <v>976</v>
      </c>
      <c r="V47" s="1209"/>
      <c r="W47" s="1210" t="s">
        <v>469</v>
      </c>
      <c r="X47" s="1210" t="s">
        <v>470</v>
      </c>
      <c r="Y47" s="1210" t="s">
        <v>925</v>
      </c>
      <c r="Z47" s="1210" t="s">
        <v>974</v>
      </c>
      <c r="AA47" s="1210" t="s">
        <v>975</v>
      </c>
      <c r="AB47" s="1210" t="s">
        <v>976</v>
      </c>
      <c r="AC47" s="1209"/>
      <c r="AD47" s="1210" t="str">
        <f>X47</f>
        <v>CY21</v>
      </c>
      <c r="AE47" s="1210" t="str">
        <f>Y47</f>
        <v>CY22</v>
      </c>
      <c r="AF47" s="1210" t="str">
        <f>Z47</f>
        <v>CY23</v>
      </c>
      <c r="AI47" s="473"/>
      <c r="AJ47" s="473"/>
      <c r="AK47" s="473"/>
      <c r="AL47" s="473"/>
      <c r="AO47" s="1238"/>
    </row>
    <row r="48" spans="2:48" ht="5.25" customHeight="1">
      <c r="E48" s="1257"/>
      <c r="F48" s="1211"/>
      <c r="G48" s="1211"/>
      <c r="H48" s="1128"/>
      <c r="I48" s="1128"/>
      <c r="J48" s="1128"/>
      <c r="K48" s="1128"/>
      <c r="L48" s="1128"/>
      <c r="M48" s="1128"/>
      <c r="N48" s="1128"/>
      <c r="O48" s="1134"/>
      <c r="P48" s="1128"/>
      <c r="Q48" s="1128"/>
      <c r="R48" s="1128"/>
      <c r="S48" s="1128"/>
      <c r="T48" s="1128"/>
      <c r="U48" s="1128"/>
      <c r="V48" s="1134"/>
      <c r="W48" s="1128"/>
      <c r="X48" s="1128"/>
      <c r="Y48" s="1128"/>
      <c r="Z48" s="1128"/>
      <c r="AA48" s="1128"/>
      <c r="AB48" s="1128"/>
      <c r="AC48" s="1134"/>
      <c r="AD48" s="1128"/>
      <c r="AE48" s="1128"/>
      <c r="AF48" s="1128"/>
      <c r="AI48" s="1263"/>
      <c r="AJ48" s="1263"/>
      <c r="AK48" s="1263"/>
      <c r="AL48" s="1263"/>
    </row>
    <row r="49" spans="2:54" ht="3.75" customHeight="1">
      <c r="E49" s="1257"/>
      <c r="F49" s="1211"/>
      <c r="G49" s="1211"/>
      <c r="H49" s="1134"/>
      <c r="I49" s="1128"/>
      <c r="J49" s="1134"/>
      <c r="K49" s="1134"/>
      <c r="L49" s="1134"/>
      <c r="M49" s="1134"/>
      <c r="N49" s="1134"/>
      <c r="O49" s="1134"/>
      <c r="P49" s="1128"/>
      <c r="Q49" s="1128"/>
      <c r="R49" s="1134"/>
      <c r="S49" s="1134"/>
      <c r="T49" s="1134"/>
      <c r="U49" s="1134"/>
      <c r="V49" s="1134"/>
      <c r="W49" s="1128"/>
      <c r="X49" s="1128"/>
      <c r="Y49" s="1134"/>
      <c r="Z49" s="1134"/>
      <c r="AA49" s="1134"/>
      <c r="AB49" s="1134"/>
      <c r="AC49" s="1134"/>
      <c r="AD49" s="1134"/>
      <c r="AE49" s="1128"/>
      <c r="AF49" s="1134"/>
      <c r="AI49" s="1245"/>
      <c r="AJ49" s="1245"/>
      <c r="AK49" s="1245"/>
      <c r="AL49" s="1245"/>
    </row>
    <row r="50" spans="2:54">
      <c r="E50" s="1257"/>
      <c r="F50" s="1212" t="s">
        <v>104</v>
      </c>
      <c r="G50" s="1211"/>
      <c r="H50" s="1128"/>
      <c r="I50" s="1128"/>
      <c r="J50" s="1213" t="e">
        <f>'[8]IS-BS-CF-Reco Tables'!AJ405</f>
        <v>#VALUE!</v>
      </c>
      <c r="K50" s="1213">
        <f>'[8]IS-BS-CF-Reco Tables'!AO405</f>
        <v>40015.893047572463</v>
      </c>
      <c r="L50" s="1213">
        <f>'[8]IS-BS-CF-Reco Tables'!AT405</f>
        <v>38897.304003325124</v>
      </c>
      <c r="M50" s="1213">
        <f>'[8]IS-BS-CF-Reco Tables'!AY405</f>
        <v>36490.81263554786</v>
      </c>
      <c r="N50" s="1213">
        <f>'[8]IS-BS-CF-Reco Tables'!BD405</f>
        <v>36115.624440187858</v>
      </c>
      <c r="O50" s="1129"/>
      <c r="P50" s="1213">
        <v>18996.40586563047</v>
      </c>
      <c r="Q50" s="1213">
        <v>64803.22358858872</v>
      </c>
      <c r="R50" s="1213">
        <v>54181.712832926452</v>
      </c>
      <c r="S50" s="1213">
        <v>50424.821935443571</v>
      </c>
      <c r="T50" s="1213">
        <v>45718.183483400811</v>
      </c>
      <c r="U50" s="1213">
        <v>43900.467606180173</v>
      </c>
      <c r="V50" s="1129"/>
      <c r="W50" s="1213">
        <v>18996.40586563047</v>
      </c>
      <c r="X50" s="1213">
        <v>61074.747393824291</v>
      </c>
      <c r="Y50" s="1213">
        <v>46311.013473931809</v>
      </c>
      <c r="Z50" s="1213">
        <v>42892.880945421908</v>
      </c>
      <c r="AA50" s="1213">
        <v>39509.4479135863</v>
      </c>
      <c r="AB50" s="1213">
        <v>37751.239372847973</v>
      </c>
      <c r="AC50" s="1134"/>
      <c r="AD50" s="1213">
        <f>AD16</f>
        <v>9445.6560000000009</v>
      </c>
      <c r="AE50" s="1213">
        <f t="shared" ref="AE50:AF50" si="5">AE16</f>
        <v>10065.734</v>
      </c>
      <c r="AF50" s="1213">
        <f t="shared" si="5"/>
        <v>10702.237999999999</v>
      </c>
      <c r="AI50" s="1263"/>
      <c r="AJ50" s="1263"/>
      <c r="AK50" s="1263"/>
      <c r="AL50" s="1263"/>
    </row>
    <row r="51" spans="2:54" ht="14.5" outlineLevel="1">
      <c r="E51" s="1257"/>
      <c r="F51" s="1214" t="s">
        <v>269</v>
      </c>
      <c r="G51" s="1211"/>
      <c r="H51" s="1128"/>
      <c r="I51" s="1128"/>
      <c r="J51" s="1215">
        <f>'[8]Ferrous Minerals'!AK62</f>
        <v>5748.7674781679998</v>
      </c>
      <c r="K51" s="1215">
        <f>'[8]Ferrous Minerals'!AP62</f>
        <v>5388.3850000000002</v>
      </c>
      <c r="L51" s="1215">
        <f>'[8]Ferrous Minerals'!AU62</f>
        <v>3932.4559999999992</v>
      </c>
      <c r="M51" s="1215">
        <f>'[8]Ferrous Minerals'!AZ62</f>
        <v>3185.3263999999999</v>
      </c>
      <c r="N51" s="1215">
        <f>'[8]Ferrous Minerals'!BE62</f>
        <v>3013.4839999999995</v>
      </c>
      <c r="O51" s="1134"/>
      <c r="P51" s="1128"/>
      <c r="Q51" s="1216">
        <v>6953.3076403679997</v>
      </c>
      <c r="R51" s="1216">
        <v>6070.8599046499985</v>
      </c>
      <c r="S51" s="1216">
        <v>4986.9643237999999</v>
      </c>
      <c r="T51" s="1215">
        <v>4207.0729564039993</v>
      </c>
      <c r="U51" s="1215">
        <v>4207.0729564039993</v>
      </c>
      <c r="V51" s="1217"/>
      <c r="W51" s="1216"/>
      <c r="X51" s="1216">
        <v>6382.3201237679996</v>
      </c>
      <c r="Y51" s="1216">
        <v>5388.3850000000002</v>
      </c>
      <c r="Z51" s="1216">
        <v>3932.4559999999992</v>
      </c>
      <c r="AA51" s="1215">
        <v>3185.3263999999999</v>
      </c>
      <c r="AB51" s="1215">
        <v>3013.4839999999995</v>
      </c>
      <c r="AC51" s="1134"/>
      <c r="AD51" s="1128"/>
      <c r="AE51" s="1128"/>
      <c r="AF51" s="1128"/>
      <c r="AI51" s="1263"/>
      <c r="AJ51" s="1263"/>
      <c r="AK51" s="1263"/>
      <c r="AL51" s="1263"/>
    </row>
    <row r="52" spans="2:54" ht="14.5" outlineLevel="1">
      <c r="E52" s="1257"/>
      <c r="F52" s="1214" t="s">
        <v>1033</v>
      </c>
      <c r="G52" s="1211"/>
      <c r="H52" s="1128"/>
      <c r="I52" s="1128"/>
      <c r="J52" s="1216">
        <f>'[8]Base Metals'!AE370</f>
        <v>2214.7440514012383</v>
      </c>
      <c r="K52" s="1216">
        <f>'[8]Base Metals'!AJ370</f>
        <v>2328.4124925000001</v>
      </c>
      <c r="L52" s="1216">
        <f>'[8]Base Metals'!AO370</f>
        <v>2408.4642924999998</v>
      </c>
      <c r="M52" s="1216">
        <f>'[8]Base Metals'!AT370</f>
        <v>2408.4642924999998</v>
      </c>
      <c r="N52" s="1216">
        <f>'[8]Base Metals'!AY370</f>
        <v>2408.4642924999998</v>
      </c>
      <c r="O52" s="1134"/>
      <c r="P52" s="1128"/>
      <c r="Q52" s="1216">
        <v>2247.8538126966873</v>
      </c>
      <c r="R52" s="1216">
        <v>2444.2757174999997</v>
      </c>
      <c r="S52" s="1216">
        <v>2528.8462175000004</v>
      </c>
      <c r="T52" s="1216">
        <v>2528.8462175000004</v>
      </c>
      <c r="U52" s="1216">
        <v>2528.8462175000004</v>
      </c>
      <c r="V52" s="1217"/>
      <c r="W52" s="1216"/>
      <c r="X52" s="1216">
        <v>2247.8538126966873</v>
      </c>
      <c r="Y52" s="1216">
        <v>2444.2757174999997</v>
      </c>
      <c r="Z52" s="1216">
        <v>2528.8462175000004</v>
      </c>
      <c r="AA52" s="1216">
        <v>2528.8462175000004</v>
      </c>
      <c r="AB52" s="1216">
        <v>2528.8462175000004</v>
      </c>
      <c r="AC52" s="1134"/>
      <c r="AD52" s="1128"/>
      <c r="AE52" s="1128"/>
      <c r="AF52" s="1128"/>
      <c r="AI52" s="1263"/>
      <c r="AJ52" s="1263"/>
      <c r="AK52" s="1263"/>
      <c r="AL52" s="1263"/>
    </row>
    <row r="53" spans="2:54" ht="14.5" outlineLevel="1">
      <c r="E53" s="1257"/>
      <c r="F53" s="1214" t="s">
        <v>978</v>
      </c>
      <c r="G53" s="1211"/>
      <c r="H53" s="1128"/>
      <c r="I53" s="1128"/>
      <c r="J53" s="1216">
        <f>'[8]Base Metals'!AE293</f>
        <v>2978.4541769931484</v>
      </c>
      <c r="K53" s="1216">
        <f>'[8]Base Metals'!AJ293</f>
        <v>3388.7281254599329</v>
      </c>
      <c r="L53" s="1216">
        <f>'[8]Base Metals'!AO293</f>
        <v>3533.0815035153601</v>
      </c>
      <c r="M53" s="1216">
        <f>'[8]Base Metals'!AT293</f>
        <v>4044.251809218702</v>
      </c>
      <c r="N53" s="1216">
        <f>'[8]Base Metals'!AY293</f>
        <v>3555.6826059187028</v>
      </c>
      <c r="O53" s="1134"/>
      <c r="P53" s="1128"/>
      <c r="Q53" s="1216">
        <v>2824.8893612592456</v>
      </c>
      <c r="R53" s="1216">
        <v>3065.4493913399328</v>
      </c>
      <c r="S53" s="1216">
        <v>3079.0538443953583</v>
      </c>
      <c r="T53" s="1216">
        <v>3104.2928500987032</v>
      </c>
      <c r="U53" s="1216">
        <v>3093.2659717987021</v>
      </c>
      <c r="V53" s="1217"/>
      <c r="W53" s="1216"/>
      <c r="X53" s="1216">
        <v>3058.9835456940282</v>
      </c>
      <c r="Y53" s="1216">
        <v>3586.1176163399332</v>
      </c>
      <c r="Z53" s="1216">
        <v>3729.6333193953587</v>
      </c>
      <c r="AA53" s="1216">
        <v>4241.6413000987031</v>
      </c>
      <c r="AB53" s="1216">
        <v>3752.2344217987024</v>
      </c>
      <c r="AC53" s="1134"/>
      <c r="AD53" s="1128"/>
      <c r="AE53" s="1128"/>
      <c r="AF53" s="1128"/>
      <c r="AI53" s="1263"/>
      <c r="AJ53" s="1263"/>
      <c r="AK53" s="1263"/>
      <c r="AL53" s="1263"/>
    </row>
    <row r="54" spans="2:54" ht="14.5" outlineLevel="1">
      <c r="E54" s="1257"/>
      <c r="F54" s="1214" t="s">
        <v>269</v>
      </c>
      <c r="G54" s="1211"/>
      <c r="H54" s="1128"/>
      <c r="I54" s="1128"/>
      <c r="J54" s="1216" t="e">
        <f>[8]Coal!AE35</f>
        <v>#VALUE!</v>
      </c>
      <c r="K54" s="1216">
        <f>[8]Coal!AJ35</f>
        <v>-156.79130314232918</v>
      </c>
      <c r="L54" s="1216">
        <f>[8]Coal!AO35</f>
        <v>-274.72914972273571</v>
      </c>
      <c r="M54" s="1216">
        <f>[8]Coal!AP35</f>
        <v>-254.11999999999995</v>
      </c>
      <c r="N54" s="1216">
        <f>[8]Coal!AQ35</f>
        <v>-11.203049907578588</v>
      </c>
      <c r="O54" s="1134"/>
      <c r="P54" s="1128"/>
      <c r="Q54" s="1216">
        <v>452.34436626213011</v>
      </c>
      <c r="R54" s="1216">
        <v>375.38051978743073</v>
      </c>
      <c r="S54" s="1216">
        <v>146.29816312384474</v>
      </c>
      <c r="T54" s="1216">
        <v>-254.11999999999995</v>
      </c>
      <c r="U54" s="1216">
        <v>129.13938770794823</v>
      </c>
      <c r="V54" s="1217"/>
      <c r="W54" s="1216"/>
      <c r="X54" s="1216">
        <v>207.38735678200084</v>
      </c>
      <c r="Y54" s="1216">
        <v>-156.79130314232918</v>
      </c>
      <c r="Z54" s="1216">
        <v>-274.72914972273571</v>
      </c>
      <c r="AA54" s="1216">
        <v>-254.11999999999995</v>
      </c>
      <c r="AB54" s="1216">
        <v>-11.203049907578588</v>
      </c>
      <c r="AC54" s="1134"/>
      <c r="AD54" s="1128"/>
      <c r="AE54" s="1128"/>
      <c r="AF54" s="1128"/>
      <c r="AI54" s="1263"/>
      <c r="AJ54" s="1263"/>
      <c r="AK54" s="1263"/>
      <c r="AL54" s="1263"/>
    </row>
    <row r="55" spans="2:54" ht="8.25" customHeight="1" outlineLevel="1">
      <c r="E55" s="1257"/>
      <c r="F55" s="1211"/>
      <c r="G55" s="1211"/>
      <c r="H55" s="1134"/>
      <c r="I55" s="1128"/>
      <c r="J55" s="1134"/>
      <c r="K55" s="1134"/>
      <c r="L55" s="1134"/>
      <c r="M55" s="1134"/>
      <c r="N55" s="1134"/>
      <c r="O55" s="1134"/>
      <c r="P55" s="1128"/>
      <c r="Q55" s="1128"/>
      <c r="R55" s="1134"/>
      <c r="S55" s="1134"/>
      <c r="T55" s="1134"/>
      <c r="U55" s="1134"/>
      <c r="V55" s="1134"/>
      <c r="W55" s="1128"/>
      <c r="X55" s="1128"/>
      <c r="Y55" s="1134"/>
      <c r="Z55" s="1134"/>
      <c r="AA55" s="1134"/>
      <c r="AB55" s="1134"/>
      <c r="AC55" s="1134"/>
      <c r="AD55" s="1134"/>
      <c r="AE55" s="1128"/>
      <c r="AF55" s="1134"/>
      <c r="AI55" s="1245"/>
      <c r="AJ55" s="1245"/>
      <c r="AK55" s="1245"/>
      <c r="AL55" s="1245"/>
    </row>
    <row r="56" spans="2:54">
      <c r="E56" s="1257"/>
      <c r="F56" s="1212" t="s">
        <v>130</v>
      </c>
      <c r="G56" s="1218"/>
      <c r="H56" s="1213">
        <f>[8]Summary!J13</f>
        <v>17987</v>
      </c>
      <c r="I56" s="1213">
        <f>'[8]IS-BS-CF-Reco Tables'!AE422</f>
        <v>21535</v>
      </c>
      <c r="J56" s="1213">
        <f ca="1">Model!AE1296</f>
        <v>0</v>
      </c>
      <c r="K56" s="1213">
        <f>'[8]IS-BS-CF-Reco Tables'!AO422</f>
        <v>19617.965464697885</v>
      </c>
      <c r="L56" s="1213">
        <f>'[8]IS-BS-CF-Reco Tables'!AT422</f>
        <v>17525.561824735887</v>
      </c>
      <c r="M56" s="1213">
        <f>'[8]IS-BS-CF-Reco Tables'!AY422</f>
        <v>17061.207608504828</v>
      </c>
      <c r="N56" s="1213">
        <f>'[8]IS-BS-CF-Reco Tables'!BD422</f>
        <v>17205.141603813485</v>
      </c>
      <c r="O56" s="1129"/>
      <c r="P56" s="1213">
        <v>18996.40586563047</v>
      </c>
      <c r="Q56" s="1213">
        <v>44514.807295463674</v>
      </c>
      <c r="R56" s="1213">
        <v>33097.076401671773</v>
      </c>
      <c r="S56" s="1213">
        <v>28472.927359907386</v>
      </c>
      <c r="T56" s="1213">
        <v>26329.828051286153</v>
      </c>
      <c r="U56" s="1213">
        <v>24661.848248907125</v>
      </c>
      <c r="V56" s="1129"/>
      <c r="W56" s="1213">
        <v>18996.40586563047</v>
      </c>
      <c r="X56" s="1213">
        <v>40953.473127999052</v>
      </c>
      <c r="Y56" s="1213">
        <v>25530.344124321888</v>
      </c>
      <c r="Z56" s="1213">
        <v>21302.258584393727</v>
      </c>
      <c r="AA56" s="1213">
        <v>19993.415242954201</v>
      </c>
      <c r="AB56" s="1213">
        <v>18798.558738336629</v>
      </c>
      <c r="AC56" s="1129"/>
      <c r="AD56" s="1213">
        <f t="shared" ref="AD56:AF57" si="6">AE17</f>
        <v>4002.0509999999999</v>
      </c>
      <c r="AE56" s="1213">
        <f t="shared" si="6"/>
        <v>4250.3590000000004</v>
      </c>
      <c r="AF56" s="1213">
        <f t="shared" si="6"/>
        <v>4432.0510000000004</v>
      </c>
      <c r="AH56" s="634"/>
      <c r="AJ56" s="634"/>
      <c r="AM56" s="1"/>
      <c r="AN56" s="1396">
        <v>2022</v>
      </c>
      <c r="AO56" s="1396"/>
      <c r="AP56" s="1396"/>
      <c r="AQ56" s="1396">
        <v>2023</v>
      </c>
      <c r="AR56" s="1396"/>
      <c r="AS56" s="1396"/>
      <c r="AW56" s="1396">
        <v>2022</v>
      </c>
      <c r="AX56" s="1396"/>
      <c r="AY56" s="1396"/>
      <c r="AZ56" s="1396">
        <v>2023</v>
      </c>
      <c r="BA56" s="1396"/>
      <c r="BB56" s="1396"/>
    </row>
    <row r="57" spans="2:54">
      <c r="B57" s="1260"/>
      <c r="C57" s="1" t="s">
        <v>0</v>
      </c>
      <c r="E57" s="1257"/>
      <c r="F57" s="1212" t="s">
        <v>450</v>
      </c>
      <c r="G57" s="1218"/>
      <c r="H57" s="1213">
        <f>[8]Summary!J24</f>
        <v>8083</v>
      </c>
      <c r="I57" s="1213">
        <f>[8]Summary!N24</f>
        <v>13415</v>
      </c>
      <c r="J57" s="1213" t="e">
        <f>'[8]IS-BS-CF-Reco Tables'!AJ309</f>
        <v>#VALUE!</v>
      </c>
      <c r="K57" s="1213">
        <f>'[8]IS-BS-CF-Reco Tables'!AO309</f>
        <v>7460.9053402909149</v>
      </c>
      <c r="L57" s="1213">
        <f>'[8]IS-BS-CF-Reco Tables'!AT309</f>
        <v>5844.9195240149384</v>
      </c>
      <c r="M57" s="1213"/>
      <c r="N57" s="1213"/>
      <c r="O57" s="1129"/>
      <c r="P57" s="1213">
        <v>9860.3908430627525</v>
      </c>
      <c r="Q57" s="1213">
        <v>27996.228492962669</v>
      </c>
      <c r="R57" s="1213">
        <v>19401.741819156086</v>
      </c>
      <c r="S57" s="1213">
        <v>15588.074850317575</v>
      </c>
      <c r="T57" s="1213"/>
      <c r="U57" s="1213"/>
      <c r="V57" s="1129"/>
      <c r="W57" s="1213">
        <v>9860.3908430627525</v>
      </c>
      <c r="X57" s="1213">
        <v>24826.641083919156</v>
      </c>
      <c r="Y57" s="1213">
        <v>12722.922347356278</v>
      </c>
      <c r="Z57" s="1213">
        <v>9206.1796401104148</v>
      </c>
      <c r="AA57" s="1213"/>
      <c r="AB57" s="1213"/>
      <c r="AC57" s="1129"/>
      <c r="AD57" s="1213">
        <f t="shared" si="6"/>
        <v>-298.57100000000003</v>
      </c>
      <c r="AE57" s="1213">
        <f t="shared" si="6"/>
        <v>808.66100000000006</v>
      </c>
      <c r="AF57" s="1213">
        <f t="shared" si="6"/>
        <v>1652.152</v>
      </c>
      <c r="AG57" s="1264"/>
      <c r="AH57" s="1265"/>
      <c r="AI57" s="1263"/>
      <c r="AJ57" s="1263"/>
      <c r="AK57" s="1263"/>
      <c r="AL57" s="1263"/>
      <c r="AM57" s="1"/>
      <c r="AN57" s="473">
        <v>1</v>
      </c>
      <c r="AO57" s="473">
        <v>2</v>
      </c>
      <c r="AP57" s="473">
        <v>3</v>
      </c>
      <c r="AQ57" s="473">
        <v>1</v>
      </c>
      <c r="AR57" s="473">
        <v>2</v>
      </c>
      <c r="AS57" s="473">
        <v>3</v>
      </c>
      <c r="AW57" s="473">
        <v>1</v>
      </c>
      <c r="AX57" s="473">
        <v>2</v>
      </c>
      <c r="AY57" s="473">
        <v>3</v>
      </c>
      <c r="AZ57" s="473">
        <v>1</v>
      </c>
      <c r="BA57" s="473">
        <v>2</v>
      </c>
      <c r="BB57" s="473">
        <v>3</v>
      </c>
    </row>
    <row r="58" spans="2:54">
      <c r="B58" s="1260"/>
      <c r="E58" s="1257"/>
      <c r="F58" s="1212" t="s">
        <v>979</v>
      </c>
      <c r="G58" s="1218"/>
      <c r="H58" s="1213"/>
      <c r="I58" s="1213">
        <f>I57+547</f>
        <v>13962</v>
      </c>
      <c r="J58" s="1213" t="e">
        <f>J57+600</f>
        <v>#VALUE!</v>
      </c>
      <c r="K58" s="1213">
        <f>K57+600</f>
        <v>8060.9053402909149</v>
      </c>
      <c r="L58" s="1213">
        <f>L57+600</f>
        <v>6444.9195240149384</v>
      </c>
      <c r="M58" s="1213"/>
      <c r="N58" s="1213"/>
      <c r="O58" s="1129"/>
      <c r="P58" s="1213">
        <v>10407.390843062753</v>
      </c>
      <c r="Q58" s="1213">
        <v>28596.228492962669</v>
      </c>
      <c r="R58" s="1213">
        <v>20001.741819156086</v>
      </c>
      <c r="S58" s="1213">
        <v>16188.074850317575</v>
      </c>
      <c r="T58" s="1213"/>
      <c r="U58" s="1213"/>
      <c r="V58" s="1129"/>
      <c r="W58" s="1213">
        <v>10407.390843062753</v>
      </c>
      <c r="X58" s="1213">
        <v>25426.641083919156</v>
      </c>
      <c r="Y58" s="1213">
        <v>13322.922347356278</v>
      </c>
      <c r="Z58" s="1213">
        <v>9806.1796401104148</v>
      </c>
      <c r="AA58" s="1213"/>
      <c r="AB58" s="1213"/>
      <c r="AC58" s="1129"/>
      <c r="AD58" s="1213">
        <f>AD57+600</f>
        <v>301.42899999999997</v>
      </c>
      <c r="AE58" s="1213">
        <f>AE57+600</f>
        <v>1408.6610000000001</v>
      </c>
      <c r="AF58" s="1213">
        <f>AF57+600</f>
        <v>2252.152</v>
      </c>
      <c r="AG58" s="1264"/>
      <c r="AI58" s="1263"/>
      <c r="AJ58" s="1263"/>
      <c r="AK58" s="1263"/>
      <c r="AL58" s="1263"/>
      <c r="AM58" s="1" t="s">
        <v>1002</v>
      </c>
      <c r="AN58" s="634">
        <f>K50</f>
        <v>40015.893047572463</v>
      </c>
      <c r="AO58" s="1239">
        <f>R50</f>
        <v>54181.712832926452</v>
      </c>
      <c r="AP58" s="1245">
        <f>Y50</f>
        <v>46311.013473931809</v>
      </c>
      <c r="AQ58" s="1239">
        <f>L50</f>
        <v>38897.304003325124</v>
      </c>
      <c r="AR58" s="1245">
        <f>S50</f>
        <v>50424.821935443571</v>
      </c>
      <c r="AS58" s="1245">
        <f>Z50</f>
        <v>42892.880945421908</v>
      </c>
      <c r="AV58" s="1" t="str">
        <f>AM58</f>
        <v>Iron Ore - Fines</v>
      </c>
      <c r="AW58" s="1263">
        <f>AN58/AN$63</f>
        <v>0.78516993292297965</v>
      </c>
      <c r="AX58" s="1263">
        <f t="shared" ref="AX58:BB62" si="7">AO58/AO$63</f>
        <v>0.81922610789152173</v>
      </c>
      <c r="AY58" s="1263">
        <f t="shared" si="7"/>
        <v>0.80438770027641626</v>
      </c>
      <c r="AZ58" s="1263">
        <f t="shared" si="7"/>
        <v>0.80206288135250714</v>
      </c>
      <c r="BA58" s="1263">
        <f t="shared" si="7"/>
        <v>0.82439320417408202</v>
      </c>
      <c r="BB58" s="1263">
        <f t="shared" si="7"/>
        <v>0.81222537847094733</v>
      </c>
    </row>
    <row r="59" spans="2:54" outlineLevel="1">
      <c r="B59" s="1260"/>
      <c r="E59" s="1257"/>
      <c r="F59" s="1212" t="s">
        <v>980</v>
      </c>
      <c r="G59" s="1218"/>
      <c r="H59" s="1213"/>
      <c r="I59" s="1213"/>
      <c r="J59" s="1213" t="e">
        <f>'[8]IS-BS-CF-Reco Tables'!AJ49</f>
        <v>#VALUE!</v>
      </c>
      <c r="K59" s="1213">
        <f>'[8]IS-BS-CF-Reco Tables'!AO49</f>
        <v>4482.8896394093663</v>
      </c>
      <c r="L59" s="1213">
        <f>'[8]IS-BS-CF-Reco Tables'!AT49</f>
        <v>3855.1685474207652</v>
      </c>
      <c r="M59" s="1213"/>
      <c r="N59" s="1213"/>
      <c r="O59" s="1129"/>
      <c r="P59" s="1213"/>
      <c r="Q59" s="1213">
        <v>11831.701191409184</v>
      </c>
      <c r="R59" s="1213">
        <v>8526.6229205015316</v>
      </c>
      <c r="S59" s="1213">
        <v>7139.3782079722159</v>
      </c>
      <c r="T59" s="1213"/>
      <c r="U59" s="1213"/>
      <c r="V59" s="1129"/>
      <c r="W59" s="1213"/>
      <c r="X59" s="1213">
        <v>10763.300941169799</v>
      </c>
      <c r="Y59" s="1213">
        <v>6256.6032372965674</v>
      </c>
      <c r="Z59" s="1213">
        <v>4988.1775753181164</v>
      </c>
      <c r="AA59" s="1213"/>
      <c r="AB59" s="1213"/>
      <c r="AC59" s="1129"/>
      <c r="AD59" s="1213">
        <f>AD60*5130</f>
        <v>846.45</v>
      </c>
      <c r="AE59" s="1213">
        <f>AE60*5130</f>
        <v>846.45</v>
      </c>
      <c r="AF59" s="1213">
        <f>AF60*5130</f>
        <v>1200.42</v>
      </c>
      <c r="AG59" s="1264"/>
      <c r="AI59" s="1263"/>
      <c r="AJ59" s="1263"/>
      <c r="AK59" s="1263"/>
      <c r="AL59" s="1263"/>
      <c r="AM59" s="1" t="s">
        <v>977</v>
      </c>
      <c r="AN59" s="634">
        <f>K51</f>
        <v>5388.3850000000002</v>
      </c>
      <c r="AO59" s="1239">
        <f>R51</f>
        <v>6070.8599046499985</v>
      </c>
      <c r="AP59" s="1245">
        <f>Y51</f>
        <v>5388.3850000000002</v>
      </c>
      <c r="AQ59" s="1239">
        <f>L51</f>
        <v>3932.4559999999992</v>
      </c>
      <c r="AR59" s="1245">
        <f>S51</f>
        <v>4986.9643237999999</v>
      </c>
      <c r="AS59" s="1245">
        <f>Z51</f>
        <v>3932.4559999999992</v>
      </c>
      <c r="AV59" s="1" t="str">
        <f t="shared" ref="AV59:AV62" si="8">AM59</f>
        <v>Iron Ore - Pellets</v>
      </c>
      <c r="AW59" s="1263">
        <f t="shared" ref="AW59:AW62" si="9">AN59/AN$63</f>
        <v>0.1057279387463239</v>
      </c>
      <c r="AX59" s="1263">
        <f t="shared" si="7"/>
        <v>9.1791245998017856E-2</v>
      </c>
      <c r="AY59" s="1263">
        <f t="shared" si="7"/>
        <v>9.3592221228190511E-2</v>
      </c>
      <c r="AZ59" s="1263">
        <f t="shared" si="7"/>
        <v>8.1087290519731875E-2</v>
      </c>
      <c r="BA59" s="1263">
        <f t="shared" si="7"/>
        <v>8.1531661197786862E-2</v>
      </c>
      <c r="BB59" s="1263">
        <f t="shared" si="7"/>
        <v>7.446551717951827E-2</v>
      </c>
    </row>
    <row r="60" spans="2:54">
      <c r="B60" s="1260"/>
      <c r="E60" s="1257"/>
      <c r="F60" s="1212" t="s">
        <v>981</v>
      </c>
      <c r="G60" s="1218"/>
      <c r="H60" s="1213"/>
      <c r="I60" s="1213"/>
      <c r="J60" s="1219" t="e">
        <f>'[8]IS-BS-CF-Reco Tables'!AJ50</f>
        <v>#VALUE!</v>
      </c>
      <c r="K60" s="1219">
        <f>'[8]IS-BS-CF-Reco Tables'!AO50</f>
        <v>0.87392832742012594</v>
      </c>
      <c r="L60" s="1219">
        <f>'[8]IS-BS-CF-Reco Tables'!AT50</f>
        <v>0.75155564191270152</v>
      </c>
      <c r="M60" s="1219"/>
      <c r="N60" s="1219"/>
      <c r="O60" s="1129"/>
      <c r="P60" s="1213"/>
      <c r="Q60" s="1219">
        <v>2.3065610943983157</v>
      </c>
      <c r="R60" s="1219">
        <v>1.6622442011393772</v>
      </c>
      <c r="S60" s="1219">
        <v>1.3918042508257911</v>
      </c>
      <c r="T60" s="1219"/>
      <c r="U60" s="1219"/>
      <c r="V60" s="1129"/>
      <c r="W60" s="1213"/>
      <c r="X60" s="1219">
        <v>2.0982790890822161</v>
      </c>
      <c r="Y60" s="1219">
        <v>1.2197094379558124</v>
      </c>
      <c r="Z60" s="1219">
        <v>0.97243296978568772</v>
      </c>
      <c r="AA60" s="1219"/>
      <c r="AB60" s="1219"/>
      <c r="AC60" s="1129"/>
      <c r="AD60" s="1219">
        <f>AE20</f>
        <v>0.16500000000000001</v>
      </c>
      <c r="AE60" s="1219">
        <f>AF20</f>
        <v>0.16500000000000001</v>
      </c>
      <c r="AF60" s="1219">
        <f>AG20</f>
        <v>0.23400000000000001</v>
      </c>
      <c r="AG60" s="1264"/>
      <c r="AI60" s="1263"/>
      <c r="AJ60" s="1263"/>
      <c r="AK60" s="1263"/>
      <c r="AL60" s="1263"/>
      <c r="AM60" s="1" t="s">
        <v>146</v>
      </c>
      <c r="AN60" s="634">
        <f>K52</f>
        <v>2328.4124925000001</v>
      </c>
      <c r="AO60" s="1239">
        <f>R52</f>
        <v>2444.2757174999997</v>
      </c>
      <c r="AP60" s="1245">
        <f>Y52</f>
        <v>2444.2757174999997</v>
      </c>
      <c r="AQ60" s="1239">
        <f>L52</f>
        <v>2408.4642924999998</v>
      </c>
      <c r="AR60" s="1245">
        <f>S52</f>
        <v>2528.8462175000004</v>
      </c>
      <c r="AS60" s="1245">
        <f>Z52</f>
        <v>2528.8462175000004</v>
      </c>
      <c r="AV60" s="1" t="str">
        <f t="shared" si="8"/>
        <v>Copper</v>
      </c>
      <c r="AW60" s="1263">
        <f t="shared" si="9"/>
        <v>4.5686834438002359E-2</v>
      </c>
      <c r="AX60" s="1263">
        <f t="shared" si="7"/>
        <v>3.6957386135722269E-2</v>
      </c>
      <c r="AY60" s="1263">
        <f t="shared" si="7"/>
        <v>4.245524284084267E-2</v>
      </c>
      <c r="AZ60" s="1263">
        <f t="shared" si="7"/>
        <v>4.9662562986680085E-2</v>
      </c>
      <c r="BA60" s="1263">
        <f t="shared" si="7"/>
        <v>4.1343995994221922E-2</v>
      </c>
      <c r="BB60" s="1263">
        <f t="shared" si="7"/>
        <v>4.7886573035682056E-2</v>
      </c>
    </row>
    <row r="61" spans="2:54">
      <c r="B61" s="1260"/>
      <c r="E61" s="1257"/>
      <c r="F61" s="1212" t="s">
        <v>982</v>
      </c>
      <c r="G61" s="1218"/>
      <c r="H61" s="1213"/>
      <c r="I61" s="1213"/>
      <c r="J61" s="1220" t="e">
        <f>J60/$F$3</f>
        <v>#VALUE!</v>
      </c>
      <c r="K61" s="1220">
        <f>K60/$F$3</f>
        <v>3.7498882339544008E-2</v>
      </c>
      <c r="L61" s="1220">
        <f>L60/$F$3</f>
        <v>3.2248063946960968E-2</v>
      </c>
      <c r="M61" s="1220"/>
      <c r="N61" s="1220"/>
      <c r="O61" s="1129"/>
      <c r="P61" s="1213"/>
      <c r="Q61" s="1220">
        <v>0.12143834656571637</v>
      </c>
      <c r="R61" s="1220">
        <v>8.7515647370039779E-2</v>
      </c>
      <c r="S61" s="1220">
        <v>7.3277229627212365E-2</v>
      </c>
      <c r="T61" s="1220"/>
      <c r="U61" s="1220"/>
      <c r="V61" s="1221"/>
      <c r="W61" s="1213"/>
      <c r="X61" s="1220">
        <v>0.11047248816881278</v>
      </c>
      <c r="Y61" s="1220">
        <v>6.4216594043693079E-2</v>
      </c>
      <c r="Z61" s="1220">
        <v>5.1197712596278741E-2</v>
      </c>
      <c r="AA61" s="1220"/>
      <c r="AB61" s="1220"/>
      <c r="AC61" s="1221"/>
      <c r="AD61" s="1220">
        <f>AD60/$F$3</f>
        <v>7.0798890388299738E-3</v>
      </c>
      <c r="AE61" s="1220">
        <f>AE60/$F$3</f>
        <v>7.0798890388299738E-3</v>
      </c>
      <c r="AF61" s="1220">
        <f>AF60/$F$3</f>
        <v>1.0040569909613417E-2</v>
      </c>
      <c r="AG61" s="1264"/>
      <c r="AI61" s="1263"/>
      <c r="AJ61" s="1263"/>
      <c r="AK61" s="1263"/>
      <c r="AL61" s="1263"/>
      <c r="AM61" s="1" t="s">
        <v>978</v>
      </c>
      <c r="AN61" s="634">
        <f>K53</f>
        <v>3388.7281254599329</v>
      </c>
      <c r="AO61" s="1239">
        <f>R53</f>
        <v>3065.4493913399328</v>
      </c>
      <c r="AP61" s="1245">
        <f>Y53</f>
        <v>3586.1176163399332</v>
      </c>
      <c r="AQ61" s="1239">
        <f>L53</f>
        <v>3533.0815035153601</v>
      </c>
      <c r="AR61" s="1245">
        <f>S53</f>
        <v>3079.0538443953583</v>
      </c>
      <c r="AS61" s="1245">
        <f>Z53</f>
        <v>3729.6333193953587</v>
      </c>
      <c r="AV61" s="1" t="str">
        <f t="shared" si="8"/>
        <v>Nickel</v>
      </c>
      <c r="AW61" s="1263">
        <f t="shared" si="9"/>
        <v>6.6491766953655454E-2</v>
      </c>
      <c r="AX61" s="1263">
        <f t="shared" si="7"/>
        <v>4.6349516146704801E-2</v>
      </c>
      <c r="AY61" s="1263">
        <f t="shared" si="7"/>
        <v>6.2288183435073446E-2</v>
      </c>
      <c r="AZ61" s="1263">
        <f t="shared" si="7"/>
        <v>7.2852183547747557E-2</v>
      </c>
      <c r="BA61" s="1263">
        <f t="shared" si="7"/>
        <v>5.0339316375878157E-2</v>
      </c>
      <c r="BB61" s="1263">
        <f t="shared" si="7"/>
        <v>7.0624839545245746E-2</v>
      </c>
    </row>
    <row r="62" spans="2:54" ht="14.25" customHeight="1">
      <c r="E62" s="1257"/>
      <c r="F62" s="1212" t="s">
        <v>302</v>
      </c>
      <c r="G62" s="1218"/>
      <c r="H62" s="1213"/>
      <c r="I62" s="1222">
        <v>-4200</v>
      </c>
      <c r="J62" s="1222">
        <f>'[8]IS-BS-CF-Reco Tables'!AJ238</f>
        <v>-5800</v>
      </c>
      <c r="K62" s="1222">
        <f>'[8]IS-BS-CF-Reco Tables'!AO238</f>
        <v>-5500</v>
      </c>
      <c r="L62" s="1222">
        <f>'[8]IS-BS-CF-Reco Tables'!AT238</f>
        <v>-5500</v>
      </c>
      <c r="M62" s="1222"/>
      <c r="N62" s="1222"/>
      <c r="O62" s="1223"/>
      <c r="P62" s="1224">
        <v>-4620</v>
      </c>
      <c r="Q62" s="1224">
        <v>-5800</v>
      </c>
      <c r="R62" s="1224">
        <v>-5500</v>
      </c>
      <c r="S62" s="1224">
        <v>-5500</v>
      </c>
      <c r="T62" s="1222"/>
      <c r="U62" s="1222"/>
      <c r="V62" s="1223"/>
      <c r="W62" s="1224">
        <v>-4620</v>
      </c>
      <c r="X62" s="1224">
        <v>-5800</v>
      </c>
      <c r="Y62" s="1224">
        <v>-5500</v>
      </c>
      <c r="Z62" s="1224">
        <v>-5500</v>
      </c>
      <c r="AA62" s="1222"/>
      <c r="AB62" s="1222"/>
      <c r="AC62" s="1223"/>
      <c r="AD62" s="1222">
        <v>-5530</v>
      </c>
      <c r="AE62" s="1222">
        <v>-5267</v>
      </c>
      <c r="AF62" s="1222">
        <v>-5267</v>
      </c>
      <c r="AI62" s="1245"/>
      <c r="AJ62" s="1245"/>
      <c r="AK62" s="1245"/>
      <c r="AL62" s="1245"/>
      <c r="AM62" s="1" t="s">
        <v>269</v>
      </c>
      <c r="AN62" s="634">
        <f>K54</f>
        <v>-156.79130314232918</v>
      </c>
      <c r="AO62" s="1239">
        <f>R54</f>
        <v>375.38051978743073</v>
      </c>
      <c r="AP62" s="1245">
        <f>Y54</f>
        <v>-156.79130314232918</v>
      </c>
      <c r="AQ62" s="1239">
        <f>L54</f>
        <v>-274.72914972273571</v>
      </c>
      <c r="AR62" s="1245">
        <f>S54</f>
        <v>146.29816312384474</v>
      </c>
      <c r="AS62" s="1245">
        <f>Z54</f>
        <v>-274.72914972273571</v>
      </c>
      <c r="AV62" s="1" t="str">
        <f t="shared" si="8"/>
        <v>Coal</v>
      </c>
      <c r="AW62" s="1263">
        <f t="shared" si="9"/>
        <v>-3.0764730609613975E-3</v>
      </c>
      <c r="AX62" s="1263">
        <f t="shared" si="7"/>
        <v>5.6757438280332683E-3</v>
      </c>
      <c r="AY62" s="1263">
        <f t="shared" si="7"/>
        <v>-2.7233477805229498E-3</v>
      </c>
      <c r="AZ62" s="1263">
        <f t="shared" si="7"/>
        <v>-5.664918406666569E-3</v>
      </c>
      <c r="BA62" s="1263">
        <f t="shared" si="7"/>
        <v>2.3918222580311022E-3</v>
      </c>
      <c r="BB62" s="1263">
        <f t="shared" si="7"/>
        <v>-5.2023082313935182E-3</v>
      </c>
    </row>
    <row r="63" spans="2:54">
      <c r="C63" s="1">
        <f>15309-1133</f>
        <v>14176</v>
      </c>
      <c r="E63" s="1257"/>
      <c r="F63" s="1212" t="s">
        <v>983</v>
      </c>
      <c r="G63" s="1218"/>
      <c r="H63" s="1225"/>
      <c r="I63" s="1213">
        <f>13334-883</f>
        <v>12451</v>
      </c>
      <c r="J63" s="1222" t="e">
        <f>I63-'[8]IS-BS-CF-Reco Tables'!AJ262</f>
        <v>#VALUE!</v>
      </c>
      <c r="K63" s="1222" t="e">
        <f>J63-'[8]IS-BS-CF-Reco Tables'!AO262</f>
        <v>#VALUE!</v>
      </c>
      <c r="L63" s="1222" t="e">
        <f>K63-'[8]IS-BS-CF-Reco Tables'!AT262</f>
        <v>#VALUE!</v>
      </c>
      <c r="M63" s="1222"/>
      <c r="N63" s="1222"/>
      <c r="O63" s="1225"/>
      <c r="P63" s="1213">
        <v>4315.6091569372475</v>
      </c>
      <c r="Q63" s="1222">
        <v>-4424.8932973481824</v>
      </c>
      <c r="R63" s="1222">
        <v>-4307.2117277761354</v>
      </c>
      <c r="S63" s="1222">
        <v>-1004.2031376304585</v>
      </c>
      <c r="T63" s="1222"/>
      <c r="U63" s="1222"/>
      <c r="V63" s="1225"/>
      <c r="W63" s="1213">
        <v>4315.6091569372475</v>
      </c>
      <c r="X63" s="1222">
        <v>-1329.7441361767487</v>
      </c>
      <c r="Y63" s="1222">
        <v>2717.2000606841357</v>
      </c>
      <c r="Z63" s="1222">
        <v>8994.0629051060241</v>
      </c>
      <c r="AA63" s="1222"/>
      <c r="AB63" s="1222"/>
      <c r="AC63" s="1225"/>
      <c r="AD63" s="1222">
        <v>-1030</v>
      </c>
      <c r="AE63" s="1222">
        <v>-3618</v>
      </c>
      <c r="AF63" s="1222">
        <v>-3618</v>
      </c>
      <c r="AM63" s="1"/>
      <c r="AN63" s="1245">
        <f>SUM(AN58:AN62)</f>
        <v>50964.627362390071</v>
      </c>
      <c r="AO63" s="1245">
        <f t="shared" ref="AO63:AS63" si="10">SUM(AO58:AO62)</f>
        <v>66137.678366203821</v>
      </c>
      <c r="AP63" s="1245">
        <f t="shared" si="10"/>
        <v>57573.000504629417</v>
      </c>
      <c r="AQ63" s="1245">
        <f t="shared" si="10"/>
        <v>48496.576649617746</v>
      </c>
      <c r="AR63" s="1245">
        <f t="shared" si="10"/>
        <v>61165.984484262772</v>
      </c>
      <c r="AS63" s="1245">
        <f t="shared" si="10"/>
        <v>52809.087332594536</v>
      </c>
      <c r="AW63" s="473"/>
      <c r="AX63" s="473"/>
      <c r="AY63" s="473"/>
      <c r="AZ63" s="473"/>
      <c r="BA63" s="473"/>
    </row>
    <row r="64" spans="2:54">
      <c r="C64" s="1">
        <v>4697</v>
      </c>
      <c r="E64" s="1257"/>
      <c r="F64" s="1212" t="s">
        <v>984</v>
      </c>
      <c r="G64" s="1218"/>
      <c r="H64" s="1225"/>
      <c r="I64" s="1226">
        <f t="shared" ref="I64:L64" si="11">I63/I56</f>
        <v>0.5781750638495472</v>
      </c>
      <c r="J64" s="1226">
        <f t="shared" ca="1" si="11"/>
        <v>-7.1683510825101632E-2</v>
      </c>
      <c r="K64" s="1226" t="e">
        <f t="shared" si="11"/>
        <v>#VALUE!</v>
      </c>
      <c r="L64" s="1226" t="e">
        <f t="shared" si="11"/>
        <v>#VALUE!</v>
      </c>
      <c r="M64" s="1226"/>
      <c r="N64" s="1226"/>
      <c r="O64" s="1225"/>
      <c r="P64" s="1226">
        <v>0.22718029860297562</v>
      </c>
      <c r="Q64" s="1226">
        <v>-9.9402728354596417E-2</v>
      </c>
      <c r="R64" s="1226">
        <v>-0.13013873719548755</v>
      </c>
      <c r="S64" s="1226">
        <v>-3.5268700156362319E-2</v>
      </c>
      <c r="T64" s="1226"/>
      <c r="U64" s="1226"/>
      <c r="V64" s="1225"/>
      <c r="W64" s="1226">
        <v>0.22718029860297562</v>
      </c>
      <c r="X64" s="1226">
        <v>-3.2469630402790668E-2</v>
      </c>
      <c r="Y64" s="1226">
        <v>0.10643021682169775</v>
      </c>
      <c r="Z64" s="1226">
        <v>0.42221170442908695</v>
      </c>
      <c r="AA64" s="1226"/>
      <c r="AB64" s="1226"/>
      <c r="AC64" s="1225"/>
      <c r="AD64" s="1226">
        <f>AD63/AD56</f>
        <v>-0.25736803454028945</v>
      </c>
      <c r="AE64" s="1226">
        <f>AE63/AE56</f>
        <v>-0.85122221440588897</v>
      </c>
      <c r="AF64" s="1226">
        <f>AF63/AF56</f>
        <v>-0.81632634642516522</v>
      </c>
      <c r="AO64" s="1238"/>
      <c r="AP64" s="1262"/>
      <c r="AQ64" s="1262"/>
      <c r="AR64" s="1262"/>
      <c r="AT64" s="1256"/>
      <c r="AU64" s="1256"/>
      <c r="AV64" s="1256"/>
    </row>
    <row r="65" spans="2:44">
      <c r="C65" s="1">
        <f>C63-C64</f>
        <v>9479</v>
      </c>
      <c r="E65" s="1257"/>
      <c r="F65" s="1218"/>
      <c r="G65" s="1218"/>
      <c r="H65" s="1225"/>
      <c r="I65" s="1129"/>
      <c r="J65" s="1225"/>
      <c r="K65" s="1225"/>
      <c r="L65" s="1225"/>
      <c r="M65" s="1225"/>
      <c r="N65" s="1225"/>
      <c r="O65" s="1225"/>
      <c r="P65" s="1129"/>
      <c r="Q65" s="1129"/>
      <c r="R65" s="1225"/>
      <c r="S65" s="1225"/>
      <c r="T65" s="1225"/>
      <c r="U65" s="1225"/>
      <c r="V65" s="1225"/>
      <c r="W65" s="1129"/>
      <c r="X65" s="1129"/>
      <c r="Y65" s="1225"/>
      <c r="Z65" s="1225"/>
      <c r="AA65" s="1225"/>
      <c r="AB65" s="1225"/>
      <c r="AC65" s="1225"/>
      <c r="AD65" s="1225"/>
      <c r="AE65" s="1129"/>
      <c r="AF65" s="1225"/>
      <c r="AO65" s="1238"/>
      <c r="AP65" s="1262"/>
      <c r="AQ65" s="1262"/>
      <c r="AR65" s="1262"/>
    </row>
    <row r="66" spans="2:44">
      <c r="E66" s="1257"/>
      <c r="F66" s="1212" t="s">
        <v>455</v>
      </c>
      <c r="G66" s="1218"/>
      <c r="H66" s="1225"/>
      <c r="I66" s="1129"/>
      <c r="J66" s="1227">
        <f>D67</f>
        <v>31529.4155641457</v>
      </c>
      <c r="K66" s="1227">
        <f>J66</f>
        <v>31529.4155641457</v>
      </c>
      <c r="L66" s="1227">
        <f>K66</f>
        <v>31529.4155641457</v>
      </c>
      <c r="M66" s="1227"/>
      <c r="N66" s="1227"/>
      <c r="O66" s="1225"/>
      <c r="P66" s="1129"/>
      <c r="Q66" s="1227">
        <f>J66</f>
        <v>31529.4155641457</v>
      </c>
      <c r="R66" s="1227">
        <f>Q66</f>
        <v>31529.4155641457</v>
      </c>
      <c r="S66" s="1227">
        <f>R66</f>
        <v>31529.4155641457</v>
      </c>
      <c r="T66" s="1227"/>
      <c r="U66" s="1227"/>
      <c r="V66" s="1225"/>
      <c r="W66" s="1129"/>
      <c r="X66" s="1227">
        <f>Q66</f>
        <v>31529.4155641457</v>
      </c>
      <c r="Y66" s="1227">
        <f>X66</f>
        <v>31529.4155641457</v>
      </c>
      <c r="Z66" s="1227">
        <f>Y66</f>
        <v>31529.4155641457</v>
      </c>
      <c r="AA66" s="1227"/>
      <c r="AB66" s="1227"/>
      <c r="AC66" s="1225"/>
      <c r="AD66" s="1227">
        <f>X66</f>
        <v>31529.4155641457</v>
      </c>
      <c r="AE66" s="1227">
        <f>AD66</f>
        <v>31529.4155641457</v>
      </c>
      <c r="AF66" s="1227">
        <f>AE66</f>
        <v>31529.4155641457</v>
      </c>
      <c r="AO66" s="1238"/>
      <c r="AP66" s="1262"/>
      <c r="AQ66" s="1262"/>
      <c r="AR66" s="1262"/>
    </row>
    <row r="67" spans="2:44">
      <c r="C67" s="1227">
        <f>_xll.BDP($C$3,$B$7,$AI$3,$AJ$3)</f>
        <v>19078.4155641457</v>
      </c>
      <c r="D67" s="2">
        <f>I67</f>
        <v>31529.4155641457</v>
      </c>
      <c r="E67" s="1257"/>
      <c r="F67" s="1212" t="s">
        <v>985</v>
      </c>
      <c r="G67" s="1218"/>
      <c r="H67" s="1225"/>
      <c r="I67" s="1227">
        <f>C67+I63</f>
        <v>31529.4155641457</v>
      </c>
      <c r="J67" s="1227" t="e">
        <f>I67-(I63-J63)</f>
        <v>#VALUE!</v>
      </c>
      <c r="K67" s="1227" t="e">
        <f>J67-(J63-K63)</f>
        <v>#VALUE!</v>
      </c>
      <c r="L67" s="1227" t="e">
        <f>K67-(K63-L63)</f>
        <v>#VALUE!</v>
      </c>
      <c r="M67" s="1227"/>
      <c r="N67" s="1227"/>
      <c r="O67" s="1225"/>
      <c r="P67" s="1227">
        <v>72338.553054574179</v>
      </c>
      <c r="Q67" s="1227">
        <f>I67-(I63-Q63)</f>
        <v>14653.522266797518</v>
      </c>
      <c r="R67" s="1227">
        <f>Q67-(Q63-R63)</f>
        <v>14771.203836369565</v>
      </c>
      <c r="S67" s="1227">
        <f>R67-(R63-S63)</f>
        <v>18074.212426515242</v>
      </c>
      <c r="T67" s="1227"/>
      <c r="U67" s="1227"/>
      <c r="V67" s="1225"/>
      <c r="W67" s="1227">
        <v>72338.553054574179</v>
      </c>
      <c r="X67" s="1227">
        <f>I67-(I63-X63)</f>
        <v>17748.671427968951</v>
      </c>
      <c r="Y67" s="1227">
        <f>X67-(X63-Y63)</f>
        <v>21795.615624829836</v>
      </c>
      <c r="Z67" s="1227">
        <f>Y67-(Y63-Z63)</f>
        <v>28072.478469251724</v>
      </c>
      <c r="AA67" s="1227"/>
      <c r="AB67" s="1227"/>
      <c r="AC67" s="1225"/>
      <c r="AD67" s="1227">
        <f>I67-(I63-AD63)</f>
        <v>18048.4155641457</v>
      </c>
      <c r="AE67" s="1227">
        <f>AD67-(AD63-AE63)</f>
        <v>15460.4155641457</v>
      </c>
      <c r="AF67" s="1227">
        <f>AE67-(AE63-AF63)</f>
        <v>15460.4155641457</v>
      </c>
      <c r="AP67" s="1262"/>
      <c r="AQ67" s="1262"/>
      <c r="AR67" s="1262"/>
    </row>
    <row r="68" spans="2:44">
      <c r="E68" s="1257"/>
      <c r="F68" s="1212" t="s">
        <v>986</v>
      </c>
      <c r="G68" s="1218"/>
      <c r="H68" s="1228"/>
      <c r="I68" s="1228"/>
      <c r="J68" s="1228">
        <f ca="1">J$66/J56</f>
        <v>0.74513786764975365</v>
      </c>
      <c r="K68" s="1228">
        <f>K$66/K56</f>
        <v>1.6071705101572442</v>
      </c>
      <c r="L68" s="1228">
        <f>L$66/L56</f>
        <v>1.7990530562988587</v>
      </c>
      <c r="M68" s="1228"/>
      <c r="N68" s="1228"/>
      <c r="O68" s="1225"/>
      <c r="P68" s="1228"/>
      <c r="Q68" s="1228">
        <f>Q$66/Q56</f>
        <v>0.70829051005144383</v>
      </c>
      <c r="R68" s="1228">
        <f>R$66/R56</f>
        <v>0.9526344617723731</v>
      </c>
      <c r="S68" s="1228">
        <f>S$66/S56</f>
        <v>1.1073471710724814</v>
      </c>
      <c r="T68" s="1228"/>
      <c r="U68" s="1228"/>
      <c r="V68" s="1225"/>
      <c r="W68" s="1228"/>
      <c r="X68" s="1228">
        <f>X$66/X56</f>
        <v>0.76988380120048194</v>
      </c>
      <c r="Y68" s="1228">
        <f>Y$66/Y56</f>
        <v>1.2349780876674006</v>
      </c>
      <c r="Z68" s="1228">
        <f>Z$66/Z56</f>
        <v>1.4800973070172241</v>
      </c>
      <c r="AA68" s="1228"/>
      <c r="AB68" s="1228"/>
      <c r="AC68" s="1225"/>
      <c r="AD68" s="1228">
        <f>AD$66/AD56</f>
        <v>7.8783142853865931</v>
      </c>
      <c r="AE68" s="1228">
        <f>AE$66/AE56</f>
        <v>7.4180594072514108</v>
      </c>
      <c r="AF68" s="1228">
        <f>AF$66/AF56</f>
        <v>7.1139559459369259</v>
      </c>
    </row>
    <row r="69" spans="2:44">
      <c r="E69" s="1257"/>
      <c r="F69" s="1212" t="s">
        <v>987</v>
      </c>
      <c r="G69" s="1218"/>
      <c r="H69" s="1228">
        <f>C67/H56</f>
        <v>1.060678021023278</v>
      </c>
      <c r="I69" s="1228">
        <f>C67/I56</f>
        <v>0.88592596072188068</v>
      </c>
      <c r="J69" s="1228">
        <f ca="1">J67/J56</f>
        <v>0.38428285069897861</v>
      </c>
      <c r="K69" s="1228" t="e">
        <f>K67/K56</f>
        <v>#VALUE!</v>
      </c>
      <c r="L69" s="1228" t="e">
        <f>L67/L56</f>
        <v>#VALUE!</v>
      </c>
      <c r="M69" s="1228"/>
      <c r="N69" s="1228"/>
      <c r="O69" s="1225"/>
      <c r="P69" s="1228">
        <f>P67/P56</f>
        <v>3.8080126086089678</v>
      </c>
      <c r="Q69" s="1228">
        <f>Q67/Q56</f>
        <v>0.32918310012072771</v>
      </c>
      <c r="R69" s="1228">
        <f>R67/R56</f>
        <v>0.44629935457451625</v>
      </c>
      <c r="S69" s="1228">
        <f>S67/S56</f>
        <v>0.63478588618764464</v>
      </c>
      <c r="T69" s="1228"/>
      <c r="U69" s="1228"/>
      <c r="V69" s="1225"/>
      <c r="W69" s="1228">
        <f>W67/W56</f>
        <v>3.8080126086089678</v>
      </c>
      <c r="X69" s="1228">
        <f>X67/X56</f>
        <v>0.43338623253016723</v>
      </c>
      <c r="Y69" s="1228">
        <f>Y67/Y56</f>
        <v>0.85371413400048524</v>
      </c>
      <c r="Z69" s="1228">
        <f>Z67/Z56</f>
        <v>1.3178169985138541</v>
      </c>
      <c r="AA69" s="1228"/>
      <c r="AB69" s="1228"/>
      <c r="AC69" s="1225"/>
      <c r="AD69" s="1228">
        <f>AD67/AD56</f>
        <v>4.5097914954471348</v>
      </c>
      <c r="AE69" s="1228">
        <f>AE67/AE56</f>
        <v>3.6374375821302856</v>
      </c>
      <c r="AF69" s="1228">
        <f>AF67/AF56</f>
        <v>3.4883207716124427</v>
      </c>
    </row>
    <row r="70" spans="2:44">
      <c r="B70" s="1260"/>
      <c r="C70" s="1256"/>
      <c r="E70" s="1257"/>
      <c r="F70" s="1212" t="s">
        <v>457</v>
      </c>
      <c r="G70" s="1218"/>
      <c r="H70" s="1220">
        <f>(H57/($E$9)/$F$3)</f>
        <v>0.66106034223206867</v>
      </c>
      <c r="I70" s="1220">
        <f t="shared" ref="I70:L71" si="12">(I57/($E$9+$F$9))/$F$3</f>
        <v>0.64267637040022263</v>
      </c>
      <c r="J70" s="1220" t="e">
        <f t="shared" si="12"/>
        <v>#VALUE!</v>
      </c>
      <c r="K70" s="1220">
        <f t="shared" si="12"/>
        <v>0.35743179753990328</v>
      </c>
      <c r="L70" s="1220">
        <f t="shared" si="12"/>
        <v>0.28001428736305012</v>
      </c>
      <c r="M70" s="1220"/>
      <c r="N70" s="1220"/>
      <c r="O70" s="1229"/>
      <c r="P70" s="1220">
        <f t="shared" ref="P70:S71" si="13">(P57/($E$9+$F$9))/$F$3</f>
        <v>0.47238465879591207</v>
      </c>
      <c r="Q70" s="1220">
        <f t="shared" si="13"/>
        <v>1.3412235939435364</v>
      </c>
      <c r="R70" s="1220">
        <f t="shared" si="13"/>
        <v>0.92948498037849026</v>
      </c>
      <c r="S70" s="1220">
        <f t="shared" si="13"/>
        <v>0.74678250960336134</v>
      </c>
      <c r="T70" s="1220"/>
      <c r="U70" s="1220"/>
      <c r="V70" s="1229"/>
      <c r="W70" s="1220">
        <f t="shared" ref="W70:Z71" si="14">(W57/($E$9+$F$9))/$F$3</f>
        <v>0.47238465879591207</v>
      </c>
      <c r="X70" s="1220">
        <f t="shared" si="14"/>
        <v>1.1893772330258823</v>
      </c>
      <c r="Y70" s="1220">
        <f t="shared" si="14"/>
        <v>0.6095208017206718</v>
      </c>
      <c r="Z70" s="1220">
        <f t="shared" si="14"/>
        <v>0.44104316931484072</v>
      </c>
      <c r="AA70" s="1220"/>
      <c r="AB70" s="1220"/>
      <c r="AC70" s="1229"/>
      <c r="AD70" s="1220">
        <f t="shared" ref="AD70:AF71" si="15">(AD57/($E$9+$F$9))/$F$3</f>
        <v>-1.4303729152945572E-2</v>
      </c>
      <c r="AE70" s="1220">
        <f t="shared" si="15"/>
        <v>3.8740761562744273E-2</v>
      </c>
      <c r="AF70" s="1220">
        <f t="shared" si="15"/>
        <v>7.9150134231045E-2</v>
      </c>
    </row>
    <row r="71" spans="2:44">
      <c r="B71" s="1260"/>
      <c r="C71" s="1256"/>
      <c r="E71" s="1257"/>
      <c r="F71" s="1212" t="s">
        <v>988</v>
      </c>
      <c r="G71" s="1218"/>
      <c r="H71" s="1220"/>
      <c r="I71" s="1220">
        <f t="shared" si="12"/>
        <v>0.66888166109041436</v>
      </c>
      <c r="J71" s="1220" t="e">
        <f t="shared" si="12"/>
        <v>#VALUE!</v>
      </c>
      <c r="K71" s="1220">
        <f t="shared" si="12"/>
        <v>0.3861761748966035</v>
      </c>
      <c r="L71" s="1220">
        <f t="shared" si="12"/>
        <v>0.30875866471975033</v>
      </c>
      <c r="M71" s="1220"/>
      <c r="N71" s="1220"/>
      <c r="O71" s="1229"/>
      <c r="P71" s="1220">
        <f t="shared" si="13"/>
        <v>0.49858994948610375</v>
      </c>
      <c r="Q71" s="1220">
        <f t="shared" si="13"/>
        <v>1.3699679713002366</v>
      </c>
      <c r="R71" s="1220">
        <f t="shared" si="13"/>
        <v>0.95822935773519036</v>
      </c>
      <c r="S71" s="1220">
        <f t="shared" si="13"/>
        <v>0.77552688696006156</v>
      </c>
      <c r="T71" s="1220"/>
      <c r="U71" s="1220"/>
      <c r="V71" s="1229"/>
      <c r="W71" s="1220">
        <f t="shared" si="14"/>
        <v>0.49858994948610375</v>
      </c>
      <c r="X71" s="1220">
        <f t="shared" si="14"/>
        <v>1.2181216103825825</v>
      </c>
      <c r="Y71" s="1220">
        <f t="shared" si="14"/>
        <v>0.63826517907737212</v>
      </c>
      <c r="Z71" s="1220">
        <f t="shared" si="14"/>
        <v>0.46978754667154099</v>
      </c>
      <c r="AA71" s="1220"/>
      <c r="AB71" s="1220"/>
      <c r="AC71" s="1229"/>
      <c r="AD71" s="1220">
        <f t="shared" si="15"/>
        <v>1.4440648203754654E-2</v>
      </c>
      <c r="AE71" s="1220">
        <f t="shared" si="15"/>
        <v>6.7485138919444507E-2</v>
      </c>
      <c r="AF71" s="1220">
        <f t="shared" si="15"/>
        <v>0.10789451158774521</v>
      </c>
    </row>
    <row r="72" spans="2:44">
      <c r="E72" s="1257"/>
      <c r="F72" s="1212" t="s">
        <v>458</v>
      </c>
      <c r="G72" s="1218"/>
      <c r="H72" s="1220">
        <f>H57/C67</f>
        <v>0.4236724990512567</v>
      </c>
      <c r="I72" s="1220">
        <f t="shared" ref="I72:L72" si="16">I57/I67</f>
        <v>0.42547569499686932</v>
      </c>
      <c r="J72" s="1220" t="e">
        <f t="shared" si="16"/>
        <v>#VALUE!</v>
      </c>
      <c r="K72" s="1220" t="e">
        <f t="shared" si="16"/>
        <v>#VALUE!</v>
      </c>
      <c r="L72" s="1220" t="e">
        <f t="shared" si="16"/>
        <v>#VALUE!</v>
      </c>
      <c r="M72" s="1220"/>
      <c r="N72" s="1220"/>
      <c r="O72" s="1225"/>
      <c r="P72" s="1220">
        <f>P57/P67</f>
        <v>0.13630893108442194</v>
      </c>
      <c r="Q72" s="1220">
        <f>Q57/Q67</f>
        <v>1.9105460095691491</v>
      </c>
      <c r="R72" s="1220">
        <f>R57/R67</f>
        <v>1.3134841299383628</v>
      </c>
      <c r="S72" s="1220">
        <f>S57/S67</f>
        <v>0.86244835915779916</v>
      </c>
      <c r="T72" s="1220"/>
      <c r="U72" s="1220"/>
      <c r="V72" s="1225"/>
      <c r="W72" s="1220">
        <f>W57/W67</f>
        <v>0.13630893108442194</v>
      </c>
      <c r="X72" s="1220">
        <f>X57/X67</f>
        <v>1.3987887028432169</v>
      </c>
      <c r="Y72" s="1220">
        <f>Y57/Y67</f>
        <v>0.58373769139432641</v>
      </c>
      <c r="Z72" s="1220">
        <f>Z57/Z67</f>
        <v>0.32794324342234704</v>
      </c>
      <c r="AA72" s="1220"/>
      <c r="AB72" s="1220"/>
      <c r="AC72" s="1225"/>
      <c r="AD72" s="1220">
        <f>AD57/AD67</f>
        <v>-1.6542781771555055E-2</v>
      </c>
      <c r="AE72" s="1220">
        <f>AE57/AE67</f>
        <v>5.2305256391385002E-2</v>
      </c>
      <c r="AF72" s="1220">
        <f>AF57/AF67</f>
        <v>0.1068633629636393</v>
      </c>
      <c r="AP72" s="572"/>
      <c r="AQ72" s="572"/>
      <c r="AR72" s="572"/>
    </row>
    <row r="73" spans="2:44">
      <c r="E73" s="1257"/>
      <c r="F73" s="1212" t="s">
        <v>459</v>
      </c>
      <c r="G73" s="1218"/>
      <c r="H73" s="1220">
        <f t="shared" ref="H73:L73" si="17">H57/$E$10</f>
        <v>0.64999703818872778</v>
      </c>
      <c r="I73" s="1220">
        <f t="shared" si="17"/>
        <v>1.0787715288014081</v>
      </c>
      <c r="J73" s="1220" t="e">
        <f t="shared" si="17"/>
        <v>#VALUE!</v>
      </c>
      <c r="K73" s="1220">
        <f t="shared" si="17"/>
        <v>0.59997109654776148</v>
      </c>
      <c r="L73" s="1220">
        <f t="shared" si="17"/>
        <v>0.47002107869122578</v>
      </c>
      <c r="M73" s="1220"/>
      <c r="N73" s="1220"/>
      <c r="O73" s="1225"/>
      <c r="P73" s="1220">
        <f>P57/$E$10</f>
        <v>0.79292649305629603</v>
      </c>
      <c r="Q73" s="1220">
        <f>Q57/$E$10</f>
        <v>2.251325696013931</v>
      </c>
      <c r="R73" s="1220">
        <f>R57/$E$10</f>
        <v>1.5601972928558498</v>
      </c>
      <c r="S73" s="1220">
        <f>S57/$E$10</f>
        <v>1.2535200400557489</v>
      </c>
      <c r="T73" s="1220"/>
      <c r="U73" s="1220"/>
      <c r="V73" s="1225"/>
      <c r="W73" s="1220">
        <f>W57/$E$10</f>
        <v>0.79292649305629603</v>
      </c>
      <c r="X73" s="1220">
        <f>X57/$E$10</f>
        <v>1.9964423076484024</v>
      </c>
      <c r="Y73" s="1220">
        <f>Y57/$E$10</f>
        <v>1.0231178823316536</v>
      </c>
      <c r="Z73" s="1220">
        <f>Z57/$E$10</f>
        <v>0.74031788928679165</v>
      </c>
      <c r="AA73" s="1220"/>
      <c r="AB73" s="1220"/>
      <c r="AC73" s="1225"/>
      <c r="AD73" s="1220">
        <f>AD57/$E$10</f>
        <v>-2.4009682752572887E-2</v>
      </c>
      <c r="AE73" s="1220">
        <f>AE57/$E$10</f>
        <v>6.502873374968883E-2</v>
      </c>
      <c r="AF73" s="1220">
        <f>AF57/$E$10</f>
        <v>0.13285833312354112</v>
      </c>
      <c r="AP73" s="473"/>
      <c r="AQ73" s="473"/>
      <c r="AR73" s="473"/>
    </row>
    <row r="74" spans="2:44">
      <c r="B74" s="1260"/>
      <c r="E74" s="1257"/>
      <c r="F74" s="1218"/>
      <c r="G74" s="1218"/>
      <c r="H74" s="1225"/>
      <c r="I74" s="1129"/>
      <c r="J74" s="1225"/>
      <c r="K74" s="1225"/>
      <c r="L74" s="1225"/>
      <c r="M74" s="1225"/>
      <c r="N74" s="1225"/>
      <c r="O74" s="1225"/>
      <c r="P74" s="1225"/>
      <c r="Q74" s="1225"/>
      <c r="R74" s="1225"/>
      <c r="S74" s="1225"/>
      <c r="T74" s="1225"/>
      <c r="U74" s="1225"/>
      <c r="V74" s="1225"/>
      <c r="W74" s="1225"/>
      <c r="X74" s="1225"/>
      <c r="Y74" s="1225"/>
      <c r="Z74" s="1225"/>
      <c r="AA74" s="1225"/>
      <c r="AB74" s="1225"/>
      <c r="AC74" s="1225"/>
      <c r="AD74" s="1225"/>
      <c r="AE74" s="1225"/>
      <c r="AF74" s="1225"/>
      <c r="AO74" s="1238"/>
      <c r="AQ74" s="1262"/>
      <c r="AR74" s="1262"/>
    </row>
    <row r="75" spans="2:44">
      <c r="B75" s="1260"/>
      <c r="E75" s="1257"/>
      <c r="F75" s="1230" t="s">
        <v>472</v>
      </c>
      <c r="G75" s="1218"/>
      <c r="H75" s="1220"/>
      <c r="I75" s="1220"/>
      <c r="J75" s="1220"/>
      <c r="K75" s="1220"/>
      <c r="L75" s="1220"/>
      <c r="M75" s="1220"/>
      <c r="N75" s="1220"/>
      <c r="O75" s="1225"/>
      <c r="P75" s="1220"/>
      <c r="Q75" s="1220"/>
      <c r="R75" s="1220"/>
      <c r="S75" s="1220"/>
      <c r="T75" s="1220"/>
      <c r="U75" s="1220"/>
      <c r="V75" s="1225"/>
      <c r="W75" s="1220"/>
      <c r="X75" s="1220"/>
      <c r="Y75" s="1220"/>
      <c r="Z75" s="1220"/>
      <c r="AA75" s="1220"/>
      <c r="AB75" s="1220"/>
      <c r="AC75" s="1225"/>
      <c r="AD75" s="1220"/>
      <c r="AE75" s="1220"/>
      <c r="AF75" s="1220"/>
      <c r="AI75" s="1" t="s">
        <v>1003</v>
      </c>
      <c r="AO75" s="1238"/>
    </row>
    <row r="76" spans="2:44">
      <c r="E76" s="1266">
        <v>6.7</v>
      </c>
      <c r="F76" s="1212" t="s">
        <v>989</v>
      </c>
      <c r="G76" s="1218"/>
      <c r="H76" s="1220">
        <f>($E76/H$69)-1</f>
        <v>5.3167142782276615</v>
      </c>
      <c r="I76" s="1220">
        <f t="shared" ref="I76:AF76" si="18">($E76/I$69)-1</f>
        <v>6.5627087330645857</v>
      </c>
      <c r="J76" s="1220">
        <f t="shared" ca="1" si="18"/>
        <v>16.435074159081665</v>
      </c>
      <c r="K76" s="1220" t="e">
        <f t="shared" si="18"/>
        <v>#VALUE!</v>
      </c>
      <c r="L76" s="1220" t="e">
        <f t="shared" si="18"/>
        <v>#VALUE!</v>
      </c>
      <c r="M76" s="1220"/>
      <c r="N76" s="1220"/>
      <c r="O76" s="1225"/>
      <c r="P76" s="1220">
        <f t="shared" si="18"/>
        <v>0.75944795583212343</v>
      </c>
      <c r="Q76" s="1220">
        <f t="shared" si="18"/>
        <v>19.353414247398419</v>
      </c>
      <c r="R76" s="1220">
        <f t="shared" si="18"/>
        <v>14.01234525957921</v>
      </c>
      <c r="S76" s="1220">
        <f t="shared" si="18"/>
        <v>9.5547400246064385</v>
      </c>
      <c r="T76" s="1220"/>
      <c r="U76" s="1220"/>
      <c r="V76" s="1225"/>
      <c r="W76" s="1220">
        <f t="shared" si="18"/>
        <v>0.75944795583212343</v>
      </c>
      <c r="X76" s="1220">
        <f t="shared" si="18"/>
        <v>14.459651223539099</v>
      </c>
      <c r="Y76" s="1220">
        <f t="shared" si="18"/>
        <v>6.8480602969567235</v>
      </c>
      <c r="Z76" s="1220">
        <f t="shared" si="18"/>
        <v>4.0841657131117692</v>
      </c>
      <c r="AA76" s="1220"/>
      <c r="AB76" s="1220"/>
      <c r="AC76" s="1225"/>
      <c r="AD76" s="1220">
        <f t="shared" si="18"/>
        <v>0.48565626742699597</v>
      </c>
      <c r="AE76" s="1220">
        <f t="shared" si="18"/>
        <v>0.84195600576494511</v>
      </c>
      <c r="AF76" s="1220">
        <f t="shared" si="18"/>
        <v>0.92069492419499865</v>
      </c>
      <c r="AH76" s="1241"/>
      <c r="AO76" s="1238"/>
    </row>
    <row r="77" spans="2:44">
      <c r="E77" s="1266">
        <f>AVERAGE(E76,E78)</f>
        <v>5.4</v>
      </c>
      <c r="F77" s="1212" t="s">
        <v>990</v>
      </c>
      <c r="G77" s="1218"/>
      <c r="H77" s="1220">
        <f t="shared" ref="H77:AF78" si="19">($E77/H$69)-1</f>
        <v>4.0910831496163249</v>
      </c>
      <c r="I77" s="1220">
        <f t="shared" si="19"/>
        <v>5.0953174863505621</v>
      </c>
      <c r="J77" s="1220">
        <f t="shared" ca="1" si="19"/>
        <v>13.052149322244926</v>
      </c>
      <c r="K77" s="1220" t="e">
        <f t="shared" si="19"/>
        <v>#VALUE!</v>
      </c>
      <c r="L77" s="1220" t="e">
        <f t="shared" si="19"/>
        <v>#VALUE!</v>
      </c>
      <c r="M77" s="1220"/>
      <c r="N77" s="1220"/>
      <c r="O77" s="1225"/>
      <c r="P77" s="1220">
        <f t="shared" si="19"/>
        <v>0.418062531566189</v>
      </c>
      <c r="Q77" s="1220">
        <f t="shared" si="19"/>
        <v>15.404244318798728</v>
      </c>
      <c r="R77" s="1220">
        <f t="shared" si="19"/>
        <v>11.099502149511602</v>
      </c>
      <c r="S77" s="1220">
        <f t="shared" si="19"/>
        <v>7.5068053929663829</v>
      </c>
      <c r="T77" s="1220"/>
      <c r="U77" s="1220"/>
      <c r="V77" s="1225"/>
      <c r="W77" s="1220">
        <f t="shared" si="19"/>
        <v>0.418062531566189</v>
      </c>
      <c r="X77" s="1220">
        <f t="shared" si="19"/>
        <v>11.460017404046438</v>
      </c>
      <c r="Y77" s="1220">
        <f t="shared" si="19"/>
        <v>5.3253023288904942</v>
      </c>
      <c r="Z77" s="1220">
        <f t="shared" si="19"/>
        <v>3.0976857986273956</v>
      </c>
      <c r="AA77" s="1220"/>
      <c r="AB77" s="1220"/>
      <c r="AC77" s="1225"/>
      <c r="AD77" s="1220">
        <f t="shared" si="19"/>
        <v>0.19739460359787731</v>
      </c>
      <c r="AE77" s="1220">
        <f t="shared" si="19"/>
        <v>0.48456155688517977</v>
      </c>
      <c r="AF77" s="1220">
        <f t="shared" si="19"/>
        <v>0.54802277472432737</v>
      </c>
    </row>
    <row r="78" spans="2:44">
      <c r="E78" s="1266">
        <v>4.0999999999999996</v>
      </c>
      <c r="F78" s="1212" t="s">
        <v>991</v>
      </c>
      <c r="G78" s="1218"/>
      <c r="H78" s="1220">
        <f>($E78/H$69)-1</f>
        <v>2.8654520210049865</v>
      </c>
      <c r="I78" s="1220">
        <f t="shared" si="19"/>
        <v>3.6279262396365368</v>
      </c>
      <c r="J78" s="1220">
        <f t="shared" ca="1" si="19"/>
        <v>9.6692244854081828</v>
      </c>
      <c r="K78" s="1220" t="e">
        <f t="shared" si="19"/>
        <v>#VALUE!</v>
      </c>
      <c r="L78" s="1220" t="e">
        <f t="shared" si="19"/>
        <v>#VALUE!</v>
      </c>
      <c r="M78" s="1220"/>
      <c r="N78" s="1220"/>
      <c r="O78" s="1225"/>
      <c r="P78" s="1220">
        <f t="shared" si="19"/>
        <v>7.6677107300254566E-2</v>
      </c>
      <c r="Q78" s="1220">
        <f t="shared" si="19"/>
        <v>11.455074390199032</v>
      </c>
      <c r="R78" s="1220">
        <f t="shared" si="19"/>
        <v>8.1866590394439935</v>
      </c>
      <c r="S78" s="1220">
        <f t="shared" si="19"/>
        <v>5.4588707613263274</v>
      </c>
      <c r="T78" s="1220"/>
      <c r="U78" s="1220"/>
      <c r="V78" s="1225"/>
      <c r="W78" s="1220">
        <f t="shared" si="19"/>
        <v>7.6677107300254566E-2</v>
      </c>
      <c r="X78" s="1220">
        <f t="shared" si="19"/>
        <v>8.4603835845537763</v>
      </c>
      <c r="Y78" s="1220">
        <f t="shared" si="19"/>
        <v>3.8025443608242631</v>
      </c>
      <c r="Z78" s="1220">
        <f t="shared" si="19"/>
        <v>2.1112058841430223</v>
      </c>
      <c r="AA78" s="1220"/>
      <c r="AB78" s="1220"/>
      <c r="AC78" s="1225"/>
      <c r="AD78" s="1220">
        <f t="shared" si="19"/>
        <v>-9.086706023124147E-2</v>
      </c>
      <c r="AE78" s="1220">
        <f t="shared" si="19"/>
        <v>0.12716710800541398</v>
      </c>
      <c r="AF78" s="1220">
        <f t="shared" si="19"/>
        <v>0.17535062525365586</v>
      </c>
    </row>
    <row r="79" spans="2:44" ht="15" hidden="1" customHeight="1">
      <c r="F79" s="1218"/>
      <c r="G79" s="1218"/>
      <c r="H79" s="1225"/>
      <c r="I79" s="1129"/>
      <c r="J79" s="1225"/>
      <c r="K79" s="1225"/>
      <c r="L79" s="1225"/>
      <c r="M79" s="1225"/>
      <c r="N79" s="1225"/>
      <c r="O79" s="1225"/>
      <c r="P79" s="1225"/>
      <c r="Q79" s="1225"/>
      <c r="R79" s="1225"/>
      <c r="S79" s="1225"/>
      <c r="T79" s="1225"/>
      <c r="U79" s="1225"/>
      <c r="V79" s="1225"/>
      <c r="W79" s="1225"/>
      <c r="X79" s="1225"/>
      <c r="Y79" s="1225"/>
      <c r="Z79" s="1225"/>
      <c r="AA79" s="1225"/>
      <c r="AB79" s="1225"/>
      <c r="AC79" s="1225"/>
      <c r="AD79" s="1225"/>
      <c r="AE79" s="1225"/>
      <c r="AF79" s="1225"/>
    </row>
    <row r="80" spans="2:44">
      <c r="F80" s="1218"/>
      <c r="G80" s="1218"/>
      <c r="H80" s="1225"/>
      <c r="I80" s="1129"/>
      <c r="J80" s="1225"/>
      <c r="K80" s="1225"/>
      <c r="L80" s="1225"/>
      <c r="M80" s="1225"/>
      <c r="N80" s="1225"/>
      <c r="O80" s="1225"/>
      <c r="P80" s="1225"/>
      <c r="Q80" s="1225"/>
      <c r="R80" s="1225"/>
      <c r="S80" s="1225"/>
      <c r="T80" s="1225"/>
      <c r="U80" s="1225"/>
      <c r="V80" s="1225"/>
      <c r="W80" s="1225"/>
      <c r="X80" s="1225"/>
      <c r="Y80" s="1225"/>
      <c r="Z80" s="1225"/>
      <c r="AA80" s="1225"/>
      <c r="AB80" s="1225"/>
      <c r="AC80" s="1225"/>
      <c r="AD80" s="1225"/>
      <c r="AE80" s="1225"/>
      <c r="AF80" s="1225"/>
      <c r="AP80" s="1">
        <f>66.1*20</f>
        <v>1322</v>
      </c>
    </row>
    <row r="81" spans="1:67">
      <c r="F81" s="1231"/>
      <c r="G81" s="1231"/>
      <c r="H81" s="1232" t="s">
        <v>441</v>
      </c>
      <c r="I81" s="1232"/>
      <c r="J81" s="1393" t="s">
        <v>565</v>
      </c>
      <c r="K81" s="1393"/>
      <c r="L81" s="1393"/>
      <c r="M81" s="1210"/>
      <c r="N81" s="1210"/>
      <c r="O81" s="1233"/>
      <c r="P81" s="1208">
        <f>P46</f>
        <v>0</v>
      </c>
      <c r="Q81" s="1393" t="str">
        <f>Q46</f>
        <v>Curve (IO) + Spot</v>
      </c>
      <c r="R81" s="1393"/>
      <c r="S81" s="1393"/>
      <c r="T81" s="1210"/>
      <c r="U81" s="1210"/>
      <c r="V81" s="1233"/>
      <c r="W81" s="1208">
        <f>W46</f>
        <v>0</v>
      </c>
      <c r="X81" s="1393" t="str">
        <f>X46</f>
        <v>Low IO/Rh + High BMs + Spot</v>
      </c>
      <c r="Y81" s="1393"/>
      <c r="Z81" s="1393"/>
      <c r="AA81" s="1210"/>
      <c r="AB81" s="1210"/>
      <c r="AC81" s="1233"/>
      <c r="AD81" s="1392"/>
      <c r="AE81" s="1392"/>
      <c r="AF81" s="1392"/>
    </row>
    <row r="82" spans="1:67">
      <c r="F82" s="1231"/>
      <c r="G82" s="1231"/>
      <c r="H82" s="1210" t="s">
        <v>468</v>
      </c>
      <c r="I82" s="1210" t="s">
        <v>469</v>
      </c>
      <c r="J82" s="1210" t="s">
        <v>470</v>
      </c>
      <c r="K82" s="1210" t="s">
        <v>925</v>
      </c>
      <c r="L82" s="1210" t="s">
        <v>974</v>
      </c>
      <c r="M82" s="1210"/>
      <c r="N82" s="1210"/>
      <c r="O82" s="1209"/>
      <c r="P82" s="1210" t="str">
        <f>P47</f>
        <v>CY20</v>
      </c>
      <c r="Q82" s="1210" t="str">
        <f>Q47</f>
        <v>CY21</v>
      </c>
      <c r="R82" s="1210" t="str">
        <f>R47</f>
        <v>CY22</v>
      </c>
      <c r="S82" s="1210" t="str">
        <f>S47</f>
        <v>CY23</v>
      </c>
      <c r="T82" s="1210"/>
      <c r="U82" s="1210"/>
      <c r="V82" s="1209"/>
      <c r="W82" s="1210" t="str">
        <f>W47</f>
        <v>CY20</v>
      </c>
      <c r="X82" s="1210" t="str">
        <f>X47</f>
        <v>CY21</v>
      </c>
      <c r="Y82" s="1210" t="str">
        <f>Y47</f>
        <v>CY22</v>
      </c>
      <c r="Z82" s="1210" t="str">
        <f>Z47</f>
        <v>CY23</v>
      </c>
      <c r="AA82" s="1210"/>
      <c r="AB82" s="1210"/>
      <c r="AC82" s="1209"/>
      <c r="AD82" s="1392"/>
      <c r="AE82" s="1392"/>
      <c r="AF82" s="1392"/>
    </row>
    <row r="83" spans="1:67">
      <c r="F83" s="1234" t="s">
        <v>992</v>
      </c>
      <c r="G83" s="1225"/>
      <c r="H83" s="1225"/>
      <c r="I83" s="1129"/>
      <c r="J83" s="1225"/>
      <c r="K83" s="1225"/>
      <c r="L83" s="1225"/>
      <c r="M83" s="1225"/>
      <c r="N83" s="1225"/>
      <c r="O83" s="1225"/>
      <c r="P83" s="1129"/>
      <c r="Q83" s="1129"/>
      <c r="R83" s="1225"/>
      <c r="S83" s="1225"/>
      <c r="T83" s="1225"/>
      <c r="U83" s="1225"/>
      <c r="V83" s="1225"/>
      <c r="W83" s="1129"/>
      <c r="X83" s="1129"/>
      <c r="Y83" s="1225"/>
      <c r="Z83" s="1225"/>
      <c r="AA83" s="1225"/>
      <c r="AB83" s="1225"/>
      <c r="AC83" s="1225"/>
      <c r="AD83" s="1225"/>
      <c r="AE83" s="1129"/>
      <c r="AF83" s="1225"/>
    </row>
    <row r="84" spans="1:67">
      <c r="F84" s="1212" t="s">
        <v>465</v>
      </c>
      <c r="G84" s="1218"/>
      <c r="H84" s="1213">
        <f>'[8]Ferrous Minerals'!AA111</f>
        <v>0</v>
      </c>
      <c r="I84" s="1213">
        <f>AVERAGE('[8]Ferrous Minerals'!AB507:AE507)</f>
        <v>108.46166666666667</v>
      </c>
      <c r="J84" s="1213">
        <f>[3]Sheet1!$Q$82</f>
        <v>153.69780833333334</v>
      </c>
      <c r="K84" s="1213">
        <f>[3]Sheet1!$AH$82</f>
        <v>85.315999999999988</v>
      </c>
      <c r="L84" s="1213">
        <f>[3]Sheet1!$AY$82</f>
        <v>74.239999999999995</v>
      </c>
      <c r="M84" s="1213"/>
      <c r="N84" s="1213"/>
      <c r="O84" s="1225"/>
      <c r="P84" s="1213">
        <v>100.50393333333334</v>
      </c>
      <c r="Q84" s="1213">
        <v>169.07364166666665</v>
      </c>
      <c r="R84" s="1213">
        <v>118.8933</v>
      </c>
      <c r="S84" s="1213">
        <v>95.244159999999994</v>
      </c>
      <c r="T84" s="1213"/>
      <c r="U84" s="1213"/>
      <c r="V84" s="1225"/>
      <c r="W84" s="1213">
        <v>100.50393333333334</v>
      </c>
      <c r="X84" s="1213">
        <v>159.84447500000002</v>
      </c>
      <c r="Y84" s="1213">
        <v>94.603333333333339</v>
      </c>
      <c r="Z84" s="1213">
        <v>76.34933333333332</v>
      </c>
      <c r="AA84" s="1213"/>
      <c r="AB84" s="1213"/>
      <c r="AC84" s="1225"/>
      <c r="AD84" s="1225"/>
      <c r="AE84" s="1129"/>
      <c r="AF84" s="1225"/>
      <c r="AH84" s="634"/>
    </row>
    <row r="85" spans="1:67">
      <c r="F85" s="1212" t="s">
        <v>993</v>
      </c>
      <c r="G85" s="1218"/>
      <c r="H85" s="1213"/>
      <c r="I85" s="1213">
        <f>'[8]Ferrous Minerals'!AF134</f>
        <v>103.8625</v>
      </c>
      <c r="J85" s="1213">
        <f>'[8]Ferrous Minerals'!AK134</f>
        <v>138.84810214950045</v>
      </c>
      <c r="K85" s="1213">
        <f>'[8]Ferrous Minerals'!AP134</f>
        <v>63.879043002803485</v>
      </c>
      <c r="L85" s="1213">
        <f>'[8]Ferrous Minerals'!AU134</f>
        <v>58.989319504281454</v>
      </c>
      <c r="M85" s="1213"/>
      <c r="N85" s="1213"/>
      <c r="O85" s="1225"/>
      <c r="P85" s="1213">
        <v>92.791532346158505</v>
      </c>
      <c r="Q85" s="1213">
        <v>156.85141091122298</v>
      </c>
      <c r="R85" s="1213">
        <v>107.68907634834495</v>
      </c>
      <c r="S85" s="1213">
        <v>90.974494927532447</v>
      </c>
      <c r="T85" s="1213"/>
      <c r="U85" s="1213"/>
      <c r="V85" s="1225"/>
      <c r="W85" s="1213">
        <v>92.791532346158505</v>
      </c>
      <c r="X85" s="1213">
        <v>146.03147384736718</v>
      </c>
      <c r="Y85" s="1213">
        <v>83.676121734179659</v>
      </c>
      <c r="Z85" s="1213">
        <v>70.304456597529651</v>
      </c>
      <c r="AA85" s="1213"/>
      <c r="AB85" s="1213"/>
      <c r="AC85" s="1225"/>
      <c r="AD85" s="1225"/>
      <c r="AE85" s="1129"/>
      <c r="AF85" s="1225"/>
    </row>
    <row r="86" spans="1:67">
      <c r="A86" s="1238"/>
      <c r="F86" s="1212"/>
      <c r="G86" s="1218"/>
      <c r="H86" s="1213"/>
      <c r="I86" s="1213"/>
      <c r="J86" s="1213"/>
      <c r="K86" s="1213"/>
      <c r="L86" s="1213"/>
      <c r="M86" s="1213"/>
      <c r="N86" s="1213"/>
      <c r="O86" s="1225"/>
      <c r="P86" s="1213"/>
      <c r="Q86" s="1213"/>
      <c r="R86" s="1213"/>
      <c r="S86" s="1213"/>
      <c r="T86" s="1213"/>
      <c r="U86" s="1213"/>
      <c r="V86" s="1225"/>
      <c r="W86" s="1213"/>
      <c r="X86" s="1213"/>
      <c r="Y86" s="1213"/>
      <c r="Z86" s="1213"/>
      <c r="AA86" s="1213"/>
      <c r="AB86" s="1213"/>
      <c r="AC86" s="1225"/>
      <c r="AD86" s="1225"/>
      <c r="AE86" s="1129"/>
      <c r="AF86" s="1225"/>
      <c r="AJ86" s="1260"/>
      <c r="AK86" s="1260"/>
    </row>
    <row r="87" spans="1:67">
      <c r="A87" s="1238"/>
      <c r="F87" s="1218" t="s">
        <v>994</v>
      </c>
      <c r="G87" s="1218"/>
      <c r="H87" s="1213"/>
      <c r="I87" s="1213"/>
      <c r="J87" s="1213"/>
      <c r="K87" s="1213"/>
      <c r="L87" s="1213"/>
      <c r="M87" s="1213"/>
      <c r="N87" s="1213"/>
      <c r="O87" s="1225"/>
      <c r="P87" s="1213"/>
      <c r="Q87" s="1213"/>
      <c r="R87" s="1213"/>
      <c r="S87" s="1213"/>
      <c r="T87" s="1213"/>
      <c r="U87" s="1213"/>
      <c r="V87" s="1225"/>
      <c r="W87" s="1213"/>
      <c r="X87" s="1213"/>
      <c r="Y87" s="1213"/>
      <c r="Z87" s="1213"/>
      <c r="AA87" s="1213"/>
      <c r="AB87" s="1213"/>
      <c r="AC87" s="1225"/>
      <c r="AD87" s="1225"/>
      <c r="AE87" s="1129"/>
      <c r="AF87" s="1225"/>
      <c r="AZ87" s="1256"/>
      <c r="BA87" s="1256"/>
      <c r="BB87" s="1256"/>
      <c r="BC87" s="1256"/>
      <c r="BD87" s="1256"/>
    </row>
    <row r="88" spans="1:67">
      <c r="A88" s="1238"/>
      <c r="F88" s="1218" t="s">
        <v>995</v>
      </c>
      <c r="G88" s="1218"/>
      <c r="H88" s="1213"/>
      <c r="I88" s="1213"/>
      <c r="J88" s="1213"/>
      <c r="K88" s="1213"/>
      <c r="L88" s="1213"/>
      <c r="M88" s="1213"/>
      <c r="N88" s="1213"/>
      <c r="O88" s="1225"/>
      <c r="P88" s="1213"/>
      <c r="Q88" s="1213"/>
      <c r="R88" s="1213"/>
      <c r="S88" s="1213"/>
      <c r="T88" s="1213"/>
      <c r="U88" s="1213"/>
      <c r="V88" s="1225"/>
      <c r="W88" s="1213"/>
      <c r="X88" s="1213"/>
      <c r="Y88" s="1213"/>
      <c r="Z88" s="1213"/>
      <c r="AA88" s="1213"/>
      <c r="AB88" s="1213"/>
      <c r="AC88" s="1225"/>
      <c r="AD88" s="1225"/>
      <c r="AE88" s="1129"/>
      <c r="AF88" s="1225"/>
      <c r="BA88" s="1256"/>
      <c r="BB88" s="1256"/>
      <c r="BC88" s="1256"/>
    </row>
    <row r="89" spans="1:67" ht="14.5" thickBot="1">
      <c r="A89" s="1238"/>
    </row>
    <row r="90" spans="1:67" ht="14.5" thickBot="1">
      <c r="A90" s="1238"/>
      <c r="K90" s="1267">
        <v>2022</v>
      </c>
      <c r="L90" s="1268">
        <v>2023</v>
      </c>
      <c r="R90" s="1269">
        <v>2022</v>
      </c>
      <c r="S90" s="1270">
        <v>2023</v>
      </c>
      <c r="Y90" s="1269">
        <v>2022</v>
      </c>
      <c r="Z90" s="1270">
        <v>2023</v>
      </c>
    </row>
    <row r="91" spans="1:67" ht="14.5" thickBot="1">
      <c r="A91" s="1238"/>
      <c r="J91" s="1271" t="s">
        <v>1004</v>
      </c>
      <c r="K91" s="1272">
        <v>1.55</v>
      </c>
      <c r="L91" s="1273">
        <v>1.1499999999999999</v>
      </c>
      <c r="Q91" s="1271" t="s">
        <v>1004</v>
      </c>
      <c r="R91" s="1272">
        <v>3</v>
      </c>
      <c r="S91" s="1273">
        <v>3.4</v>
      </c>
      <c r="X91" s="1271" t="s">
        <v>1004</v>
      </c>
      <c r="Y91" s="1272">
        <v>4.0999999999999996</v>
      </c>
      <c r="Z91" s="1273">
        <v>4.7</v>
      </c>
      <c r="BG91" s="473"/>
      <c r="BH91" s="473"/>
    </row>
    <row r="92" spans="1:67">
      <c r="A92" s="1238"/>
      <c r="J92" s="1271" t="s">
        <v>130</v>
      </c>
      <c r="K92" s="1274">
        <f>K56</f>
        <v>19617.965464697885</v>
      </c>
      <c r="L92" s="1275">
        <f>L56</f>
        <v>17525.561824735887</v>
      </c>
      <c r="Q92" s="1271" t="s">
        <v>130</v>
      </c>
      <c r="R92" s="1274">
        <f>R56</f>
        <v>33097.076401671773</v>
      </c>
      <c r="S92" s="1275">
        <f>S56</f>
        <v>28472.927359907386</v>
      </c>
      <c r="X92" s="1271" t="s">
        <v>130</v>
      </c>
      <c r="Y92" s="1274">
        <f>Y56</f>
        <v>25530.344124321888</v>
      </c>
      <c r="Z92" s="1275">
        <f>Z56</f>
        <v>21302.258584393727</v>
      </c>
      <c r="BG92" s="473"/>
      <c r="BH92" s="473"/>
    </row>
    <row r="93" spans="1:67">
      <c r="A93" s="1238"/>
      <c r="J93" s="1271" t="s">
        <v>1005</v>
      </c>
      <c r="K93" s="1276">
        <f>K91*K92</f>
        <v>30407.846470281722</v>
      </c>
      <c r="L93" s="1277">
        <f>L91*L92</f>
        <v>20154.396098446268</v>
      </c>
      <c r="Q93" s="1271" t="s">
        <v>1005</v>
      </c>
      <c r="R93" s="1276">
        <f>R91*R92</f>
        <v>99291.229205015319</v>
      </c>
      <c r="S93" s="1277">
        <f>S91*S92</f>
        <v>96807.953023685113</v>
      </c>
      <c r="X93" s="1271" t="s">
        <v>1005</v>
      </c>
      <c r="Y93" s="1276">
        <f>Y91*Y92</f>
        <v>104674.41090971974</v>
      </c>
      <c r="Z93" s="1277">
        <f>Z91*Z92</f>
        <v>100120.61534665052</v>
      </c>
      <c r="BG93" s="473"/>
      <c r="BJ93" s="473"/>
      <c r="BO93" s="1241"/>
    </row>
    <row r="94" spans="1:67">
      <c r="A94" s="1238"/>
      <c r="J94" s="1271" t="s">
        <v>1006</v>
      </c>
      <c r="K94" s="1276" t="e">
        <f>K93-J63</f>
        <v>#VALUE!</v>
      </c>
      <c r="L94" s="1277" t="e">
        <f>L93-K63</f>
        <v>#VALUE!</v>
      </c>
      <c r="Q94" s="1271" t="s">
        <v>1006</v>
      </c>
      <c r="R94" s="1276">
        <f>R93-Q63</f>
        <v>103716.12250236351</v>
      </c>
      <c r="S94" s="1277">
        <f>S93-R63</f>
        <v>101115.16475146124</v>
      </c>
      <c r="X94" s="1271" t="s">
        <v>1006</v>
      </c>
      <c r="Y94" s="1276">
        <f>Y93-X63</f>
        <v>106004.15504589648</v>
      </c>
      <c r="Z94" s="1277">
        <f>Z93-Y63</f>
        <v>97403.415285966388</v>
      </c>
      <c r="AZ94" s="1260"/>
      <c r="BA94" s="1260"/>
      <c r="BB94" s="1260"/>
      <c r="BC94" s="1260"/>
      <c r="BD94" s="1260"/>
      <c r="BE94" s="1256"/>
      <c r="BF94" s="1256"/>
      <c r="BG94" s="1278"/>
      <c r="BH94" s="1256"/>
      <c r="BI94" s="1256"/>
      <c r="BJ94" s="1278"/>
    </row>
    <row r="95" spans="1:67">
      <c r="A95" s="1238"/>
      <c r="J95" s="1271" t="s">
        <v>1007</v>
      </c>
      <c r="K95" s="1276">
        <f>E10</f>
        <v>12435.441279123317</v>
      </c>
      <c r="L95" s="1277">
        <f>K95</f>
        <v>12435.441279123317</v>
      </c>
      <c r="Q95" s="1271" t="s">
        <v>1007</v>
      </c>
      <c r="R95" s="1276">
        <f>K95</f>
        <v>12435.441279123317</v>
      </c>
      <c r="S95" s="1277">
        <f>R95</f>
        <v>12435.441279123317</v>
      </c>
      <c r="X95" s="1271" t="s">
        <v>1007</v>
      </c>
      <c r="Y95" s="1276">
        <f>R95</f>
        <v>12435.441279123317</v>
      </c>
      <c r="Z95" s="1277">
        <f>Y95</f>
        <v>12435.441279123317</v>
      </c>
      <c r="AZ95" s="1260"/>
      <c r="BA95" s="1260"/>
      <c r="BB95" s="1260"/>
      <c r="BC95" s="1260"/>
      <c r="BD95" s="1260"/>
      <c r="BE95" s="1256"/>
      <c r="BF95" s="1260"/>
      <c r="BG95" s="1263"/>
      <c r="BH95" s="1256"/>
      <c r="BI95" s="1260"/>
      <c r="BJ95" s="1263"/>
      <c r="BN95" s="1279"/>
    </row>
    <row r="96" spans="1:67">
      <c r="A96" s="1238"/>
      <c r="J96" s="1280" t="s">
        <v>1008</v>
      </c>
      <c r="K96" s="1281" t="e">
        <f>(K94/K95)-1</f>
        <v>#VALUE!</v>
      </c>
      <c r="L96" s="1282" t="e">
        <f>(L94/L95)-1</f>
        <v>#VALUE!</v>
      </c>
      <c r="Q96" s="1280" t="s">
        <v>1008</v>
      </c>
      <c r="R96" s="1281">
        <f>(R94/R95)-1</f>
        <v>7.34036526524255</v>
      </c>
      <c r="S96" s="1282">
        <f>(S94/S95)-1</f>
        <v>7.1312084132642646</v>
      </c>
      <c r="X96" s="1280" t="s">
        <v>1008</v>
      </c>
      <c r="Y96" s="1281">
        <f>(Y94/Y95)-1</f>
        <v>7.5243581362775434</v>
      </c>
      <c r="Z96" s="1282">
        <f>(Z94/Z95)-1</f>
        <v>6.8327268891927257</v>
      </c>
      <c r="BG96" s="473"/>
      <c r="BJ96" s="473"/>
    </row>
    <row r="97" spans="7:67" ht="14.5" thickBot="1">
      <c r="J97" s="1283" t="s">
        <v>1009</v>
      </c>
      <c r="K97" s="1284" t="e">
        <f>$F$3*(1+K96)</f>
        <v>#VALUE!</v>
      </c>
      <c r="L97" s="1285" t="e">
        <f>$F$3*(1+L96)</f>
        <v>#VALUE!</v>
      </c>
      <c r="Q97" s="1283" t="s">
        <v>1009</v>
      </c>
      <c r="R97" s="1284">
        <f>$F$3*(1+R96)</f>
        <v>194.37596567084699</v>
      </c>
      <c r="S97" s="1285">
        <f>$F$3*(1+S96)</f>
        <v>189.50147111490966</v>
      </c>
      <c r="X97" s="1283" t="s">
        <v>1009</v>
      </c>
      <c r="Y97" s="1284">
        <f>$F$3*(1+Y96)</f>
        <v>198.66400232710947</v>
      </c>
      <c r="Z97" s="1285">
        <f>$F$3*(1+Z96)</f>
        <v>182.54522487973662</v>
      </c>
      <c r="BG97" s="473"/>
      <c r="BJ97" s="473"/>
      <c r="BO97" s="1241"/>
    </row>
    <row r="98" spans="7:67">
      <c r="L98" s="1286"/>
      <c r="R98" s="1286"/>
      <c r="S98" s="1286"/>
      <c r="Y98" s="1286"/>
      <c r="Z98" s="1286"/>
      <c r="AZ98" s="1256"/>
      <c r="BA98" s="1256"/>
      <c r="BB98" s="1256"/>
      <c r="BC98" s="1256"/>
      <c r="BD98" s="1256"/>
      <c r="BE98" s="1256"/>
      <c r="BF98" s="1256"/>
      <c r="BG98" s="1278"/>
      <c r="BH98" s="1256"/>
      <c r="BI98" s="1256"/>
      <c r="BJ98" s="1278"/>
    </row>
    <row r="99" spans="7:67">
      <c r="R99" s="473"/>
      <c r="AZ99" s="1256"/>
      <c r="BA99" s="1256"/>
      <c r="BB99" s="1256"/>
      <c r="BC99" s="1256"/>
      <c r="BD99" s="1256"/>
      <c r="BE99" s="1256"/>
      <c r="BF99" s="1260"/>
      <c r="BG99" s="1263"/>
      <c r="BH99" s="1256"/>
      <c r="BI99" s="1260"/>
      <c r="BJ99" s="1263"/>
      <c r="BN99" s="1279"/>
    </row>
    <row r="100" spans="7:67">
      <c r="I100" s="473">
        <v>2019</v>
      </c>
      <c r="J100" s="1">
        <v>2020</v>
      </c>
      <c r="K100" s="1">
        <v>2020</v>
      </c>
      <c r="L100" s="2"/>
      <c r="M100" s="2"/>
      <c r="N100" s="2"/>
      <c r="T100" s="2"/>
      <c r="U100" s="2"/>
      <c r="AA100" s="2"/>
      <c r="AB100" s="2"/>
    </row>
    <row r="101" spans="7:67">
      <c r="G101" s="1" t="s">
        <v>487</v>
      </c>
      <c r="I101" s="1246">
        <f>H56</f>
        <v>17987</v>
      </c>
      <c r="J101" s="2">
        <f>I56</f>
        <v>21535</v>
      </c>
      <c r="K101" s="2">
        <f ca="1">J56</f>
        <v>43057.492651398425</v>
      </c>
      <c r="L101" s="634"/>
      <c r="M101" s="634"/>
      <c r="N101" s="634"/>
      <c r="T101" s="634"/>
      <c r="U101" s="634"/>
      <c r="AA101" s="634"/>
      <c r="AB101" s="634"/>
    </row>
    <row r="102" spans="7:67">
      <c r="G102" s="1238" t="s">
        <v>488</v>
      </c>
      <c r="I102" s="1245" t="e">
        <f>#REF!</f>
        <v>#REF!</v>
      </c>
      <c r="J102" s="634">
        <f>P56</f>
        <v>18996.40586563047</v>
      </c>
      <c r="K102" s="634">
        <f>R56</f>
        <v>33097.076401671773</v>
      </c>
      <c r="L102" s="634"/>
      <c r="M102" s="634"/>
      <c r="N102" s="634"/>
      <c r="T102" s="634"/>
      <c r="U102" s="634"/>
      <c r="AA102" s="634"/>
      <c r="AB102" s="634"/>
    </row>
    <row r="103" spans="7:67">
      <c r="G103" s="1238" t="s">
        <v>442</v>
      </c>
      <c r="I103" s="1245" t="e">
        <f>#REF!</f>
        <v>#REF!</v>
      </c>
      <c r="J103" s="634">
        <f>AD56</f>
        <v>4002.0509999999999</v>
      </c>
      <c r="K103" s="634">
        <f>AE56</f>
        <v>4250.3590000000004</v>
      </c>
      <c r="BG103" s="473"/>
    </row>
    <row r="104" spans="7:67">
      <c r="G104" s="1238"/>
      <c r="BD104" s="1241"/>
      <c r="BE104" s="1278"/>
      <c r="BF104" s="1278"/>
      <c r="BG104" s="473"/>
    </row>
    <row r="105" spans="7:67">
      <c r="G105" s="1238"/>
      <c r="I105" s="473" t="s">
        <v>487</v>
      </c>
      <c r="J105" s="1" t="s">
        <v>489</v>
      </c>
      <c r="K105" s="1" t="s">
        <v>489</v>
      </c>
      <c r="O105" s="1" t="s">
        <v>442</v>
      </c>
      <c r="BD105" s="1241"/>
      <c r="BE105" s="1278"/>
      <c r="BF105" s="473"/>
      <c r="BG105" s="1278"/>
    </row>
    <row r="106" spans="7:67">
      <c r="G106" s="1238"/>
      <c r="H106" s="1">
        <v>2019</v>
      </c>
      <c r="I106" s="1246">
        <f>I101</f>
        <v>17987</v>
      </c>
      <c r="J106" s="634" t="e">
        <f>I102</f>
        <v>#REF!</v>
      </c>
      <c r="K106" s="634">
        <f>J102</f>
        <v>18996.40586563047</v>
      </c>
      <c r="L106" s="634"/>
      <c r="M106" s="634"/>
      <c r="N106" s="634"/>
      <c r="O106" s="634" t="e">
        <f>I103</f>
        <v>#REF!</v>
      </c>
      <c r="T106" s="634"/>
      <c r="U106" s="634"/>
      <c r="AA106" s="634"/>
      <c r="AB106" s="634"/>
    </row>
    <row r="107" spans="7:67">
      <c r="G107" s="1238"/>
      <c r="H107" s="1">
        <v>2020</v>
      </c>
      <c r="I107" s="1239">
        <f>J101</f>
        <v>21535</v>
      </c>
      <c r="J107" s="634">
        <f>J102</f>
        <v>18996.40586563047</v>
      </c>
      <c r="K107" s="634">
        <f>K102</f>
        <v>33097.076401671773</v>
      </c>
      <c r="L107" s="634"/>
      <c r="M107" s="634"/>
      <c r="N107" s="634"/>
      <c r="O107" s="634">
        <f>J103</f>
        <v>4002.0509999999999</v>
      </c>
      <c r="T107" s="634"/>
      <c r="U107" s="634"/>
      <c r="AA107" s="634"/>
      <c r="AB107" s="634"/>
      <c r="BG107" s="473"/>
    </row>
    <row r="108" spans="7:67">
      <c r="G108" s="1238"/>
      <c r="BD108" s="1256"/>
      <c r="BE108" s="1256"/>
      <c r="BF108" s="1256"/>
      <c r="BG108" s="1256"/>
    </row>
    <row r="109" spans="7:67">
      <c r="G109" s="1238"/>
      <c r="BD109" s="1256"/>
      <c r="BE109" s="1256"/>
      <c r="BF109" s="1256"/>
      <c r="BG109" s="1256"/>
    </row>
    <row r="110" spans="7:67">
      <c r="G110" s="1238"/>
      <c r="I110" s="473" t="s">
        <v>487</v>
      </c>
      <c r="J110" s="1" t="str">
        <f>J105</f>
        <v>BI - Spot</v>
      </c>
      <c r="K110" s="1" t="str">
        <f>K105</f>
        <v>BI - Spot</v>
      </c>
      <c r="O110" s="1" t="s">
        <v>442</v>
      </c>
    </row>
    <row r="111" spans="7:67">
      <c r="G111" s="1238"/>
      <c r="H111" s="1" t="s">
        <v>491</v>
      </c>
      <c r="I111" s="1287">
        <f>I106/1000</f>
        <v>17.986999999999998</v>
      </c>
      <c r="J111" s="1287" t="e">
        <f t="shared" ref="J111:O112" si="20">J106/1000</f>
        <v>#REF!</v>
      </c>
      <c r="K111" s="1287">
        <f>K106/1000</f>
        <v>18.996405865630468</v>
      </c>
      <c r="L111" s="1287"/>
      <c r="M111" s="1287"/>
      <c r="N111" s="1287"/>
      <c r="O111" s="1287" t="e">
        <f t="shared" si="20"/>
        <v>#REF!</v>
      </c>
      <c r="T111" s="1287"/>
      <c r="U111" s="1287"/>
      <c r="AA111" s="1287"/>
      <c r="AB111" s="1287"/>
    </row>
    <row r="112" spans="7:67">
      <c r="G112" s="1238"/>
      <c r="H112" s="1" t="s">
        <v>492</v>
      </c>
      <c r="I112" s="1287">
        <f>I107/1000</f>
        <v>21.535</v>
      </c>
      <c r="J112" s="1287">
        <f t="shared" si="20"/>
        <v>18.996405865630468</v>
      </c>
      <c r="K112" s="1287">
        <f>K107/1000</f>
        <v>33.097076401671771</v>
      </c>
      <c r="L112" s="1287"/>
      <c r="M112" s="1287"/>
      <c r="N112" s="1287"/>
      <c r="O112" s="1287">
        <f t="shared" si="20"/>
        <v>4.0020509999999998</v>
      </c>
      <c r="T112" s="1287"/>
      <c r="U112" s="1287"/>
      <c r="AA112" s="1287"/>
      <c r="AB112" s="1287"/>
    </row>
    <row r="113" spans="6:86">
      <c r="F113" s="1238"/>
      <c r="G113" s="1238"/>
    </row>
    <row r="114" spans="6:86">
      <c r="F114" s="1238"/>
      <c r="G114" s="1238"/>
      <c r="H114" s="1" t="s">
        <v>491</v>
      </c>
      <c r="I114" s="1258" t="e">
        <f t="shared" ref="I114:K115" si="21">(I111/$O111)-1</f>
        <v>#REF!</v>
      </c>
      <c r="J114" s="1258" t="e">
        <f t="shared" si="21"/>
        <v>#REF!</v>
      </c>
      <c r="K114" s="1258" t="e">
        <f t="shared" si="21"/>
        <v>#REF!</v>
      </c>
      <c r="L114" s="1258"/>
      <c r="M114" s="1258"/>
      <c r="N114" s="1258"/>
      <c r="T114" s="1258"/>
      <c r="U114" s="1258"/>
      <c r="AA114" s="1258"/>
      <c r="AB114" s="1258"/>
    </row>
    <row r="115" spans="6:86">
      <c r="F115" s="1238"/>
      <c r="G115" s="1238"/>
      <c r="H115" s="1" t="s">
        <v>492</v>
      </c>
      <c r="I115" s="1258">
        <f t="shared" si="21"/>
        <v>4.3809908969176057</v>
      </c>
      <c r="J115" s="1258">
        <f t="shared" si="21"/>
        <v>3.7466676125892624</v>
      </c>
      <c r="K115" s="1258">
        <f t="shared" si="21"/>
        <v>7.270028643231127</v>
      </c>
      <c r="L115" s="1258"/>
      <c r="M115" s="1258"/>
      <c r="N115" s="1258"/>
      <c r="T115" s="1258"/>
      <c r="U115" s="1258"/>
      <c r="AA115" s="1258"/>
      <c r="AB115" s="1258"/>
    </row>
    <row r="116" spans="6:86">
      <c r="F116" s="1238"/>
      <c r="G116" s="1238"/>
      <c r="BT116" s="1258">
        <v>0.08</v>
      </c>
      <c r="BU116" s="1288" t="s">
        <v>1010</v>
      </c>
      <c r="BV116" s="1289">
        <v>100</v>
      </c>
    </row>
    <row r="117" spans="6:86">
      <c r="F117" s="1238"/>
      <c r="G117" s="1238"/>
      <c r="BV117" s="1290">
        <f>F3</f>
        <v>23.30545</v>
      </c>
    </row>
    <row r="118" spans="6:86">
      <c r="F118" s="1238"/>
      <c r="G118" s="1238"/>
    </row>
    <row r="119" spans="6:86">
      <c r="F119" s="1238"/>
      <c r="G119" s="1238"/>
    </row>
    <row r="120" spans="6:86">
      <c r="F120" s="1238"/>
      <c r="G120" s="1238"/>
    </row>
    <row r="121" spans="6:86" ht="14.5" thickBot="1">
      <c r="F121" s="1238"/>
      <c r="G121" s="1238"/>
    </row>
    <row r="122" spans="6:86">
      <c r="F122" s="1238"/>
      <c r="G122" s="1238"/>
      <c r="BS122" s="1291" t="s">
        <v>1011</v>
      </c>
      <c r="BT122" s="1292">
        <v>2021</v>
      </c>
      <c r="BU122" s="1292">
        <v>2022</v>
      </c>
      <c r="BV122" s="1292">
        <v>2023</v>
      </c>
      <c r="BW122" s="1293"/>
      <c r="BX122" s="1397" t="s">
        <v>1011</v>
      </c>
      <c r="BY122" s="1397"/>
      <c r="BZ122" s="1398"/>
      <c r="CB122" s="1294" t="s">
        <v>1012</v>
      </c>
      <c r="CC122" s="1295">
        <v>4</v>
      </c>
      <c r="CF122" s="1294" t="s">
        <v>1012</v>
      </c>
      <c r="CG122" s="1295">
        <v>5</v>
      </c>
    </row>
    <row r="123" spans="6:86" ht="14.5" thickBot="1">
      <c r="F123" s="1238"/>
      <c r="G123" s="1238"/>
      <c r="BS123" s="1296" t="s">
        <v>130</v>
      </c>
      <c r="BT123" s="1297">
        <f>X56</f>
        <v>40953.473127999052</v>
      </c>
      <c r="BU123" s="1297">
        <f t="shared" ref="BU123:BV123" si="22">Y56</f>
        <v>25530.344124321888</v>
      </c>
      <c r="BV123" s="1297">
        <f t="shared" si="22"/>
        <v>21302.258584393727</v>
      </c>
      <c r="BW123" s="1298"/>
      <c r="BX123" s="1299"/>
      <c r="BY123" s="1300" t="s">
        <v>925</v>
      </c>
      <c r="BZ123" s="1301" t="s">
        <v>974</v>
      </c>
    </row>
    <row r="124" spans="6:86" ht="14.5" thickBot="1">
      <c r="F124" s="1238"/>
      <c r="G124" s="1238"/>
      <c r="BS124" s="1296" t="s">
        <v>439</v>
      </c>
      <c r="BT124" s="1297">
        <f>E10</f>
        <v>12435.441279123317</v>
      </c>
      <c r="BU124" s="1297">
        <f>BT124</f>
        <v>12435.441279123317</v>
      </c>
      <c r="BV124" s="1297">
        <f>BU124</f>
        <v>12435.441279123317</v>
      </c>
      <c r="BW124" s="1298"/>
      <c r="BX124" s="1302" t="s">
        <v>1013</v>
      </c>
      <c r="BY124" s="1303">
        <v>4.2</v>
      </c>
      <c r="BZ124" s="1304">
        <v>5.3</v>
      </c>
      <c r="CB124" s="1305">
        <v>2022</v>
      </c>
      <c r="CC124" s="1306" t="s">
        <v>1014</v>
      </c>
      <c r="CF124" s="1305">
        <v>2023</v>
      </c>
      <c r="CG124" s="1306" t="s">
        <v>1014</v>
      </c>
    </row>
    <row r="125" spans="6:86">
      <c r="F125" s="1238"/>
      <c r="G125" s="1238"/>
      <c r="BS125" s="1296" t="s">
        <v>1015</v>
      </c>
      <c r="BT125" s="1307">
        <f>BT129/BT124</f>
        <v>1.9964423076484024</v>
      </c>
      <c r="BU125" s="1307">
        <f t="shared" ref="BU125:BV125" si="23">BU129/BU124</f>
        <v>1.0231178823316536</v>
      </c>
      <c r="BV125" s="1307">
        <f t="shared" si="23"/>
        <v>0.74031788928679165</v>
      </c>
      <c r="BW125" s="1298"/>
      <c r="BX125" s="1308" t="s">
        <v>130</v>
      </c>
      <c r="BY125" s="1309">
        <f>BU123</f>
        <v>25530.344124321888</v>
      </c>
      <c r="BZ125" s="1310">
        <f>BV123</f>
        <v>21302.258584393727</v>
      </c>
      <c r="CB125" s="1311" t="s">
        <v>1016</v>
      </c>
      <c r="CC125" s="1312">
        <f>(CD125/BY124)-1</f>
        <v>-4.7619047619047672E-2</v>
      </c>
      <c r="CD125" s="1295">
        <f>CC122</f>
        <v>4</v>
      </c>
      <c r="CF125" s="1311" t="s">
        <v>1016</v>
      </c>
      <c r="CG125" s="1312">
        <f>(CH125/BZ124)-1</f>
        <v>-5.6603773584905648E-2</v>
      </c>
      <c r="CH125" s="1295">
        <f>CG122</f>
        <v>5</v>
      </c>
    </row>
    <row r="126" spans="6:86">
      <c r="F126" s="1238"/>
      <c r="G126" s="1238"/>
      <c r="BS126" s="1296" t="s">
        <v>1017</v>
      </c>
      <c r="BT126" s="1307">
        <f>BT129/BT127</f>
        <v>0.78741202904348351</v>
      </c>
      <c r="BU126" s="1307">
        <f t="shared" ref="BU126:BV126" si="24">BU129/BU127</f>
        <v>0.40352547358424246</v>
      </c>
      <c r="BV126" s="1307">
        <f t="shared" si="24"/>
        <v>0.29198700563861402</v>
      </c>
      <c r="BW126" s="1298"/>
      <c r="BX126" s="1308" t="s">
        <v>1005</v>
      </c>
      <c r="BY126" s="1313">
        <f>BY124*BY125</f>
        <v>107227.44532215194</v>
      </c>
      <c r="BZ126" s="1314">
        <f>BZ124*BZ125</f>
        <v>112901.97049728675</v>
      </c>
      <c r="CB126" s="1315" t="s">
        <v>1018</v>
      </c>
      <c r="CC126" s="1316">
        <f>BU131+$V$100</f>
        <v>6.4216594043693079E-2</v>
      </c>
      <c r="CF126" s="1315" t="s">
        <v>1018</v>
      </c>
      <c r="CG126" s="1316">
        <f>BU131+$V$100+BV131</f>
        <v>0.11541430663997182</v>
      </c>
    </row>
    <row r="127" spans="6:86">
      <c r="F127" s="1238"/>
      <c r="G127" s="1238"/>
      <c r="BS127" s="1296" t="s">
        <v>1019</v>
      </c>
      <c r="BT127" s="1297">
        <f>Q66</f>
        <v>31529.4155641457</v>
      </c>
      <c r="BU127" s="1297">
        <f>BT127</f>
        <v>31529.4155641457</v>
      </c>
      <c r="BV127" s="1297">
        <f>BU127</f>
        <v>31529.4155641457</v>
      </c>
      <c r="BW127" s="1298"/>
      <c r="BX127" s="1308" t="s">
        <v>1020</v>
      </c>
      <c r="BY127" s="1313">
        <f>BY126-BT130</f>
        <v>108557.18945832868</v>
      </c>
      <c r="BZ127" s="1314">
        <f>BZ126-BU130</f>
        <v>110184.77043660262</v>
      </c>
      <c r="CB127" s="1317" t="s">
        <v>1021</v>
      </c>
      <c r="CC127" s="1318">
        <f>SUM(CC125:CC126)</f>
        <v>1.6597546424645407E-2</v>
      </c>
      <c r="CF127" s="1317" t="s">
        <v>1021</v>
      </c>
      <c r="CG127" s="1318">
        <f>SUM(CG125:CG126)</f>
        <v>5.8810533055066172E-2</v>
      </c>
    </row>
    <row r="128" spans="6:86">
      <c r="F128" s="1238"/>
      <c r="G128" s="1238"/>
      <c r="BS128" s="1296" t="s">
        <v>454</v>
      </c>
      <c r="BT128" s="1319">
        <f>BT127/BT123</f>
        <v>0.76988380120048194</v>
      </c>
      <c r="BU128" s="1319">
        <f t="shared" ref="BU128:BV128" si="25">BU127/BU123</f>
        <v>1.2349780876674006</v>
      </c>
      <c r="BV128" s="1319">
        <f t="shared" si="25"/>
        <v>1.4800973070172241</v>
      </c>
      <c r="BW128" s="1298"/>
      <c r="BX128" s="1308" t="s">
        <v>1022</v>
      </c>
      <c r="BY128" s="1313">
        <f>BT124</f>
        <v>12435.441279123317</v>
      </c>
      <c r="BZ128" s="1310">
        <f>BY128</f>
        <v>12435.441279123317</v>
      </c>
      <c r="CC128" s="1320">
        <f>CC127-BU132</f>
        <v>7.0564213091312014E-2</v>
      </c>
      <c r="CG128" s="1320">
        <f>CG127-BV132</f>
        <v>0.29531719972173293</v>
      </c>
    </row>
    <row r="129" spans="6:86">
      <c r="F129" s="1238"/>
      <c r="G129" s="1238"/>
      <c r="BS129" s="1296" t="s">
        <v>450</v>
      </c>
      <c r="BT129" s="1297">
        <f>X57</f>
        <v>24826.641083919156</v>
      </c>
      <c r="BU129" s="1297">
        <f t="shared" ref="BU129:BV129" si="26">Y57</f>
        <v>12722.922347356278</v>
      </c>
      <c r="BV129" s="1297">
        <f t="shared" si="26"/>
        <v>9206.1796401104148</v>
      </c>
      <c r="BW129" s="1298"/>
      <c r="BX129" s="1321" t="s">
        <v>1008</v>
      </c>
      <c r="BY129" s="1322">
        <f>(BY127/BY128)-1</f>
        <v>7.7296612176179913</v>
      </c>
      <c r="BZ129" s="1323">
        <f>(BZ127/BZ128)-1</f>
        <v>7.8605436641465527</v>
      </c>
    </row>
    <row r="130" spans="6:86" ht="14.5" thickBot="1">
      <c r="F130" s="1238"/>
      <c r="G130" s="1238"/>
      <c r="BS130" s="1296" t="s">
        <v>1023</v>
      </c>
      <c r="BT130" s="1324">
        <f>X63</f>
        <v>-1329.7441361767487</v>
      </c>
      <c r="BU130" s="1324">
        <f t="shared" ref="BU130:BV130" si="27">Y63</f>
        <v>2717.2000606841357</v>
      </c>
      <c r="BV130" s="1324">
        <f t="shared" si="27"/>
        <v>8994.0629051060241</v>
      </c>
      <c r="BW130" s="1298"/>
      <c r="BX130" s="1325" t="s">
        <v>1009</v>
      </c>
      <c r="BY130" s="1326">
        <f>$F$3*(1+BY129)</f>
        <v>203.44868302413522</v>
      </c>
      <c r="BZ130" s="1327">
        <f>$F$3*(1+BZ129)</f>
        <v>206.49895733758427</v>
      </c>
    </row>
    <row r="131" spans="6:86" ht="14.5" thickBot="1">
      <c r="F131" s="1238"/>
      <c r="G131" s="1238"/>
      <c r="BS131" s="1328" t="s">
        <v>1024</v>
      </c>
      <c r="BT131" s="1329">
        <f>X61</f>
        <v>0.11047248816881278</v>
      </c>
      <c r="BU131" s="1329">
        <f t="shared" ref="BU131:BV131" si="28">Y61</f>
        <v>6.4216594043693079E-2</v>
      </c>
      <c r="BV131" s="1329">
        <f t="shared" si="28"/>
        <v>5.1197712596278741E-2</v>
      </c>
      <c r="BW131" s="1298"/>
      <c r="BX131" s="1330" t="s">
        <v>1025</v>
      </c>
      <c r="BY131" s="1331">
        <f>BY130/((1+$BT$116)^1)</f>
        <v>188.3784102075326</v>
      </c>
      <c r="BZ131" s="1332">
        <f>BZ130/((1+$BT$116)^1)</f>
        <v>191.20273827554098</v>
      </c>
    </row>
    <row r="132" spans="6:86">
      <c r="F132" s="1238"/>
      <c r="G132" s="1238"/>
      <c r="BS132" s="1333" t="s">
        <v>464</v>
      </c>
      <c r="BT132" s="1334"/>
      <c r="BU132" s="1335">
        <f>(BU133/$BV$116)-1</f>
        <v>-5.3966666666666607E-2</v>
      </c>
      <c r="BV132" s="1335">
        <f>(BV133/$BV$116)-1</f>
        <v>-0.23650666666666675</v>
      </c>
      <c r="BW132" s="1298"/>
      <c r="BX132" s="1336" t="s">
        <v>1026</v>
      </c>
      <c r="BY132" s="1337">
        <f>(BY124/CD125)-1</f>
        <v>5.0000000000000044E-2</v>
      </c>
      <c r="BZ132" s="1338"/>
      <c r="CB132" s="1">
        <v>6</v>
      </c>
    </row>
    <row r="133" spans="6:86">
      <c r="F133" s="1238"/>
      <c r="G133" s="1238"/>
      <c r="BS133" s="1339" t="s">
        <v>465</v>
      </c>
      <c r="BT133" s="1340">
        <f>X84</f>
        <v>159.84447500000002</v>
      </c>
      <c r="BU133" s="1340">
        <f t="shared" ref="BU133:BV133" si="29">Y84</f>
        <v>94.603333333333339</v>
      </c>
      <c r="BV133" s="1340">
        <f t="shared" si="29"/>
        <v>76.34933333333332</v>
      </c>
      <c r="BW133" s="1298"/>
      <c r="BX133" s="1336" t="s">
        <v>1027</v>
      </c>
      <c r="BY133" s="1337">
        <f>(5/BY124)-1</f>
        <v>0.19047619047619047</v>
      </c>
      <c r="BZ133" s="1338">
        <f>(5/BZ124)-1</f>
        <v>-5.6603773584905648E-2</v>
      </c>
    </row>
    <row r="134" spans="6:86">
      <c r="F134" s="1238"/>
      <c r="G134" s="1238"/>
      <c r="BS134" s="1339"/>
      <c r="BT134" s="1340"/>
      <c r="BU134" s="1340"/>
      <c r="BV134" s="1340"/>
      <c r="BW134" s="1298"/>
      <c r="BX134" s="1341"/>
      <c r="BY134" s="1337"/>
      <c r="BZ134" s="1342"/>
    </row>
    <row r="135" spans="6:86" ht="14.5" thickBot="1">
      <c r="F135" s="1238"/>
      <c r="G135" s="1238"/>
      <c r="BS135" s="1343"/>
      <c r="BT135" s="1344"/>
      <c r="BU135" s="1344"/>
      <c r="BV135" s="1344"/>
      <c r="BW135" s="1345"/>
      <c r="BX135" s="1346"/>
      <c r="BY135" s="1347"/>
      <c r="BZ135" s="1348"/>
    </row>
    <row r="136" spans="6:86" ht="14.5" thickBot="1">
      <c r="F136" s="1238"/>
      <c r="G136" s="1238"/>
      <c r="BS136" s="1349"/>
      <c r="BT136" s="1350"/>
      <c r="BU136" s="1351"/>
      <c r="BV136" s="1351"/>
      <c r="BW136" s="1351"/>
      <c r="BX136" s="1351"/>
      <c r="BY136" s="1351"/>
      <c r="BZ136" s="1352"/>
    </row>
    <row r="137" spans="6:86">
      <c r="F137" s="1238"/>
      <c r="G137" s="1238"/>
      <c r="BS137" s="1291" t="s">
        <v>1028</v>
      </c>
      <c r="BT137" s="1292">
        <v>2021</v>
      </c>
      <c r="BU137" s="1292">
        <v>2022</v>
      </c>
      <c r="BV137" s="1292">
        <v>2023</v>
      </c>
      <c r="BW137" s="1293"/>
      <c r="BX137" s="1397" t="s">
        <v>1028</v>
      </c>
      <c r="BY137" s="1397"/>
      <c r="BZ137" s="1398"/>
    </row>
    <row r="138" spans="6:86" ht="14.5" thickBot="1">
      <c r="F138" s="1238"/>
      <c r="G138" s="1238"/>
      <c r="BS138" s="1296" t="s">
        <v>130</v>
      </c>
      <c r="BT138" s="1297">
        <f>Q56</f>
        <v>44514.807295463674</v>
      </c>
      <c r="BU138" s="1297">
        <f t="shared" ref="BU138:BV138" si="30">R56</f>
        <v>33097.076401671773</v>
      </c>
      <c r="BV138" s="1297">
        <f t="shared" si="30"/>
        <v>28472.927359907386</v>
      </c>
      <c r="BW138" s="1298"/>
      <c r="BX138" s="1299"/>
      <c r="BY138" s="1300" t="s">
        <v>925</v>
      </c>
      <c r="BZ138" s="1301" t="s">
        <v>974</v>
      </c>
    </row>
    <row r="139" spans="6:86" ht="14.5" thickBot="1">
      <c r="F139" s="1238"/>
      <c r="G139" s="1238"/>
      <c r="BS139" s="1296" t="s">
        <v>439</v>
      </c>
      <c r="BT139" s="1297">
        <f>BT124</f>
        <v>12435.441279123317</v>
      </c>
      <c r="BU139" s="1297">
        <f>BT139</f>
        <v>12435.441279123317</v>
      </c>
      <c r="BV139" s="1297">
        <f>BU139</f>
        <v>12435.441279123317</v>
      </c>
      <c r="BW139" s="1298"/>
      <c r="BX139" s="1302" t="s">
        <v>1013</v>
      </c>
      <c r="BY139" s="1303">
        <v>3.1</v>
      </c>
      <c r="BZ139" s="1304">
        <v>3.7</v>
      </c>
      <c r="CB139" s="1305">
        <v>2022</v>
      </c>
      <c r="CC139" s="1306" t="s">
        <v>1014</v>
      </c>
      <c r="CF139" s="1305">
        <f>CF124</f>
        <v>2023</v>
      </c>
      <c r="CG139" s="1306" t="s">
        <v>1014</v>
      </c>
    </row>
    <row r="140" spans="6:86">
      <c r="F140" s="1238"/>
      <c r="G140" s="1238"/>
      <c r="BS140" s="1296" t="s">
        <v>1015</v>
      </c>
      <c r="BT140" s="1307">
        <f>BT144/BT139</f>
        <v>2.251325696013931</v>
      </c>
      <c r="BU140" s="1307">
        <f t="shared" ref="BU140:BV140" si="31">BU144/BU139</f>
        <v>1.5601972928558498</v>
      </c>
      <c r="BV140" s="1307">
        <f t="shared" si="31"/>
        <v>1.2535200400557489</v>
      </c>
      <c r="BW140" s="1298"/>
      <c r="BX140" s="1308" t="s">
        <v>130</v>
      </c>
      <c r="BY140" s="1309">
        <f>BU138</f>
        <v>33097.076401671773</v>
      </c>
      <c r="BZ140" s="1310">
        <f>BV138</f>
        <v>28472.927359907386</v>
      </c>
      <c r="CB140" s="1311" t="s">
        <v>1016</v>
      </c>
      <c r="CC140" s="1312">
        <f>(CD140/BY139)-1</f>
        <v>4.6538064516129074E-2</v>
      </c>
      <c r="CD140" s="1295">
        <f>$CD$125*(1-BU147)</f>
        <v>3.2442679999999999</v>
      </c>
      <c r="CF140" s="1311" t="s">
        <v>1016</v>
      </c>
      <c r="CG140" s="1312">
        <f>(CH140/BZ139)-1</f>
        <v>0.41561945945945955</v>
      </c>
      <c r="CH140" s="1295">
        <f>$CH$125*(1-BV147)</f>
        <v>5.2377920000000007</v>
      </c>
    </row>
    <row r="141" spans="6:86">
      <c r="F141" s="1238"/>
      <c r="G141" s="1238"/>
      <c r="BS141" s="1296" t="s">
        <v>1017</v>
      </c>
      <c r="BT141" s="1307">
        <f>BT144/BT142</f>
        <v>0.88793997579831885</v>
      </c>
      <c r="BU141" s="1307">
        <f t="shared" ref="BU141:BV141" si="32">BU144/BU142</f>
        <v>0.61535367757400372</v>
      </c>
      <c r="BV141" s="1307">
        <f t="shared" si="32"/>
        <v>0.49439783679478866</v>
      </c>
      <c r="BW141" s="1298"/>
      <c r="BX141" s="1308" t="s">
        <v>1005</v>
      </c>
      <c r="BY141" s="1313">
        <f>BY139*BY140</f>
        <v>102600.9368451825</v>
      </c>
      <c r="BZ141" s="1314">
        <f>BZ139*BZ140</f>
        <v>105349.83123165733</v>
      </c>
      <c r="CB141" s="1315" t="s">
        <v>1018</v>
      </c>
      <c r="CC141" s="1316">
        <f>BU146+$P$100</f>
        <v>8.7515647370039779E-2</v>
      </c>
      <c r="CF141" s="1315" t="s">
        <v>1018</v>
      </c>
      <c r="CG141" s="1316">
        <f>BU146+$P$100+BV146</f>
        <v>0.16079287699725214</v>
      </c>
    </row>
    <row r="142" spans="6:86">
      <c r="F142" s="1238"/>
      <c r="G142" s="1238"/>
      <c r="BS142" s="1296" t="s">
        <v>1019</v>
      </c>
      <c r="BT142" s="1297">
        <f>BT127</f>
        <v>31529.4155641457</v>
      </c>
      <c r="BU142" s="1297">
        <f>BT142</f>
        <v>31529.4155641457</v>
      </c>
      <c r="BV142" s="1297">
        <f>BU142</f>
        <v>31529.4155641457</v>
      </c>
      <c r="BW142" s="1298"/>
      <c r="BX142" s="1308" t="s">
        <v>1020</v>
      </c>
      <c r="BY142" s="1313">
        <f>BY141-BT145</f>
        <v>107025.83014253069</v>
      </c>
      <c r="BZ142" s="1314">
        <f>BZ141-BU145</f>
        <v>109657.04295943346</v>
      </c>
      <c r="CB142" s="1317" t="s">
        <v>1021</v>
      </c>
      <c r="CC142" s="1318">
        <f>SUM(CC140:CC141)</f>
        <v>0.13405371188616885</v>
      </c>
      <c r="CF142" s="1317" t="s">
        <v>1021</v>
      </c>
      <c r="CG142" s="1318">
        <f>SUM(CG140:CG141)</f>
        <v>0.57641233645671175</v>
      </c>
    </row>
    <row r="143" spans="6:86">
      <c r="F143" s="1238"/>
      <c r="G143" s="1238"/>
      <c r="BS143" s="1296" t="s">
        <v>454</v>
      </c>
      <c r="BT143" s="1319">
        <f>BT142/BT138</f>
        <v>0.70829051005144383</v>
      </c>
      <c r="BU143" s="1319">
        <f t="shared" ref="BU143:BV143" si="33">BU142/BU138</f>
        <v>0.9526344617723731</v>
      </c>
      <c r="BV143" s="1319">
        <f t="shared" si="33"/>
        <v>1.1073471710724814</v>
      </c>
      <c r="BW143" s="1298"/>
      <c r="BX143" s="1308" t="s">
        <v>1022</v>
      </c>
      <c r="BY143" s="1313">
        <f>BY158</f>
        <v>12435.441279123317</v>
      </c>
      <c r="BZ143" s="1310">
        <f>BY143</f>
        <v>12435.441279123317</v>
      </c>
      <c r="CC143" s="1320">
        <f>CC142-BU147</f>
        <v>-5.4879288113831165E-2</v>
      </c>
      <c r="CG143" s="1320">
        <f>CG142-BV147</f>
        <v>0.62397073645671186</v>
      </c>
    </row>
    <row r="144" spans="6:86">
      <c r="F144" s="1238"/>
      <c r="G144" s="1238"/>
      <c r="BS144" s="1296" t="s">
        <v>450</v>
      </c>
      <c r="BT144" s="1297">
        <f>Q57</f>
        <v>27996.228492962669</v>
      </c>
      <c r="BU144" s="1297">
        <f t="shared" ref="BU144:BV144" si="34">R57</f>
        <v>19401.741819156086</v>
      </c>
      <c r="BV144" s="1297">
        <f t="shared" si="34"/>
        <v>15588.074850317575</v>
      </c>
      <c r="BW144" s="1298"/>
      <c r="BX144" s="1321" t="s">
        <v>1008</v>
      </c>
      <c r="BY144" s="1322">
        <f>(BY142/BY143)-1</f>
        <v>7.6065164669472729</v>
      </c>
      <c r="BZ144" s="1323">
        <f>(BZ142/BZ143)-1</f>
        <v>7.8181062897644225</v>
      </c>
    </row>
    <row r="145" spans="6:86" ht="14.5" thickBot="1">
      <c r="F145" s="1238"/>
      <c r="G145" s="1238"/>
      <c r="BS145" s="1296" t="s">
        <v>315</v>
      </c>
      <c r="BT145" s="1324">
        <f>Q63</f>
        <v>-4424.8932973481824</v>
      </c>
      <c r="BU145" s="1324">
        <f t="shared" ref="BU145:BV145" si="35">R63</f>
        <v>-4307.2117277761354</v>
      </c>
      <c r="BV145" s="1324">
        <f t="shared" si="35"/>
        <v>-1004.2031376304585</v>
      </c>
      <c r="BW145" s="1298"/>
      <c r="BX145" s="1325" t="s">
        <v>1009</v>
      </c>
      <c r="BY145" s="1326">
        <f>$F$3*(1+BY144)</f>
        <v>200.57873919461633</v>
      </c>
      <c r="BZ145" s="1327">
        <f>$F$3*(1+BZ144)</f>
        <v>205.50993523079026</v>
      </c>
    </row>
    <row r="146" spans="6:86" ht="14.5" thickBot="1">
      <c r="F146" s="1238"/>
      <c r="G146" s="1238"/>
      <c r="BS146" s="1328" t="s">
        <v>1024</v>
      </c>
      <c r="BT146" s="1329">
        <f>Q61</f>
        <v>0.12143834656571637</v>
      </c>
      <c r="BU146" s="1329">
        <f t="shared" ref="BU146:BV146" si="36">R61</f>
        <v>8.7515647370039779E-2</v>
      </c>
      <c r="BV146" s="1329">
        <f t="shared" si="36"/>
        <v>7.3277229627212365E-2</v>
      </c>
      <c r="BW146" s="1298"/>
      <c r="BX146" s="1330" t="s">
        <v>1025</v>
      </c>
      <c r="BY146" s="1331">
        <f>BY145/((1+$BT$116)^1)</f>
        <v>185.72105480982992</v>
      </c>
      <c r="BZ146" s="1332">
        <f>BZ145/((1+$BT$116)^1)</f>
        <v>190.28697706554652</v>
      </c>
    </row>
    <row r="147" spans="6:86">
      <c r="F147" s="1238"/>
      <c r="G147" s="1238"/>
      <c r="BS147" s="1333" t="s">
        <v>464</v>
      </c>
      <c r="BT147" s="1334"/>
      <c r="BU147" s="1335">
        <f>(BU148/$BV$116)-1</f>
        <v>0.18893300000000002</v>
      </c>
      <c r="BV147" s="1335">
        <f>(BV148/$BV$116)-1</f>
        <v>-4.7558400000000112E-2</v>
      </c>
      <c r="BW147" s="1298"/>
      <c r="BX147" s="1336" t="s">
        <v>1026</v>
      </c>
      <c r="BY147" s="1337">
        <f>(BY139/CD140)-1</f>
        <v>-4.4468582743472429E-2</v>
      </c>
      <c r="BZ147" s="1338"/>
    </row>
    <row r="148" spans="6:86">
      <c r="F148" s="1238"/>
      <c r="G148" s="1238"/>
      <c r="BS148" s="1339" t="s">
        <v>465</v>
      </c>
      <c r="BT148" s="1340">
        <f>Q84</f>
        <v>169.07364166666665</v>
      </c>
      <c r="BU148" s="1340">
        <f t="shared" ref="BU148:BV148" si="37">R84</f>
        <v>118.8933</v>
      </c>
      <c r="BV148" s="1340">
        <f t="shared" si="37"/>
        <v>95.244159999999994</v>
      </c>
      <c r="BW148" s="1298"/>
      <c r="BX148" s="1336" t="s">
        <v>1027</v>
      </c>
      <c r="BY148" s="1337">
        <f>(5/BY139)-1</f>
        <v>0.61290322580645151</v>
      </c>
      <c r="BZ148" s="1338">
        <f>(5/BZ139)-1</f>
        <v>0.35135135135135132</v>
      </c>
    </row>
    <row r="149" spans="6:86">
      <c r="F149" s="1238"/>
      <c r="G149" s="1238"/>
      <c r="AZ149" s="1353" t="s">
        <v>493</v>
      </c>
      <c r="BF149" s="1399"/>
      <c r="BG149" s="1399"/>
      <c r="BH149" s="1399"/>
      <c r="BI149" s="1399"/>
      <c r="BJ149" s="1399"/>
      <c r="BK149" s="1399"/>
      <c r="BL149" s="1399"/>
      <c r="BM149" s="1399"/>
      <c r="BP149" s="1353"/>
      <c r="BS149" s="1339"/>
      <c r="BT149" s="1340"/>
      <c r="BU149" s="1340"/>
      <c r="BV149" s="1340"/>
      <c r="BW149" s="1298"/>
      <c r="BX149" s="1341"/>
      <c r="BY149" s="1354"/>
      <c r="BZ149" s="1342"/>
    </row>
    <row r="150" spans="6:86" ht="14.5" thickBot="1">
      <c r="F150" s="1238"/>
      <c r="G150" s="1238"/>
      <c r="BS150" s="1343"/>
      <c r="BT150" s="1344"/>
      <c r="BU150" s="1344"/>
      <c r="BV150" s="1344"/>
      <c r="BW150" s="1345"/>
      <c r="BX150" s="1346"/>
      <c r="BY150" s="1347"/>
      <c r="BZ150" s="1348"/>
    </row>
    <row r="151" spans="6:86" ht="14.5" thickBot="1">
      <c r="F151" s="1238"/>
      <c r="G151" s="1238"/>
      <c r="BS151" s="1349"/>
      <c r="BT151" s="1350"/>
      <c r="BU151" s="1351"/>
      <c r="BV151" s="1351"/>
      <c r="BW151" s="1351"/>
      <c r="BX151" s="1351"/>
      <c r="BY151" s="1351"/>
      <c r="BZ151" s="1352"/>
    </row>
    <row r="152" spans="6:86">
      <c r="F152" s="1238"/>
      <c r="G152" s="1238"/>
      <c r="BS152" s="1291" t="s">
        <v>1029</v>
      </c>
      <c r="BT152" s="1292">
        <v>2021</v>
      </c>
      <c r="BU152" s="1292">
        <v>2022</v>
      </c>
      <c r="BV152" s="1292">
        <v>2023</v>
      </c>
      <c r="BW152" s="1293"/>
      <c r="BX152" s="1397" t="s">
        <v>1029</v>
      </c>
      <c r="BY152" s="1397"/>
      <c r="BZ152" s="1398"/>
    </row>
    <row r="153" spans="6:86" ht="14.5" thickBot="1">
      <c r="F153" s="1238"/>
      <c r="G153" s="1238"/>
      <c r="BS153" s="1296" t="s">
        <v>130</v>
      </c>
      <c r="BT153" s="1297">
        <f ca="1">J56</f>
        <v>43057.492651398425</v>
      </c>
      <c r="BU153" s="1297">
        <f t="shared" ref="BU153:BV153" si="38">K56</f>
        <v>19617.965464697885</v>
      </c>
      <c r="BV153" s="1297">
        <f t="shared" si="38"/>
        <v>17525.561824735887</v>
      </c>
      <c r="BW153" s="1298"/>
      <c r="BX153" s="1299"/>
      <c r="BY153" s="1300" t="s">
        <v>925</v>
      </c>
      <c r="BZ153" s="1301" t="s">
        <v>974</v>
      </c>
    </row>
    <row r="154" spans="6:86" ht="14.5" thickBot="1">
      <c r="F154" s="1238"/>
      <c r="G154" s="1238"/>
      <c r="BS154" s="1296" t="s">
        <v>439</v>
      </c>
      <c r="BT154" s="1297">
        <f>BT139</f>
        <v>12435.441279123317</v>
      </c>
      <c r="BU154" s="1297">
        <f>BT154</f>
        <v>12435.441279123317</v>
      </c>
      <c r="BV154" s="1297">
        <f>BU154</f>
        <v>12435.441279123317</v>
      </c>
      <c r="BW154" s="1298"/>
      <c r="BX154" s="1302" t="s">
        <v>1013</v>
      </c>
      <c r="BY154" s="1303">
        <v>2.4</v>
      </c>
      <c r="BZ154" s="1304">
        <v>2.1</v>
      </c>
      <c r="CB154" s="1305">
        <v>2022</v>
      </c>
      <c r="CC154" s="1306" t="s">
        <v>1014</v>
      </c>
      <c r="CF154" s="1305">
        <f>CF139</f>
        <v>2023</v>
      </c>
      <c r="CG154" s="1306" t="s">
        <v>1014</v>
      </c>
    </row>
    <row r="155" spans="6:86">
      <c r="F155" s="1238"/>
      <c r="G155" s="1238"/>
      <c r="BS155" s="1296" t="s">
        <v>1015</v>
      </c>
      <c r="BT155" s="1307" t="e">
        <f>BT159/BT154</f>
        <v>#VALUE!</v>
      </c>
      <c r="BU155" s="1307">
        <f t="shared" ref="BU155:BV155" si="39">BU159/BU154</f>
        <v>0.59997109654776148</v>
      </c>
      <c r="BV155" s="1307">
        <f t="shared" si="39"/>
        <v>0.47002107869122578</v>
      </c>
      <c r="BW155" s="1298"/>
      <c r="BX155" s="1308" t="s">
        <v>130</v>
      </c>
      <c r="BY155" s="1309">
        <f>BU153</f>
        <v>19617.965464697885</v>
      </c>
      <c r="BZ155" s="1310">
        <f>BV153</f>
        <v>17525.561824735887</v>
      </c>
      <c r="CB155" s="1311" t="s">
        <v>1016</v>
      </c>
      <c r="CC155" s="1312">
        <f>(CD155/BY154)-1</f>
        <v>0.91140000000000021</v>
      </c>
      <c r="CD155" s="1295">
        <f>$CD$125*(1-BU162)</f>
        <v>4.5873600000000003</v>
      </c>
      <c r="CF155" s="1311" t="s">
        <v>1016</v>
      </c>
      <c r="CG155" s="1312">
        <f>(CH155/BZ154)-1</f>
        <v>1.9942857142857142</v>
      </c>
      <c r="CH155" s="1295">
        <f>$CH$125*(1-BV162)</f>
        <v>6.2880000000000003</v>
      </c>
    </row>
    <row r="156" spans="6:86">
      <c r="F156" s="1238"/>
      <c r="G156" s="1238"/>
      <c r="BS156" s="1296" t="s">
        <v>1017</v>
      </c>
      <c r="BT156" s="1307" t="e">
        <f>BT159/BT157</f>
        <v>#VALUE!</v>
      </c>
      <c r="BU156" s="1307">
        <f t="shared" ref="BU156:BV156" si="40">BU159/BU157</f>
        <v>0.23663316324756845</v>
      </c>
      <c r="BV156" s="1307">
        <f t="shared" si="40"/>
        <v>0.18537988793746005</v>
      </c>
      <c r="BW156" s="1298"/>
      <c r="BX156" s="1308" t="s">
        <v>1005</v>
      </c>
      <c r="BY156" s="1313">
        <f>BY154*BY155</f>
        <v>47083.117115274923</v>
      </c>
      <c r="BZ156" s="1314">
        <f>BZ154*BZ155</f>
        <v>36803.679831945366</v>
      </c>
      <c r="CB156" s="1315" t="s">
        <v>1018</v>
      </c>
      <c r="CC156" s="1316">
        <f>BU161</f>
        <v>3.7498882339544008E-2</v>
      </c>
      <c r="CF156" s="1315" t="s">
        <v>1018</v>
      </c>
      <c r="CG156" s="1316">
        <f>BU161+$P$100+BV161</f>
        <v>6.9746946286504977E-2</v>
      </c>
    </row>
    <row r="157" spans="6:86">
      <c r="F157" s="1238"/>
      <c r="G157" s="1238"/>
      <c r="BS157" s="1296" t="s">
        <v>1019</v>
      </c>
      <c r="BT157" s="1297">
        <f>BT142</f>
        <v>31529.4155641457</v>
      </c>
      <c r="BU157" s="1297">
        <f t="shared" ref="BU157:BV157" si="41">BU142</f>
        <v>31529.4155641457</v>
      </c>
      <c r="BV157" s="1297">
        <f t="shared" si="41"/>
        <v>31529.4155641457</v>
      </c>
      <c r="BW157" s="1298"/>
      <c r="BX157" s="1308" t="s">
        <v>1020</v>
      </c>
      <c r="BY157" s="1313" t="e">
        <f>BY156-BT160</f>
        <v>#VALUE!</v>
      </c>
      <c r="BZ157" s="1314" t="e">
        <f>BZ156-BU160</f>
        <v>#VALUE!</v>
      </c>
      <c r="CB157" s="1317" t="s">
        <v>1021</v>
      </c>
      <c r="CC157" s="1318">
        <f>SUM(CC155:CC156)</f>
        <v>0.94889888233954423</v>
      </c>
      <c r="CF157" s="1317" t="s">
        <v>1021</v>
      </c>
      <c r="CG157" s="1318">
        <f>SUM(CG155:CG156)</f>
        <v>2.0640326605722192</v>
      </c>
    </row>
    <row r="158" spans="6:86">
      <c r="F158" s="1238"/>
      <c r="G158" s="1238"/>
      <c r="BS158" s="1296" t="s">
        <v>454</v>
      </c>
      <c r="BT158" s="1319">
        <f ca="1">BT157/BT153</f>
        <v>0.74513786764975365</v>
      </c>
      <c r="BU158" s="1319">
        <f t="shared" ref="BU158:BV158" si="42">BU157/BU153</f>
        <v>1.6071705101572442</v>
      </c>
      <c r="BV158" s="1319">
        <f t="shared" si="42"/>
        <v>1.7990530562988587</v>
      </c>
      <c r="BW158" s="1298"/>
      <c r="BX158" s="1308" t="s">
        <v>1022</v>
      </c>
      <c r="BY158" s="1313">
        <f>BT154</f>
        <v>12435.441279123317</v>
      </c>
      <c r="BZ158" s="1310">
        <f>BY158</f>
        <v>12435.441279123317</v>
      </c>
      <c r="CC158" s="1320">
        <f>CC157-BU162</f>
        <v>1.0957388823395444</v>
      </c>
      <c r="CG158" s="1320">
        <f>CG157-BV162</f>
        <v>2.3216326605722193</v>
      </c>
    </row>
    <row r="159" spans="6:86">
      <c r="F159" s="1238"/>
      <c r="G159" s="1238"/>
      <c r="BS159" s="1296" t="s">
        <v>450</v>
      </c>
      <c r="BT159" s="1297" t="e">
        <f>J57</f>
        <v>#VALUE!</v>
      </c>
      <c r="BU159" s="1297">
        <f t="shared" ref="BU159:BV159" si="43">K57</f>
        <v>7460.9053402909149</v>
      </c>
      <c r="BV159" s="1297">
        <f t="shared" si="43"/>
        <v>5844.9195240149384</v>
      </c>
      <c r="BW159" s="1298"/>
      <c r="BX159" s="1321" t="s">
        <v>1008</v>
      </c>
      <c r="BY159" s="1322" t="e">
        <f>(BY157/BY158)-1</f>
        <v>#VALUE!</v>
      </c>
      <c r="BZ159" s="1323" t="e">
        <f>(BZ157/BZ158)-1</f>
        <v>#VALUE!</v>
      </c>
    </row>
    <row r="160" spans="6:86" ht="14.5" thickBot="1">
      <c r="F160" s="1238"/>
      <c r="G160" s="1238"/>
      <c r="BS160" s="1296" t="s">
        <v>315</v>
      </c>
      <c r="BT160" s="1324" t="e">
        <f>J63</f>
        <v>#VALUE!</v>
      </c>
      <c r="BU160" s="1324" t="e">
        <f t="shared" ref="BU160:BV160" si="44">K63</f>
        <v>#VALUE!</v>
      </c>
      <c r="BV160" s="1324" t="e">
        <f t="shared" si="44"/>
        <v>#VALUE!</v>
      </c>
      <c r="BW160" s="1298"/>
      <c r="BX160" s="1325" t="s">
        <v>1009</v>
      </c>
      <c r="BY160" s="1326" t="e">
        <f>$F$3*(1+BY159)</f>
        <v>#VALUE!</v>
      </c>
      <c r="BZ160" s="1327" t="e">
        <f>$F$3*(1+BZ159)</f>
        <v>#VALUE!</v>
      </c>
    </row>
    <row r="161" spans="6:78" ht="14.5" thickBot="1">
      <c r="F161" s="1238"/>
      <c r="G161" s="1238"/>
      <c r="BS161" s="1328" t="s">
        <v>1024</v>
      </c>
      <c r="BT161" s="1329" t="e">
        <f>J61</f>
        <v>#VALUE!</v>
      </c>
      <c r="BU161" s="1329">
        <f t="shared" ref="BU161:BV161" si="45">K61</f>
        <v>3.7498882339544008E-2</v>
      </c>
      <c r="BV161" s="1329">
        <f t="shared" si="45"/>
        <v>3.2248063946960968E-2</v>
      </c>
      <c r="BW161" s="1298"/>
      <c r="BX161" s="1330" t="s">
        <v>1025</v>
      </c>
      <c r="BY161" s="1331" t="e">
        <f>BY160/((1+$BT$116)^1)</f>
        <v>#VALUE!</v>
      </c>
      <c r="BZ161" s="1332" t="e">
        <f>BZ160/((1+$BT$116)^1)</f>
        <v>#VALUE!</v>
      </c>
    </row>
    <row r="162" spans="6:78">
      <c r="F162" s="1238"/>
      <c r="G162" s="1238"/>
      <c r="BS162" s="1333" t="s">
        <v>464</v>
      </c>
      <c r="BT162" s="1334"/>
      <c r="BU162" s="1335">
        <f>(BU163/$BV$116)-1</f>
        <v>-0.14684000000000008</v>
      </c>
      <c r="BV162" s="1335">
        <f>(BV163/$BV$116)-1</f>
        <v>-0.25760000000000005</v>
      </c>
      <c r="BW162" s="1298"/>
      <c r="BX162" s="1336" t="s">
        <v>1026</v>
      </c>
      <c r="BY162" s="1337">
        <f>(BY154/CD155)-1</f>
        <v>-0.47682327090091037</v>
      </c>
      <c r="BZ162" s="1338"/>
    </row>
    <row r="163" spans="6:78">
      <c r="F163" s="1238"/>
      <c r="G163" s="1238"/>
      <c r="BS163" s="1339" t="s">
        <v>465</v>
      </c>
      <c r="BT163" s="1340">
        <f>J84</f>
        <v>153.69780833333334</v>
      </c>
      <c r="BU163" s="1340">
        <f t="shared" ref="BU163:BV163" si="46">K84</f>
        <v>85.315999999999988</v>
      </c>
      <c r="BV163" s="1340">
        <f t="shared" si="46"/>
        <v>74.239999999999995</v>
      </c>
      <c r="BW163" s="1298"/>
      <c r="BX163" s="1336" t="s">
        <v>1027</v>
      </c>
      <c r="BY163" s="1337">
        <f>(5/BY154)-1</f>
        <v>1.0833333333333335</v>
      </c>
      <c r="BZ163" s="1338">
        <f>(5/BZ154)-1</f>
        <v>1.3809523809523809</v>
      </c>
    </row>
    <row r="164" spans="6:78">
      <c r="F164" s="1238"/>
      <c r="G164" s="1238"/>
      <c r="BS164" s="1339"/>
      <c r="BT164" s="1340"/>
      <c r="BU164" s="1340"/>
      <c r="BV164" s="1340"/>
      <c r="BW164" s="1298"/>
      <c r="BX164" s="1355"/>
      <c r="BY164" s="1356"/>
      <c r="BZ164" s="1357"/>
    </row>
    <row r="165" spans="6:78" ht="14.5" thickBot="1">
      <c r="F165" s="1238"/>
      <c r="G165" s="1238"/>
      <c r="BS165" s="1343"/>
      <c r="BT165" s="1344"/>
      <c r="BU165" s="1344"/>
      <c r="BV165" s="1344"/>
      <c r="BW165" s="1345"/>
      <c r="BX165" s="1358"/>
      <c r="BY165" s="1359"/>
      <c r="BZ165" s="1360"/>
    </row>
    <row r="166" spans="6:78">
      <c r="F166" s="1238"/>
      <c r="G166" s="1238"/>
      <c r="BS166" s="1361" t="s">
        <v>1030</v>
      </c>
      <c r="BT166" s="1362"/>
      <c r="BU166" s="1363"/>
      <c r="BV166" s="1363"/>
      <c r="BW166" s="1363"/>
      <c r="BX166" s="1362"/>
      <c r="BY166" s="1362"/>
      <c r="BZ166" s="1364"/>
    </row>
    <row r="167" spans="6:78" ht="14.5" thickBot="1">
      <c r="F167" s="1238"/>
      <c r="G167" s="1238"/>
      <c r="BS167" s="1365" t="s">
        <v>1031</v>
      </c>
      <c r="BT167" s="1366"/>
      <c r="BU167" s="1367"/>
      <c r="BV167" s="1367"/>
      <c r="BW167" s="1367"/>
      <c r="BX167" s="1366"/>
      <c r="BY167" s="1366"/>
      <c r="BZ167" s="1368"/>
    </row>
    <row r="168" spans="6:78">
      <c r="F168" s="1238"/>
      <c r="G168" s="1238"/>
    </row>
    <row r="169" spans="6:78">
      <c r="F169" s="1238"/>
      <c r="G169" s="1238"/>
    </row>
    <row r="170" spans="6:78">
      <c r="F170" s="1238"/>
      <c r="G170" s="1238"/>
    </row>
    <row r="171" spans="6:78">
      <c r="F171" s="1238"/>
      <c r="G171" s="1238"/>
    </row>
    <row r="172" spans="6:78">
      <c r="F172" s="1238"/>
      <c r="G172" s="1238"/>
    </row>
    <row r="173" spans="6:78">
      <c r="F173" s="1238"/>
      <c r="G173" s="1238"/>
    </row>
    <row r="174" spans="6:78">
      <c r="F174" s="1238"/>
      <c r="G174" s="1238"/>
    </row>
    <row r="175" spans="6:78">
      <c r="F175" s="1238"/>
      <c r="G175" s="1238"/>
    </row>
    <row r="176" spans="6:78">
      <c r="F176" s="1238"/>
      <c r="G176" s="1238"/>
    </row>
    <row r="177" spans="6:7">
      <c r="F177" s="1238"/>
      <c r="G177" s="1238"/>
    </row>
    <row r="178" spans="6:7">
      <c r="F178" s="1238"/>
      <c r="G178" s="1238"/>
    </row>
    <row r="179" spans="6:7">
      <c r="F179" s="1238"/>
      <c r="G179" s="1238"/>
    </row>
    <row r="180" spans="6:7">
      <c r="F180" s="1238"/>
      <c r="G180" s="1238"/>
    </row>
    <row r="181" spans="6:7">
      <c r="F181" s="1238"/>
      <c r="G181" s="1238"/>
    </row>
    <row r="182" spans="6:7">
      <c r="F182" s="1238"/>
      <c r="G182" s="1238"/>
    </row>
    <row r="183" spans="6:7">
      <c r="F183" s="1238"/>
      <c r="G183" s="1238"/>
    </row>
    <row r="184" spans="6:7">
      <c r="F184" s="1238"/>
      <c r="G184" s="1238"/>
    </row>
    <row r="185" spans="6:7">
      <c r="F185" s="1238"/>
      <c r="G185" s="1238"/>
    </row>
    <row r="186" spans="6:7">
      <c r="F186" s="1238"/>
      <c r="G186" s="1238"/>
    </row>
    <row r="187" spans="6:7">
      <c r="F187" s="1238"/>
      <c r="G187" s="1238"/>
    </row>
    <row r="188" spans="6:7">
      <c r="F188" s="1238"/>
      <c r="G188" s="1238"/>
    </row>
    <row r="189" spans="6:7">
      <c r="F189" s="1238"/>
      <c r="G189" s="1238"/>
    </row>
    <row r="190" spans="6:7">
      <c r="F190" s="1238"/>
      <c r="G190" s="1238"/>
    </row>
    <row r="191" spans="6:7">
      <c r="F191" s="1238"/>
      <c r="G191" s="1238"/>
    </row>
    <row r="192" spans="6:7">
      <c r="F192" s="1238"/>
      <c r="G192" s="1238"/>
    </row>
    <row r="193" spans="6:7">
      <c r="F193" s="1238"/>
      <c r="G193" s="1238"/>
    </row>
    <row r="194" spans="6:7">
      <c r="F194" s="1238"/>
      <c r="G194" s="1238"/>
    </row>
    <row r="195" spans="6:7">
      <c r="F195" s="1238"/>
      <c r="G195" s="1238"/>
    </row>
    <row r="196" spans="6:7">
      <c r="F196" s="1238"/>
      <c r="G196" s="1238"/>
    </row>
    <row r="197" spans="6:7">
      <c r="F197" s="1238"/>
      <c r="G197" s="1238"/>
    </row>
    <row r="198" spans="6:7">
      <c r="F198" s="1238"/>
      <c r="G198" s="1238"/>
    </row>
    <row r="199" spans="6:7">
      <c r="F199" s="1238"/>
      <c r="G199" s="1238"/>
    </row>
    <row r="200" spans="6:7">
      <c r="F200" s="1238"/>
      <c r="G200" s="1238"/>
    </row>
    <row r="201" spans="6:7">
      <c r="F201" s="1238"/>
      <c r="G201" s="1238"/>
    </row>
    <row r="202" spans="6:7">
      <c r="F202" s="1238"/>
      <c r="G202" s="1238"/>
    </row>
    <row r="203" spans="6:7">
      <c r="F203" s="1238"/>
      <c r="G203" s="1238"/>
    </row>
    <row r="204" spans="6:7">
      <c r="F204" s="1238"/>
      <c r="G204" s="1238"/>
    </row>
    <row r="205" spans="6:7">
      <c r="F205" s="1238"/>
      <c r="G205" s="1238"/>
    </row>
    <row r="206" spans="6:7">
      <c r="F206" s="1238"/>
      <c r="G206" s="1238"/>
    </row>
    <row r="207" spans="6:7">
      <c r="F207" s="1238"/>
      <c r="G207" s="1238"/>
    </row>
    <row r="208" spans="6:7">
      <c r="F208" s="1238"/>
      <c r="G208" s="1238"/>
    </row>
    <row r="209" spans="6:7">
      <c r="F209" s="1238"/>
      <c r="G209" s="1238"/>
    </row>
    <row r="210" spans="6:7">
      <c r="F210" s="1238"/>
      <c r="G210" s="1238"/>
    </row>
    <row r="211" spans="6:7">
      <c r="F211" s="1238"/>
      <c r="G211" s="1238"/>
    </row>
    <row r="212" spans="6:7">
      <c r="F212" s="1238"/>
      <c r="G212" s="1238"/>
    </row>
    <row r="213" spans="6:7">
      <c r="F213" s="1238"/>
      <c r="G213" s="1238"/>
    </row>
    <row r="214" spans="6:7">
      <c r="F214" s="1238"/>
      <c r="G214" s="1238"/>
    </row>
    <row r="215" spans="6:7">
      <c r="F215" s="1238"/>
      <c r="G215" s="1238"/>
    </row>
    <row r="216" spans="6:7">
      <c r="F216" s="1238"/>
      <c r="G216" s="1238"/>
    </row>
    <row r="217" spans="6:7">
      <c r="F217" s="1238"/>
      <c r="G217" s="1238"/>
    </row>
    <row r="218" spans="6:7">
      <c r="F218" s="1238"/>
      <c r="G218" s="1238"/>
    </row>
    <row r="219" spans="6:7">
      <c r="F219" s="1238"/>
      <c r="G219" s="1238"/>
    </row>
    <row r="220" spans="6:7">
      <c r="F220" s="1238"/>
      <c r="G220" s="1238"/>
    </row>
    <row r="221" spans="6:7">
      <c r="F221" s="1238"/>
      <c r="G221" s="1238"/>
    </row>
    <row r="222" spans="6:7">
      <c r="F222" s="1238"/>
      <c r="G222" s="1238"/>
    </row>
    <row r="223" spans="6:7">
      <c r="F223" s="1238"/>
      <c r="G223" s="1238"/>
    </row>
    <row r="224" spans="6:7">
      <c r="F224" s="1238"/>
      <c r="G224" s="1238"/>
    </row>
    <row r="225" spans="6:7">
      <c r="F225" s="1238"/>
      <c r="G225" s="1238"/>
    </row>
    <row r="226" spans="6:7">
      <c r="F226" s="1238"/>
      <c r="G226" s="1238"/>
    </row>
    <row r="227" spans="6:7">
      <c r="F227" s="1238"/>
      <c r="G227" s="1238"/>
    </row>
    <row r="228" spans="6:7">
      <c r="F228" s="1238"/>
      <c r="G228" s="1238"/>
    </row>
    <row r="229" spans="6:7">
      <c r="F229" s="1238"/>
      <c r="G229" s="1238"/>
    </row>
    <row r="230" spans="6:7">
      <c r="F230" s="1238"/>
      <c r="G230" s="1238"/>
    </row>
    <row r="231" spans="6:7">
      <c r="F231" s="1238"/>
      <c r="G231" s="1238"/>
    </row>
    <row r="232" spans="6:7">
      <c r="F232" s="1238"/>
      <c r="G232" s="1238"/>
    </row>
    <row r="233" spans="6:7">
      <c r="F233" s="1238"/>
      <c r="G233" s="1238"/>
    </row>
    <row r="234" spans="6:7">
      <c r="F234" s="1238"/>
      <c r="G234" s="1238"/>
    </row>
    <row r="235" spans="6:7">
      <c r="F235" s="1238"/>
      <c r="G235" s="1238"/>
    </row>
    <row r="236" spans="6:7">
      <c r="F236" s="1238"/>
      <c r="G236" s="1238"/>
    </row>
    <row r="237" spans="6:7">
      <c r="F237" s="1238"/>
      <c r="G237" s="1238"/>
    </row>
    <row r="238" spans="6:7">
      <c r="F238" s="1238"/>
      <c r="G238" s="1238"/>
    </row>
    <row r="239" spans="6:7">
      <c r="F239" s="1238"/>
      <c r="G239" s="1238"/>
    </row>
    <row r="240" spans="6:7">
      <c r="F240" s="1238"/>
      <c r="G240" s="1238"/>
    </row>
    <row r="241" spans="6:7">
      <c r="F241" s="1238"/>
      <c r="G241" s="1238"/>
    </row>
    <row r="242" spans="6:7">
      <c r="F242" s="1238"/>
      <c r="G242" s="1238"/>
    </row>
    <row r="243" spans="6:7">
      <c r="F243" s="1238"/>
      <c r="G243" s="1238"/>
    </row>
    <row r="244" spans="6:7">
      <c r="F244" s="1238"/>
      <c r="G244" s="1238"/>
    </row>
    <row r="245" spans="6:7">
      <c r="F245" s="1238"/>
      <c r="G245" s="1238"/>
    </row>
    <row r="246" spans="6:7">
      <c r="F246" s="1238"/>
      <c r="G246" s="1238"/>
    </row>
    <row r="247" spans="6:7">
      <c r="F247" s="1238"/>
      <c r="G247" s="1238"/>
    </row>
    <row r="248" spans="6:7">
      <c r="F248" s="1238"/>
      <c r="G248" s="1238"/>
    </row>
    <row r="249" spans="6:7">
      <c r="F249" s="1238"/>
      <c r="G249" s="1238"/>
    </row>
    <row r="250" spans="6:7">
      <c r="F250" s="1238"/>
      <c r="G250" s="1238"/>
    </row>
    <row r="251" spans="6:7">
      <c r="F251" s="1238"/>
      <c r="G251" s="1238"/>
    </row>
    <row r="252" spans="6:7">
      <c r="F252" s="1238"/>
      <c r="G252" s="1238"/>
    </row>
    <row r="253" spans="6:7">
      <c r="F253" s="1238"/>
      <c r="G253" s="1238"/>
    </row>
    <row r="254" spans="6:7">
      <c r="F254" s="1238"/>
      <c r="G254" s="1238"/>
    </row>
    <row r="255" spans="6:7">
      <c r="F255" s="1238"/>
      <c r="G255" s="1238"/>
    </row>
    <row r="256" spans="6:7">
      <c r="F256" s="1238"/>
      <c r="G256" s="1238"/>
    </row>
    <row r="257" spans="6:7">
      <c r="F257" s="1238"/>
      <c r="G257" s="1238"/>
    </row>
    <row r="258" spans="6:7">
      <c r="F258" s="1238"/>
      <c r="G258" s="1238"/>
    </row>
    <row r="259" spans="6:7">
      <c r="F259" s="1238"/>
      <c r="G259" s="1238"/>
    </row>
    <row r="260" spans="6:7">
      <c r="F260" s="1238"/>
      <c r="G260" s="1238"/>
    </row>
    <row r="261" spans="6:7">
      <c r="F261" s="1238"/>
      <c r="G261" s="1238"/>
    </row>
    <row r="262" spans="6:7">
      <c r="F262" s="1238"/>
      <c r="G262" s="1238"/>
    </row>
    <row r="263" spans="6:7">
      <c r="F263" s="1238"/>
      <c r="G263" s="1238"/>
    </row>
    <row r="264" spans="6:7">
      <c r="F264" s="1238"/>
      <c r="G264" s="1238"/>
    </row>
    <row r="265" spans="6:7">
      <c r="F265" s="1238"/>
      <c r="G265" s="1238"/>
    </row>
    <row r="266" spans="6:7">
      <c r="F266" s="1238"/>
      <c r="G266" s="1238"/>
    </row>
    <row r="267" spans="6:7">
      <c r="F267" s="1238"/>
      <c r="G267" s="1238"/>
    </row>
    <row r="268" spans="6:7">
      <c r="F268" s="1238"/>
      <c r="G268" s="1238"/>
    </row>
    <row r="269" spans="6:7">
      <c r="F269" s="1238"/>
      <c r="G269" s="1238"/>
    </row>
    <row r="270" spans="6:7">
      <c r="F270" s="1238"/>
      <c r="G270" s="1238"/>
    </row>
    <row r="271" spans="6:7">
      <c r="F271" s="1238"/>
      <c r="G271" s="1238"/>
    </row>
    <row r="272" spans="6:7">
      <c r="F272" s="1238"/>
      <c r="G272" s="1238"/>
    </row>
    <row r="273" spans="6:7">
      <c r="F273" s="1238"/>
      <c r="G273" s="1238"/>
    </row>
    <row r="274" spans="6:7">
      <c r="F274" s="1238"/>
      <c r="G274" s="1238"/>
    </row>
    <row r="275" spans="6:7">
      <c r="F275" s="1238"/>
      <c r="G275" s="1238"/>
    </row>
    <row r="276" spans="6:7">
      <c r="F276" s="1238"/>
      <c r="G276" s="1238"/>
    </row>
    <row r="277" spans="6:7">
      <c r="F277" s="1238"/>
      <c r="G277" s="1238"/>
    </row>
    <row r="278" spans="6:7">
      <c r="F278" s="1238"/>
      <c r="G278" s="1238"/>
    </row>
    <row r="279" spans="6:7">
      <c r="F279" s="1238"/>
      <c r="G279" s="1238"/>
    </row>
    <row r="280" spans="6:7">
      <c r="F280" s="1238"/>
      <c r="G280" s="1238"/>
    </row>
    <row r="281" spans="6:7">
      <c r="F281" s="1238"/>
      <c r="G281" s="1238"/>
    </row>
    <row r="282" spans="6:7">
      <c r="F282" s="1238"/>
      <c r="G282" s="1238"/>
    </row>
    <row r="283" spans="6:7">
      <c r="F283" s="1238"/>
      <c r="G283" s="1238"/>
    </row>
    <row r="284" spans="6:7">
      <c r="F284" s="1238"/>
      <c r="G284" s="1238"/>
    </row>
    <row r="285" spans="6:7">
      <c r="F285" s="1238"/>
      <c r="G285" s="1238"/>
    </row>
    <row r="286" spans="6:7">
      <c r="F286" s="1238"/>
      <c r="G286" s="1238"/>
    </row>
    <row r="287" spans="6:7">
      <c r="F287" s="1238"/>
      <c r="G287" s="1238"/>
    </row>
    <row r="288" spans="6:7">
      <c r="F288" s="1238"/>
      <c r="G288" s="1238"/>
    </row>
    <row r="289" spans="6:7">
      <c r="F289" s="1238"/>
      <c r="G289" s="1238"/>
    </row>
    <row r="290" spans="6:7">
      <c r="F290" s="1238"/>
      <c r="G290" s="1238"/>
    </row>
    <row r="291" spans="6:7">
      <c r="F291" s="1238"/>
      <c r="G291" s="1238"/>
    </row>
    <row r="292" spans="6:7">
      <c r="F292" s="1238"/>
      <c r="G292" s="1238"/>
    </row>
    <row r="293" spans="6:7">
      <c r="F293" s="1238"/>
      <c r="G293" s="1238"/>
    </row>
    <row r="294" spans="6:7">
      <c r="F294" s="1238"/>
      <c r="G294" s="1238"/>
    </row>
    <row r="295" spans="6:7">
      <c r="F295" s="1238"/>
      <c r="G295" s="1238"/>
    </row>
    <row r="296" spans="6:7">
      <c r="F296" s="1238"/>
      <c r="G296" s="1238"/>
    </row>
    <row r="297" spans="6:7">
      <c r="F297" s="1238"/>
      <c r="G297" s="1238"/>
    </row>
    <row r="298" spans="6:7">
      <c r="F298" s="1238"/>
      <c r="G298" s="1238"/>
    </row>
    <row r="299" spans="6:7">
      <c r="F299" s="1238"/>
      <c r="G299" s="1238"/>
    </row>
    <row r="300" spans="6:7">
      <c r="F300" s="1238"/>
      <c r="G300" s="1238"/>
    </row>
    <row r="301" spans="6:7">
      <c r="F301" s="1238"/>
      <c r="G301" s="1238"/>
    </row>
    <row r="302" spans="6:7">
      <c r="F302" s="1238"/>
      <c r="G302" s="1238"/>
    </row>
    <row r="303" spans="6:7">
      <c r="F303" s="1238"/>
      <c r="G303" s="1238"/>
    </row>
    <row r="304" spans="6:7">
      <c r="F304" s="1238"/>
      <c r="G304" s="1238"/>
    </row>
    <row r="305" spans="6:7">
      <c r="F305" s="1238"/>
      <c r="G305" s="1238"/>
    </row>
    <row r="306" spans="6:7">
      <c r="F306" s="1238"/>
      <c r="G306" s="1238"/>
    </row>
    <row r="307" spans="6:7">
      <c r="F307" s="1238"/>
      <c r="G307" s="1238"/>
    </row>
    <row r="308" spans="6:7">
      <c r="F308" s="1238"/>
      <c r="G308" s="1238"/>
    </row>
    <row r="309" spans="6:7">
      <c r="F309" s="1238"/>
      <c r="G309" s="1238"/>
    </row>
    <row r="310" spans="6:7">
      <c r="F310" s="1238"/>
      <c r="G310" s="1238"/>
    </row>
    <row r="311" spans="6:7">
      <c r="F311" s="1238"/>
      <c r="G311" s="1238"/>
    </row>
    <row r="312" spans="6:7">
      <c r="F312" s="1238"/>
      <c r="G312" s="1238"/>
    </row>
    <row r="313" spans="6:7">
      <c r="F313" s="1238"/>
      <c r="G313" s="1238"/>
    </row>
    <row r="314" spans="6:7">
      <c r="F314" s="1238"/>
      <c r="G314" s="1238"/>
    </row>
    <row r="315" spans="6:7">
      <c r="F315" s="1238"/>
      <c r="G315" s="1238"/>
    </row>
    <row r="316" spans="6:7">
      <c r="F316" s="1238"/>
      <c r="G316" s="1238"/>
    </row>
    <row r="317" spans="6:7">
      <c r="F317" s="1238"/>
      <c r="G317" s="1238"/>
    </row>
    <row r="318" spans="6:7">
      <c r="F318" s="1238"/>
      <c r="G318" s="1238"/>
    </row>
    <row r="319" spans="6:7">
      <c r="F319" s="1238"/>
      <c r="G319" s="1238"/>
    </row>
    <row r="320" spans="6:7">
      <c r="F320" s="1238"/>
      <c r="G320" s="1238"/>
    </row>
    <row r="321" spans="6:7">
      <c r="F321" s="1238"/>
      <c r="G321" s="1238"/>
    </row>
    <row r="322" spans="6:7">
      <c r="F322" s="1238"/>
      <c r="G322" s="1238"/>
    </row>
    <row r="323" spans="6:7">
      <c r="F323" s="1238"/>
      <c r="G323" s="1238"/>
    </row>
    <row r="324" spans="6:7">
      <c r="F324" s="1238"/>
      <c r="G324" s="1238"/>
    </row>
    <row r="325" spans="6:7">
      <c r="F325" s="1238"/>
      <c r="G325" s="1238"/>
    </row>
    <row r="326" spans="6:7">
      <c r="F326" s="1238"/>
      <c r="G326" s="1238"/>
    </row>
    <row r="327" spans="6:7">
      <c r="F327" s="1238"/>
      <c r="G327" s="1238"/>
    </row>
    <row r="328" spans="6:7">
      <c r="F328" s="1238"/>
      <c r="G328" s="1238"/>
    </row>
    <row r="329" spans="6:7">
      <c r="F329" s="1238"/>
      <c r="G329" s="1238"/>
    </row>
    <row r="330" spans="6:7">
      <c r="F330" s="1238"/>
      <c r="G330" s="1238"/>
    </row>
    <row r="331" spans="6:7">
      <c r="F331" s="1238"/>
      <c r="G331" s="1238"/>
    </row>
    <row r="332" spans="6:7">
      <c r="F332" s="1238"/>
      <c r="G332" s="1238"/>
    </row>
    <row r="333" spans="6:7">
      <c r="F333" s="1238"/>
      <c r="G333" s="1238"/>
    </row>
    <row r="334" spans="6:7">
      <c r="F334" s="1238"/>
      <c r="G334" s="1238"/>
    </row>
    <row r="335" spans="6:7">
      <c r="F335" s="1238"/>
      <c r="G335" s="1238"/>
    </row>
    <row r="336" spans="6:7">
      <c r="F336" s="1238"/>
      <c r="G336" s="1238"/>
    </row>
    <row r="337" spans="6:7">
      <c r="F337" s="1238"/>
      <c r="G337" s="1238"/>
    </row>
    <row r="338" spans="6:7">
      <c r="F338" s="1238"/>
      <c r="G338" s="1238"/>
    </row>
    <row r="339" spans="6:7">
      <c r="F339" s="1238"/>
      <c r="G339" s="1238"/>
    </row>
    <row r="340" spans="6:7">
      <c r="F340" s="1238"/>
      <c r="G340" s="1238"/>
    </row>
    <row r="341" spans="6:7">
      <c r="F341" s="1238"/>
      <c r="G341" s="1238"/>
    </row>
    <row r="342" spans="6:7">
      <c r="F342" s="1238"/>
      <c r="G342" s="1238"/>
    </row>
    <row r="343" spans="6:7">
      <c r="F343" s="1238"/>
      <c r="G343" s="1238"/>
    </row>
    <row r="344" spans="6:7">
      <c r="F344" s="1238"/>
      <c r="G344" s="1238"/>
    </row>
    <row r="345" spans="6:7">
      <c r="F345" s="1238"/>
      <c r="G345" s="1238"/>
    </row>
    <row r="346" spans="6:7">
      <c r="F346" s="1238"/>
      <c r="G346" s="1238"/>
    </row>
    <row r="347" spans="6:7">
      <c r="F347" s="1238"/>
      <c r="G347" s="1238"/>
    </row>
    <row r="348" spans="6:7">
      <c r="F348" s="1238"/>
      <c r="G348" s="1238"/>
    </row>
    <row r="349" spans="6:7">
      <c r="F349" s="1238"/>
      <c r="G349" s="1238"/>
    </row>
    <row r="350" spans="6:7">
      <c r="F350" s="1238"/>
      <c r="G350" s="1238"/>
    </row>
    <row r="351" spans="6:7">
      <c r="F351" s="1238"/>
      <c r="G351" s="1238"/>
    </row>
    <row r="352" spans="6:7">
      <c r="F352" s="1238"/>
      <c r="G352" s="1238"/>
    </row>
    <row r="353" spans="6:7">
      <c r="F353" s="1238"/>
      <c r="G353" s="1238"/>
    </row>
    <row r="354" spans="6:7">
      <c r="F354" s="1238"/>
      <c r="G354" s="1238"/>
    </row>
    <row r="355" spans="6:7">
      <c r="F355" s="1238"/>
      <c r="G355" s="1238"/>
    </row>
    <row r="356" spans="6:7">
      <c r="F356" s="1238"/>
      <c r="G356" s="1238"/>
    </row>
    <row r="357" spans="6:7">
      <c r="F357" s="1238"/>
      <c r="G357" s="1238"/>
    </row>
    <row r="358" spans="6:7">
      <c r="F358" s="1238"/>
      <c r="G358" s="1238"/>
    </row>
    <row r="359" spans="6:7">
      <c r="F359" s="1238"/>
      <c r="G359" s="1238"/>
    </row>
    <row r="360" spans="6:7">
      <c r="F360" s="1238"/>
      <c r="G360" s="1238"/>
    </row>
    <row r="361" spans="6:7">
      <c r="F361" s="1238"/>
      <c r="G361" s="1238"/>
    </row>
    <row r="362" spans="6:7">
      <c r="F362" s="1238"/>
      <c r="G362" s="1238"/>
    </row>
    <row r="363" spans="6:7">
      <c r="F363" s="1238"/>
      <c r="G363" s="1238"/>
    </row>
    <row r="364" spans="6:7">
      <c r="F364" s="1238"/>
      <c r="G364" s="1238"/>
    </row>
    <row r="365" spans="6:7">
      <c r="F365" s="1238"/>
      <c r="G365" s="1238"/>
    </row>
    <row r="366" spans="6:7">
      <c r="F366" s="1238"/>
      <c r="G366" s="1238"/>
    </row>
    <row r="367" spans="6:7">
      <c r="F367" s="1238"/>
      <c r="G367" s="1238"/>
    </row>
    <row r="368" spans="6:7">
      <c r="F368" s="1238"/>
      <c r="G368" s="1238"/>
    </row>
    <row r="369" spans="6:7">
      <c r="F369" s="1238"/>
      <c r="G369" s="1238"/>
    </row>
    <row r="370" spans="6:7">
      <c r="F370" s="1238"/>
      <c r="G370" s="1238"/>
    </row>
    <row r="371" spans="6:7">
      <c r="F371" s="1238"/>
      <c r="G371" s="1238"/>
    </row>
    <row r="372" spans="6:7">
      <c r="F372" s="1238"/>
      <c r="G372" s="1238"/>
    </row>
    <row r="373" spans="6:7">
      <c r="F373" s="1238"/>
      <c r="G373" s="1238"/>
    </row>
    <row r="374" spans="6:7">
      <c r="F374" s="1238"/>
      <c r="G374" s="1238"/>
    </row>
    <row r="375" spans="6:7">
      <c r="F375" s="1238"/>
      <c r="G375" s="1238"/>
    </row>
    <row r="376" spans="6:7">
      <c r="F376" s="1238"/>
      <c r="G376" s="1238"/>
    </row>
    <row r="377" spans="6:7">
      <c r="F377" s="1238"/>
      <c r="G377" s="1238"/>
    </row>
    <row r="378" spans="6:7">
      <c r="F378" s="1238"/>
      <c r="G378" s="1238"/>
    </row>
    <row r="379" spans="6:7">
      <c r="F379" s="1238"/>
      <c r="G379" s="1238"/>
    </row>
    <row r="380" spans="6:7">
      <c r="F380" s="1238"/>
      <c r="G380" s="1238"/>
    </row>
    <row r="381" spans="6:7">
      <c r="F381" s="1238"/>
      <c r="G381" s="1238"/>
    </row>
    <row r="382" spans="6:7">
      <c r="F382" s="1238"/>
      <c r="G382" s="1238"/>
    </row>
    <row r="383" spans="6:7">
      <c r="F383" s="1238"/>
      <c r="G383" s="1238"/>
    </row>
    <row r="384" spans="6:7">
      <c r="F384" s="1238"/>
      <c r="G384" s="1238"/>
    </row>
    <row r="385" spans="6:7">
      <c r="F385" s="1238"/>
      <c r="G385" s="1238"/>
    </row>
    <row r="386" spans="6:7">
      <c r="F386" s="1238"/>
      <c r="G386" s="1238"/>
    </row>
    <row r="387" spans="6:7">
      <c r="F387" s="1238"/>
      <c r="G387" s="1238"/>
    </row>
    <row r="388" spans="6:7">
      <c r="F388" s="1238"/>
      <c r="G388" s="1238"/>
    </row>
    <row r="389" spans="6:7">
      <c r="F389" s="1238"/>
      <c r="G389" s="1238"/>
    </row>
    <row r="390" spans="6:7">
      <c r="F390" s="1238"/>
      <c r="G390" s="1238"/>
    </row>
    <row r="391" spans="6:7">
      <c r="F391" s="1238"/>
      <c r="G391" s="1238"/>
    </row>
    <row r="392" spans="6:7">
      <c r="F392" s="1238"/>
      <c r="G392" s="1238"/>
    </row>
    <row r="393" spans="6:7">
      <c r="F393" s="1238"/>
      <c r="G393" s="1238"/>
    </row>
    <row r="394" spans="6:7">
      <c r="F394" s="1238"/>
      <c r="G394" s="1238"/>
    </row>
    <row r="395" spans="6:7">
      <c r="F395" s="1238"/>
      <c r="G395" s="1238"/>
    </row>
    <row r="396" spans="6:7">
      <c r="F396" s="1238"/>
      <c r="G396" s="1238"/>
    </row>
    <row r="397" spans="6:7">
      <c r="F397" s="1238"/>
      <c r="G397" s="1238"/>
    </row>
    <row r="398" spans="6:7">
      <c r="F398" s="1238"/>
      <c r="G398" s="1238"/>
    </row>
    <row r="399" spans="6:7">
      <c r="F399" s="1238"/>
      <c r="G399" s="1238"/>
    </row>
    <row r="400" spans="6:7">
      <c r="F400" s="1238"/>
      <c r="G400" s="1238"/>
    </row>
    <row r="401" spans="6:7">
      <c r="F401" s="1238"/>
      <c r="G401" s="1238"/>
    </row>
    <row r="402" spans="6:7">
      <c r="F402" s="1238"/>
      <c r="G402" s="1238"/>
    </row>
    <row r="403" spans="6:7">
      <c r="F403" s="1238"/>
      <c r="G403" s="1238"/>
    </row>
    <row r="404" spans="6:7">
      <c r="F404" s="1238"/>
      <c r="G404" s="1238"/>
    </row>
    <row r="405" spans="6:7">
      <c r="F405" s="1238"/>
      <c r="G405" s="1238"/>
    </row>
    <row r="406" spans="6:7">
      <c r="F406" s="1238"/>
      <c r="G406" s="1238"/>
    </row>
    <row r="407" spans="6:7">
      <c r="F407" s="1238"/>
      <c r="G407" s="1238"/>
    </row>
    <row r="408" spans="6:7">
      <c r="F408" s="1238"/>
      <c r="G408" s="1238"/>
    </row>
    <row r="409" spans="6:7">
      <c r="F409" s="1238"/>
      <c r="G409" s="1238"/>
    </row>
    <row r="410" spans="6:7">
      <c r="F410" s="1238"/>
      <c r="G410" s="1238"/>
    </row>
    <row r="411" spans="6:7">
      <c r="F411" s="1238"/>
      <c r="G411" s="1238"/>
    </row>
    <row r="412" spans="6:7">
      <c r="F412" s="1238"/>
      <c r="G412" s="1238"/>
    </row>
    <row r="413" spans="6:7">
      <c r="F413" s="1238"/>
      <c r="G413" s="1238"/>
    </row>
    <row r="414" spans="6:7">
      <c r="F414" s="1238"/>
      <c r="G414" s="1238"/>
    </row>
    <row r="415" spans="6:7">
      <c r="F415" s="1238"/>
      <c r="G415" s="1238"/>
    </row>
    <row r="416" spans="6:7">
      <c r="F416" s="1238"/>
      <c r="G416" s="1238"/>
    </row>
    <row r="417" spans="6:7">
      <c r="F417" s="1238"/>
      <c r="G417" s="1238"/>
    </row>
    <row r="418" spans="6:7">
      <c r="F418" s="1238"/>
      <c r="G418" s="1238"/>
    </row>
    <row r="419" spans="6:7">
      <c r="F419" s="1238"/>
      <c r="G419" s="1238"/>
    </row>
    <row r="420" spans="6:7">
      <c r="F420" s="1238"/>
      <c r="G420" s="1238"/>
    </row>
    <row r="421" spans="6:7">
      <c r="F421" s="1238"/>
      <c r="G421" s="1238"/>
    </row>
    <row r="422" spans="6:7">
      <c r="F422" s="1238"/>
      <c r="G422" s="1238"/>
    </row>
    <row r="423" spans="6:7">
      <c r="F423" s="1238"/>
      <c r="G423" s="1238"/>
    </row>
    <row r="424" spans="6:7">
      <c r="F424" s="1238"/>
      <c r="G424" s="1238"/>
    </row>
    <row r="425" spans="6:7">
      <c r="F425" s="1238"/>
      <c r="G425" s="1238"/>
    </row>
    <row r="426" spans="6:7">
      <c r="F426" s="1238"/>
      <c r="G426" s="1238"/>
    </row>
    <row r="427" spans="6:7">
      <c r="F427" s="1238"/>
      <c r="G427" s="1238"/>
    </row>
    <row r="428" spans="6:7">
      <c r="F428" s="1238"/>
      <c r="G428" s="1238"/>
    </row>
    <row r="429" spans="6:7">
      <c r="F429" s="1238"/>
      <c r="G429" s="1238"/>
    </row>
    <row r="430" spans="6:7">
      <c r="F430" s="1238"/>
      <c r="G430" s="1238"/>
    </row>
    <row r="431" spans="6:7">
      <c r="F431" s="1238"/>
      <c r="G431" s="1238"/>
    </row>
    <row r="432" spans="6:7">
      <c r="F432" s="1238"/>
      <c r="G432" s="1238"/>
    </row>
    <row r="433" spans="6:7">
      <c r="F433" s="1238"/>
      <c r="G433" s="1238"/>
    </row>
    <row r="434" spans="6:7">
      <c r="F434" s="1238"/>
      <c r="G434" s="1238"/>
    </row>
    <row r="435" spans="6:7">
      <c r="F435" s="1238"/>
      <c r="G435" s="1238"/>
    </row>
    <row r="436" spans="6:7">
      <c r="F436" s="1238"/>
      <c r="G436" s="1238"/>
    </row>
    <row r="437" spans="6:7">
      <c r="F437" s="1238"/>
      <c r="G437" s="1238"/>
    </row>
    <row r="438" spans="6:7">
      <c r="F438" s="1238"/>
      <c r="G438" s="1238"/>
    </row>
    <row r="439" spans="6:7">
      <c r="F439" s="1238"/>
      <c r="G439" s="1238"/>
    </row>
    <row r="440" spans="6:7">
      <c r="F440" s="1238"/>
      <c r="G440" s="1238"/>
    </row>
    <row r="441" spans="6:7">
      <c r="F441" s="1238"/>
      <c r="G441" s="1238"/>
    </row>
    <row r="442" spans="6:7">
      <c r="F442" s="1238"/>
      <c r="G442" s="1238"/>
    </row>
    <row r="443" spans="6:7">
      <c r="F443" s="1238"/>
      <c r="G443" s="1238"/>
    </row>
    <row r="444" spans="6:7">
      <c r="F444" s="1238"/>
      <c r="G444" s="1238"/>
    </row>
    <row r="445" spans="6:7">
      <c r="F445" s="1238"/>
      <c r="G445" s="1238"/>
    </row>
    <row r="446" spans="6:7">
      <c r="F446" s="1238"/>
      <c r="G446" s="1238"/>
    </row>
    <row r="447" spans="6:7">
      <c r="F447" s="1238"/>
      <c r="G447" s="1238"/>
    </row>
    <row r="448" spans="6:7">
      <c r="F448" s="1238"/>
      <c r="G448" s="1238"/>
    </row>
    <row r="449" spans="6:7">
      <c r="F449" s="1238"/>
      <c r="G449" s="1238"/>
    </row>
    <row r="450" spans="6:7">
      <c r="F450" s="1238"/>
      <c r="G450" s="1238"/>
    </row>
    <row r="451" spans="6:7">
      <c r="F451" s="1238"/>
      <c r="G451" s="1238"/>
    </row>
    <row r="452" spans="6:7">
      <c r="F452" s="1238"/>
      <c r="G452" s="1238"/>
    </row>
    <row r="453" spans="6:7">
      <c r="F453" s="1238"/>
      <c r="G453" s="1238"/>
    </row>
    <row r="454" spans="6:7">
      <c r="F454" s="1238"/>
      <c r="G454" s="1238"/>
    </row>
    <row r="455" spans="6:7">
      <c r="F455" s="1238"/>
      <c r="G455" s="1238"/>
    </row>
    <row r="456" spans="6:7">
      <c r="F456" s="1238"/>
      <c r="G456" s="1238"/>
    </row>
    <row r="457" spans="6:7">
      <c r="F457" s="1238"/>
      <c r="G457" s="1238"/>
    </row>
    <row r="458" spans="6:7">
      <c r="F458" s="1238"/>
      <c r="G458" s="1238"/>
    </row>
    <row r="459" spans="6:7">
      <c r="F459" s="1238"/>
      <c r="G459" s="1238"/>
    </row>
    <row r="460" spans="6:7">
      <c r="F460" s="1238"/>
      <c r="G460" s="1238"/>
    </row>
    <row r="461" spans="6:7">
      <c r="F461" s="1238"/>
      <c r="G461" s="1238"/>
    </row>
    <row r="462" spans="6:7">
      <c r="F462" s="1238"/>
      <c r="G462" s="1238"/>
    </row>
    <row r="463" spans="6:7">
      <c r="F463" s="1238"/>
      <c r="G463" s="1238"/>
    </row>
    <row r="464" spans="6:7">
      <c r="F464" s="1238"/>
      <c r="G464" s="1238"/>
    </row>
    <row r="465" spans="6:7">
      <c r="F465" s="1238"/>
      <c r="G465" s="1238"/>
    </row>
    <row r="466" spans="6:7">
      <c r="F466" s="1238"/>
      <c r="G466" s="1238"/>
    </row>
    <row r="467" spans="6:7">
      <c r="F467" s="1238"/>
      <c r="G467" s="1238"/>
    </row>
    <row r="468" spans="6:7">
      <c r="F468" s="1238"/>
      <c r="G468" s="1238"/>
    </row>
    <row r="469" spans="6:7">
      <c r="F469" s="1238"/>
      <c r="G469" s="1238"/>
    </row>
    <row r="470" spans="6:7">
      <c r="F470" s="1238"/>
      <c r="G470" s="1238"/>
    </row>
    <row r="471" spans="6:7">
      <c r="F471" s="1238"/>
      <c r="G471" s="1238"/>
    </row>
    <row r="472" spans="6:7">
      <c r="F472" s="1238"/>
      <c r="G472" s="1238"/>
    </row>
    <row r="473" spans="6:7">
      <c r="F473" s="1238"/>
      <c r="G473" s="1238"/>
    </row>
    <row r="474" spans="6:7">
      <c r="F474" s="1238"/>
      <c r="G474" s="1238"/>
    </row>
    <row r="475" spans="6:7">
      <c r="F475" s="1238"/>
      <c r="G475" s="1238"/>
    </row>
    <row r="476" spans="6:7">
      <c r="F476" s="1238"/>
      <c r="G476" s="1238"/>
    </row>
    <row r="477" spans="6:7">
      <c r="F477" s="1238"/>
      <c r="G477" s="1238"/>
    </row>
    <row r="478" spans="6:7">
      <c r="F478" s="1238"/>
      <c r="G478" s="1238"/>
    </row>
    <row r="479" spans="6:7">
      <c r="F479" s="1238"/>
      <c r="G479" s="1238"/>
    </row>
    <row r="480" spans="6:7">
      <c r="F480" s="1238"/>
      <c r="G480" s="1238"/>
    </row>
    <row r="481" spans="6:7">
      <c r="F481" s="1238"/>
      <c r="G481" s="1238"/>
    </row>
    <row r="482" spans="6:7">
      <c r="F482" s="1238"/>
      <c r="G482" s="1238"/>
    </row>
    <row r="483" spans="6:7">
      <c r="F483" s="1238"/>
      <c r="G483" s="1238"/>
    </row>
    <row r="484" spans="6:7">
      <c r="F484" s="1238"/>
      <c r="G484" s="1238"/>
    </row>
    <row r="485" spans="6:7">
      <c r="F485" s="1238"/>
      <c r="G485" s="1238"/>
    </row>
    <row r="486" spans="6:7">
      <c r="F486" s="1238"/>
      <c r="G486" s="1238"/>
    </row>
    <row r="487" spans="6:7">
      <c r="F487" s="1238"/>
      <c r="G487" s="1238"/>
    </row>
    <row r="488" spans="6:7">
      <c r="F488" s="1238"/>
      <c r="G488" s="1238"/>
    </row>
    <row r="489" spans="6:7">
      <c r="F489" s="1238"/>
      <c r="G489" s="1238"/>
    </row>
    <row r="490" spans="6:7">
      <c r="F490" s="1238"/>
      <c r="G490" s="1238"/>
    </row>
    <row r="491" spans="6:7">
      <c r="F491" s="1238"/>
      <c r="G491" s="1238"/>
    </row>
    <row r="492" spans="6:7">
      <c r="F492" s="1238"/>
      <c r="G492" s="1238"/>
    </row>
    <row r="493" spans="6:7">
      <c r="F493" s="1238"/>
      <c r="G493" s="1238"/>
    </row>
    <row r="494" spans="6:7">
      <c r="F494" s="1238"/>
      <c r="G494" s="1238"/>
    </row>
    <row r="495" spans="6:7">
      <c r="F495" s="1238"/>
      <c r="G495" s="1238"/>
    </row>
    <row r="496" spans="6:7">
      <c r="F496" s="1238"/>
      <c r="G496" s="1238"/>
    </row>
    <row r="497" spans="6:7">
      <c r="F497" s="1238"/>
      <c r="G497" s="1238"/>
    </row>
    <row r="498" spans="6:7">
      <c r="F498" s="1238"/>
      <c r="G498" s="1238"/>
    </row>
    <row r="499" spans="6:7">
      <c r="F499" s="1238"/>
      <c r="G499" s="1238"/>
    </row>
    <row r="500" spans="6:7">
      <c r="F500" s="1238"/>
      <c r="G500" s="1238"/>
    </row>
    <row r="501" spans="6:7">
      <c r="F501" s="1238"/>
      <c r="G501" s="1238"/>
    </row>
    <row r="502" spans="6:7">
      <c r="F502" s="1238"/>
      <c r="G502" s="1238"/>
    </row>
    <row r="503" spans="6:7">
      <c r="F503" s="1238"/>
      <c r="G503" s="1238"/>
    </row>
    <row r="504" spans="6:7">
      <c r="F504" s="1238"/>
      <c r="G504" s="1238"/>
    </row>
    <row r="505" spans="6:7">
      <c r="F505" s="1238"/>
      <c r="G505" s="1238"/>
    </row>
    <row r="506" spans="6:7">
      <c r="F506" s="1238"/>
      <c r="G506" s="1238"/>
    </row>
    <row r="507" spans="6:7">
      <c r="F507" s="1238"/>
      <c r="G507" s="1238"/>
    </row>
    <row r="508" spans="6:7">
      <c r="F508" s="1238"/>
      <c r="G508" s="1238"/>
    </row>
    <row r="509" spans="6:7">
      <c r="F509" s="1238"/>
      <c r="G509" s="1238"/>
    </row>
    <row r="510" spans="6:7">
      <c r="F510" s="1238"/>
      <c r="G510" s="1238"/>
    </row>
    <row r="511" spans="6:7">
      <c r="F511" s="1238"/>
      <c r="G511" s="1238"/>
    </row>
    <row r="512" spans="6:7">
      <c r="F512" s="1238"/>
      <c r="G512" s="1238"/>
    </row>
    <row r="513" spans="6:7">
      <c r="F513" s="1238"/>
      <c r="G513" s="1238"/>
    </row>
    <row r="514" spans="6:7">
      <c r="F514" s="1238"/>
      <c r="G514" s="1238"/>
    </row>
    <row r="515" spans="6:7">
      <c r="F515" s="1238"/>
      <c r="G515" s="1238"/>
    </row>
    <row r="516" spans="6:7">
      <c r="F516" s="1238"/>
      <c r="G516" s="1238"/>
    </row>
    <row r="517" spans="6:7">
      <c r="F517" s="1238"/>
      <c r="G517" s="1238"/>
    </row>
    <row r="518" spans="6:7">
      <c r="F518" s="1238"/>
      <c r="G518" s="1238"/>
    </row>
    <row r="519" spans="6:7">
      <c r="F519" s="1238"/>
      <c r="G519" s="1238"/>
    </row>
    <row r="520" spans="6:7">
      <c r="F520" s="1238"/>
      <c r="G520" s="1238"/>
    </row>
    <row r="521" spans="6:7">
      <c r="F521" s="1238"/>
      <c r="G521" s="1238"/>
    </row>
    <row r="522" spans="6:7">
      <c r="F522" s="1238"/>
      <c r="G522" s="1238"/>
    </row>
    <row r="523" spans="6:7">
      <c r="F523" s="1238"/>
      <c r="G523" s="1238"/>
    </row>
    <row r="524" spans="6:7">
      <c r="F524" s="1238"/>
      <c r="G524" s="1238"/>
    </row>
    <row r="525" spans="6:7">
      <c r="F525" s="1238"/>
      <c r="G525" s="1238"/>
    </row>
    <row r="526" spans="6:7">
      <c r="F526" s="1238"/>
      <c r="G526" s="1238"/>
    </row>
    <row r="527" spans="6:7">
      <c r="F527" s="1238"/>
      <c r="G527" s="1238"/>
    </row>
    <row r="528" spans="6:7">
      <c r="F528" s="1238"/>
      <c r="G528" s="1238"/>
    </row>
    <row r="529" spans="6:7">
      <c r="F529" s="1238"/>
      <c r="G529" s="1238"/>
    </row>
    <row r="530" spans="6:7">
      <c r="F530" s="1238"/>
      <c r="G530" s="1238"/>
    </row>
    <row r="531" spans="6:7">
      <c r="F531" s="1238"/>
      <c r="G531" s="1238"/>
    </row>
    <row r="532" spans="6:7">
      <c r="F532" s="1238"/>
      <c r="G532" s="1238"/>
    </row>
    <row r="533" spans="6:7">
      <c r="F533" s="1238"/>
      <c r="G533" s="1238"/>
    </row>
    <row r="534" spans="6:7">
      <c r="F534" s="1238"/>
      <c r="G534" s="1238"/>
    </row>
    <row r="535" spans="6:7">
      <c r="F535" s="1238"/>
      <c r="G535" s="1238"/>
    </row>
    <row r="536" spans="6:7">
      <c r="F536" s="1238"/>
      <c r="G536" s="1238"/>
    </row>
    <row r="537" spans="6:7">
      <c r="F537" s="1238"/>
      <c r="G537" s="1238"/>
    </row>
    <row r="538" spans="6:7">
      <c r="F538" s="1238"/>
      <c r="G538" s="1238"/>
    </row>
    <row r="539" spans="6:7">
      <c r="F539" s="1238"/>
      <c r="G539" s="1238"/>
    </row>
    <row r="540" spans="6:7">
      <c r="F540" s="1238"/>
      <c r="G540" s="1238"/>
    </row>
    <row r="541" spans="6:7">
      <c r="F541" s="1238"/>
      <c r="G541" s="1238"/>
    </row>
    <row r="542" spans="6:7">
      <c r="F542" s="1238"/>
      <c r="G542" s="1238"/>
    </row>
    <row r="543" spans="6:7">
      <c r="F543" s="1238"/>
      <c r="G543" s="1238"/>
    </row>
    <row r="544" spans="6:7">
      <c r="F544" s="1238"/>
      <c r="G544" s="1238"/>
    </row>
    <row r="545" spans="6:7">
      <c r="F545" s="1238"/>
      <c r="G545" s="1238"/>
    </row>
    <row r="546" spans="6:7">
      <c r="F546" s="1238"/>
      <c r="G546" s="1238"/>
    </row>
    <row r="547" spans="6:7">
      <c r="F547" s="1238"/>
      <c r="G547" s="1238"/>
    </row>
    <row r="548" spans="6:7">
      <c r="F548" s="1238"/>
      <c r="G548" s="1238"/>
    </row>
    <row r="549" spans="6:7">
      <c r="F549" s="1238"/>
      <c r="G549" s="1238"/>
    </row>
    <row r="550" spans="6:7">
      <c r="F550" s="1238"/>
      <c r="G550" s="1238"/>
    </row>
    <row r="551" spans="6:7">
      <c r="F551" s="1238"/>
      <c r="G551" s="1238"/>
    </row>
    <row r="552" spans="6:7">
      <c r="F552" s="1238"/>
      <c r="G552" s="1238"/>
    </row>
    <row r="553" spans="6:7">
      <c r="F553" s="1238"/>
      <c r="G553" s="1238"/>
    </row>
    <row r="554" spans="6:7">
      <c r="F554" s="1238"/>
      <c r="G554" s="1238"/>
    </row>
    <row r="555" spans="6:7">
      <c r="F555" s="1238"/>
      <c r="G555" s="1238"/>
    </row>
    <row r="556" spans="6:7">
      <c r="F556" s="1238"/>
      <c r="G556" s="1238"/>
    </row>
    <row r="557" spans="6:7">
      <c r="F557" s="1238"/>
      <c r="G557" s="1238"/>
    </row>
    <row r="558" spans="6:7">
      <c r="F558" s="1238"/>
      <c r="G558" s="1238"/>
    </row>
    <row r="559" spans="6:7">
      <c r="F559" s="1238"/>
      <c r="G559" s="1238"/>
    </row>
    <row r="560" spans="6:7">
      <c r="F560" s="1238"/>
      <c r="G560" s="1238"/>
    </row>
    <row r="561" spans="6:7">
      <c r="F561" s="1238"/>
      <c r="G561" s="1238"/>
    </row>
    <row r="562" spans="6:7">
      <c r="F562" s="1238"/>
      <c r="G562" s="1238"/>
    </row>
    <row r="563" spans="6:7">
      <c r="F563" s="1238"/>
      <c r="G563" s="1238"/>
    </row>
    <row r="564" spans="6:7">
      <c r="F564" s="1238"/>
      <c r="G564" s="1238"/>
    </row>
    <row r="565" spans="6:7">
      <c r="F565" s="1238"/>
      <c r="G565" s="1238"/>
    </row>
    <row r="566" spans="6:7">
      <c r="F566" s="1238"/>
      <c r="G566" s="1238"/>
    </row>
    <row r="567" spans="6:7">
      <c r="F567" s="1238"/>
      <c r="G567" s="1238"/>
    </row>
    <row r="568" spans="6:7">
      <c r="F568" s="1238"/>
      <c r="G568" s="1238"/>
    </row>
    <row r="569" spans="6:7">
      <c r="F569" s="1238"/>
      <c r="G569" s="1238"/>
    </row>
    <row r="570" spans="6:7">
      <c r="F570" s="1238"/>
      <c r="G570" s="1238"/>
    </row>
    <row r="571" spans="6:7">
      <c r="F571" s="1238"/>
      <c r="G571" s="1238"/>
    </row>
    <row r="572" spans="6:7">
      <c r="F572" s="1238"/>
      <c r="G572" s="1238"/>
    </row>
    <row r="573" spans="6:7">
      <c r="F573" s="1238"/>
      <c r="G573" s="1238"/>
    </row>
    <row r="574" spans="6:7">
      <c r="F574" s="1238"/>
      <c r="G574" s="1238"/>
    </row>
    <row r="575" spans="6:7">
      <c r="F575" s="1238"/>
      <c r="G575" s="1238"/>
    </row>
    <row r="576" spans="6:7">
      <c r="F576" s="1238"/>
      <c r="G576" s="1238"/>
    </row>
    <row r="577" spans="6:7">
      <c r="F577" s="1238"/>
      <c r="G577" s="1238"/>
    </row>
    <row r="578" spans="6:7">
      <c r="F578" s="1238"/>
      <c r="G578" s="1238"/>
    </row>
    <row r="579" spans="6:7">
      <c r="F579" s="1238"/>
      <c r="G579" s="1238"/>
    </row>
    <row r="580" spans="6:7">
      <c r="F580" s="1238"/>
      <c r="G580" s="1238"/>
    </row>
    <row r="581" spans="6:7">
      <c r="F581" s="1238"/>
      <c r="G581" s="1238"/>
    </row>
    <row r="582" spans="6:7">
      <c r="F582" s="1238"/>
      <c r="G582" s="1238"/>
    </row>
    <row r="583" spans="6:7">
      <c r="F583" s="1238"/>
      <c r="G583" s="1238"/>
    </row>
    <row r="584" spans="6:7">
      <c r="F584" s="1238"/>
      <c r="G584" s="1238"/>
    </row>
    <row r="585" spans="6:7">
      <c r="F585" s="1238"/>
      <c r="G585" s="1238"/>
    </row>
    <row r="586" spans="6:7">
      <c r="F586" s="1238"/>
      <c r="G586" s="1238"/>
    </row>
    <row r="587" spans="6:7">
      <c r="F587" s="1238"/>
      <c r="G587" s="1238"/>
    </row>
    <row r="588" spans="6:7">
      <c r="F588" s="1238"/>
      <c r="G588" s="1238"/>
    </row>
    <row r="589" spans="6:7">
      <c r="F589" s="1238"/>
      <c r="G589" s="1238"/>
    </row>
    <row r="590" spans="6:7">
      <c r="F590" s="1238"/>
      <c r="G590" s="1238"/>
    </row>
    <row r="591" spans="6:7">
      <c r="F591" s="1238"/>
      <c r="G591" s="1238"/>
    </row>
    <row r="592" spans="6:7">
      <c r="F592" s="1238"/>
      <c r="G592" s="1238"/>
    </row>
    <row r="593" spans="6:7">
      <c r="F593" s="1238"/>
      <c r="G593" s="1238"/>
    </row>
    <row r="594" spans="6:7">
      <c r="F594" s="1238"/>
      <c r="G594" s="1238"/>
    </row>
    <row r="595" spans="6:7">
      <c r="F595" s="1238"/>
      <c r="G595" s="1238"/>
    </row>
    <row r="596" spans="6:7">
      <c r="F596" s="1238"/>
      <c r="G596" s="1238"/>
    </row>
    <row r="597" spans="6:7">
      <c r="F597" s="1238"/>
      <c r="G597" s="1238"/>
    </row>
    <row r="598" spans="6:7">
      <c r="F598" s="1238"/>
      <c r="G598" s="1238"/>
    </row>
    <row r="599" spans="6:7">
      <c r="F599" s="1238"/>
      <c r="G599" s="1238"/>
    </row>
    <row r="600" spans="6:7">
      <c r="F600" s="1238"/>
      <c r="G600" s="1238"/>
    </row>
    <row r="601" spans="6:7">
      <c r="F601" s="1238"/>
      <c r="G601" s="1238"/>
    </row>
    <row r="602" spans="6:7">
      <c r="F602" s="1238"/>
      <c r="G602" s="1238"/>
    </row>
    <row r="603" spans="6:7">
      <c r="F603" s="1238"/>
      <c r="G603" s="1238"/>
    </row>
    <row r="604" spans="6:7">
      <c r="F604" s="1238"/>
      <c r="G604" s="1238"/>
    </row>
    <row r="605" spans="6:7">
      <c r="F605" s="1238"/>
      <c r="G605" s="1238"/>
    </row>
    <row r="606" spans="6:7">
      <c r="F606" s="1238"/>
      <c r="G606" s="1238"/>
    </row>
    <row r="607" spans="6:7">
      <c r="F607" s="1238"/>
      <c r="G607" s="1238"/>
    </row>
    <row r="608" spans="6:7">
      <c r="F608" s="1238"/>
      <c r="G608" s="1238"/>
    </row>
    <row r="609" spans="6:7">
      <c r="F609" s="1238"/>
      <c r="G609" s="1238"/>
    </row>
    <row r="610" spans="6:7">
      <c r="F610" s="1238"/>
      <c r="G610" s="1238"/>
    </row>
    <row r="611" spans="6:7">
      <c r="F611" s="1238"/>
      <c r="G611" s="1238"/>
    </row>
    <row r="612" spans="6:7">
      <c r="F612" s="1238"/>
      <c r="G612" s="1238"/>
    </row>
    <row r="613" spans="6:7">
      <c r="F613" s="1238"/>
      <c r="G613" s="1238"/>
    </row>
    <row r="614" spans="6:7">
      <c r="F614" s="1238"/>
      <c r="G614" s="1238"/>
    </row>
    <row r="615" spans="6:7">
      <c r="F615" s="1238"/>
      <c r="G615" s="1238"/>
    </row>
    <row r="616" spans="6:7">
      <c r="F616" s="1238"/>
      <c r="G616" s="1238"/>
    </row>
    <row r="617" spans="6:7">
      <c r="F617" s="1238"/>
      <c r="G617" s="1238"/>
    </row>
    <row r="618" spans="6:7">
      <c r="F618" s="1238"/>
      <c r="G618" s="1238"/>
    </row>
    <row r="619" spans="6:7">
      <c r="F619" s="1238"/>
      <c r="G619" s="1238"/>
    </row>
    <row r="620" spans="6:7">
      <c r="F620" s="1238"/>
      <c r="G620" s="1238"/>
    </row>
    <row r="621" spans="6:7">
      <c r="F621" s="1238"/>
      <c r="G621" s="1238"/>
    </row>
    <row r="622" spans="6:7">
      <c r="F622" s="1238"/>
      <c r="G622" s="1238"/>
    </row>
    <row r="623" spans="6:7">
      <c r="F623" s="1238"/>
      <c r="G623" s="1238"/>
    </row>
    <row r="624" spans="6:7">
      <c r="F624" s="1238"/>
      <c r="G624" s="1238"/>
    </row>
    <row r="625" spans="6:7">
      <c r="F625" s="1238"/>
      <c r="G625" s="1238"/>
    </row>
    <row r="626" spans="6:7">
      <c r="F626" s="1238"/>
      <c r="G626" s="1238"/>
    </row>
    <row r="627" spans="6:7">
      <c r="F627" s="1238"/>
      <c r="G627" s="1238"/>
    </row>
    <row r="628" spans="6:7">
      <c r="F628" s="1238"/>
      <c r="G628" s="1238"/>
    </row>
    <row r="629" spans="6:7">
      <c r="F629" s="1238"/>
      <c r="G629" s="1238"/>
    </row>
    <row r="630" spans="6:7">
      <c r="F630" s="1238"/>
      <c r="G630" s="1238"/>
    </row>
    <row r="631" spans="6:7">
      <c r="F631" s="1238"/>
      <c r="G631" s="1238"/>
    </row>
    <row r="632" spans="6:7">
      <c r="F632" s="1238"/>
      <c r="G632" s="1238"/>
    </row>
    <row r="633" spans="6:7">
      <c r="F633" s="1238"/>
      <c r="G633" s="1238"/>
    </row>
    <row r="634" spans="6:7">
      <c r="F634" s="1238"/>
      <c r="G634" s="1238"/>
    </row>
    <row r="635" spans="6:7">
      <c r="F635" s="1238"/>
      <c r="G635" s="1238"/>
    </row>
    <row r="636" spans="6:7">
      <c r="F636" s="1238"/>
      <c r="G636" s="1238"/>
    </row>
    <row r="637" spans="6:7">
      <c r="F637" s="1238"/>
      <c r="G637" s="1238"/>
    </row>
    <row r="638" spans="6:7">
      <c r="F638" s="1238"/>
      <c r="G638" s="1238"/>
    </row>
    <row r="639" spans="6:7">
      <c r="F639" s="1238"/>
      <c r="G639" s="1238"/>
    </row>
    <row r="640" spans="6:7">
      <c r="F640" s="1238"/>
      <c r="G640" s="1238"/>
    </row>
    <row r="641" spans="6:7">
      <c r="F641" s="1238"/>
      <c r="G641" s="1238"/>
    </row>
    <row r="642" spans="6:7">
      <c r="F642" s="1238"/>
      <c r="G642" s="1238"/>
    </row>
    <row r="643" spans="6:7">
      <c r="F643" s="1238"/>
      <c r="G643" s="1238"/>
    </row>
    <row r="644" spans="6:7">
      <c r="F644" s="1238"/>
      <c r="G644" s="1238"/>
    </row>
    <row r="645" spans="6:7">
      <c r="F645" s="1238"/>
      <c r="G645" s="1238"/>
    </row>
    <row r="646" spans="6:7">
      <c r="F646" s="1238"/>
      <c r="G646" s="1238"/>
    </row>
    <row r="647" spans="6:7">
      <c r="F647" s="1238"/>
      <c r="G647" s="1238"/>
    </row>
    <row r="648" spans="6:7">
      <c r="F648" s="1238"/>
      <c r="G648" s="1238"/>
    </row>
    <row r="649" spans="6:7">
      <c r="F649" s="1238"/>
      <c r="G649" s="1238"/>
    </row>
    <row r="650" spans="6:7">
      <c r="F650" s="1238"/>
      <c r="G650" s="1238"/>
    </row>
    <row r="651" spans="6:7">
      <c r="F651" s="1238"/>
      <c r="G651" s="1238"/>
    </row>
    <row r="652" spans="6:7">
      <c r="F652" s="1238"/>
      <c r="G652" s="1238"/>
    </row>
    <row r="653" spans="6:7">
      <c r="F653" s="1238"/>
      <c r="G653" s="1238"/>
    </row>
    <row r="654" spans="6:7">
      <c r="F654" s="1238"/>
      <c r="G654" s="1238"/>
    </row>
    <row r="655" spans="6:7">
      <c r="F655" s="1238"/>
      <c r="G655" s="1238"/>
    </row>
    <row r="656" spans="6:7">
      <c r="F656" s="1238"/>
      <c r="G656" s="1238"/>
    </row>
    <row r="657" spans="6:7">
      <c r="F657" s="1238"/>
      <c r="G657" s="1238"/>
    </row>
    <row r="658" spans="6:7">
      <c r="F658" s="1238"/>
      <c r="G658" s="1238"/>
    </row>
    <row r="659" spans="6:7">
      <c r="F659" s="1238"/>
      <c r="G659" s="1238"/>
    </row>
    <row r="660" spans="6:7">
      <c r="F660" s="1238"/>
      <c r="G660" s="1238"/>
    </row>
    <row r="661" spans="6:7">
      <c r="F661" s="1238"/>
      <c r="G661" s="1238"/>
    </row>
    <row r="662" spans="6:7">
      <c r="F662" s="1238"/>
      <c r="G662" s="1238"/>
    </row>
    <row r="663" spans="6:7">
      <c r="F663" s="1238"/>
      <c r="G663" s="1238"/>
    </row>
    <row r="664" spans="6:7">
      <c r="F664" s="1238"/>
      <c r="G664" s="1238"/>
    </row>
    <row r="665" spans="6:7">
      <c r="F665" s="1238"/>
      <c r="G665" s="1238"/>
    </row>
    <row r="666" spans="6:7">
      <c r="F666" s="1238"/>
      <c r="G666" s="1238"/>
    </row>
    <row r="667" spans="6:7">
      <c r="F667" s="1238"/>
      <c r="G667" s="1238"/>
    </row>
    <row r="668" spans="6:7">
      <c r="F668" s="1238"/>
      <c r="G668" s="1238"/>
    </row>
    <row r="669" spans="6:7">
      <c r="F669" s="1238"/>
      <c r="G669" s="1238"/>
    </row>
    <row r="670" spans="6:7">
      <c r="F670" s="1238"/>
      <c r="G670" s="1238"/>
    </row>
    <row r="671" spans="6:7">
      <c r="F671" s="1238"/>
      <c r="G671" s="1238"/>
    </row>
    <row r="672" spans="6:7">
      <c r="F672" s="1238"/>
      <c r="G672" s="1238"/>
    </row>
    <row r="673" spans="6:7">
      <c r="F673" s="1238"/>
      <c r="G673" s="1238"/>
    </row>
    <row r="674" spans="6:7">
      <c r="F674" s="1238"/>
      <c r="G674" s="1238"/>
    </row>
    <row r="675" spans="6:7">
      <c r="F675" s="1238"/>
      <c r="G675" s="1238"/>
    </row>
    <row r="676" spans="6:7">
      <c r="F676" s="1238"/>
      <c r="G676" s="1238"/>
    </row>
    <row r="677" spans="6:7">
      <c r="F677" s="1238"/>
      <c r="G677" s="1238"/>
    </row>
    <row r="678" spans="6:7">
      <c r="F678" s="1238"/>
      <c r="G678" s="1238"/>
    </row>
    <row r="679" spans="6:7">
      <c r="F679" s="1238"/>
      <c r="G679" s="1238"/>
    </row>
    <row r="680" spans="6:7">
      <c r="F680" s="1238"/>
      <c r="G680" s="1238"/>
    </row>
    <row r="681" spans="6:7">
      <c r="F681" s="1238"/>
      <c r="G681" s="1238"/>
    </row>
    <row r="682" spans="6:7">
      <c r="F682" s="1238"/>
      <c r="G682" s="1238"/>
    </row>
    <row r="683" spans="6:7">
      <c r="F683" s="1238"/>
      <c r="G683" s="1238"/>
    </row>
    <row r="684" spans="6:7">
      <c r="F684" s="1238"/>
      <c r="G684" s="1238"/>
    </row>
  </sheetData>
  <mergeCells count="28">
    <mergeCell ref="AD82:AF82"/>
    <mergeCell ref="BX122:BZ122"/>
    <mergeCell ref="BX137:BZ137"/>
    <mergeCell ref="BF149:BM149"/>
    <mergeCell ref="BX152:BZ152"/>
    <mergeCell ref="AN56:AP56"/>
    <mergeCell ref="AQ56:AS56"/>
    <mergeCell ref="AW56:AY56"/>
    <mergeCell ref="AZ56:BB56"/>
    <mergeCell ref="J81:L81"/>
    <mergeCell ref="Q81:S81"/>
    <mergeCell ref="X81:Z81"/>
    <mergeCell ref="AD81:AF81"/>
    <mergeCell ref="AP13:AR13"/>
    <mergeCell ref="AT13:AV13"/>
    <mergeCell ref="J46:L46"/>
    <mergeCell ref="Q46:S46"/>
    <mergeCell ref="X46:Z46"/>
    <mergeCell ref="AD46:AF46"/>
    <mergeCell ref="H13:J13"/>
    <mergeCell ref="P13:R13"/>
    <mergeCell ref="W13:Y13"/>
    <mergeCell ref="AD13:AF13"/>
    <mergeCell ref="AP22:AR22"/>
    <mergeCell ref="H33:J33"/>
    <mergeCell ref="P33:R33"/>
    <mergeCell ref="W33:Y33"/>
    <mergeCell ref="AD33:AF33"/>
  </mergeCells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H12"/>
  <sheetViews>
    <sheetView zoomScale="70" zoomScaleNormal="70" workbookViewId="0">
      <selection activeCell="D6" sqref="D6"/>
    </sheetView>
  </sheetViews>
  <sheetFormatPr defaultColWidth="17.33203125" defaultRowHeight="14"/>
  <cols>
    <col min="1" max="6" width="17.33203125" style="1"/>
    <col min="7" max="7" width="17" style="1" bestFit="1" customWidth="1"/>
    <col min="8" max="16384" width="17.33203125" style="1"/>
  </cols>
  <sheetData>
    <row r="2" spans="2:8" ht="15.5">
      <c r="B2" s="374" t="s">
        <v>534</v>
      </c>
      <c r="C2" s="374"/>
      <c r="D2" s="108"/>
      <c r="E2" s="108"/>
      <c r="F2" s="108"/>
      <c r="G2" s="108"/>
      <c r="H2" s="108"/>
    </row>
    <row r="3" spans="2:8" ht="15.5">
      <c r="B3" s="374" t="s">
        <v>328</v>
      </c>
      <c r="C3" s="374"/>
      <c r="D3" s="374" t="s">
        <v>325</v>
      </c>
      <c r="E3" s="374" t="s">
        <v>326</v>
      </c>
      <c r="F3" s="374" t="s">
        <v>327</v>
      </c>
      <c r="G3" s="374" t="s">
        <v>370</v>
      </c>
    </row>
    <row r="4" spans="2:8" ht="15.5">
      <c r="B4" s="108">
        <v>117</v>
      </c>
      <c r="C4" s="108"/>
      <c r="D4" s="108">
        <v>155</v>
      </c>
      <c r="E4" s="108">
        <v>4.4999999999999998E-2</v>
      </c>
      <c r="F4" s="108">
        <v>2021</v>
      </c>
      <c r="G4" s="375">
        <f t="shared" ref="G4:G11" si="0">D4*E4</f>
        <v>6.9749999999999996</v>
      </c>
    </row>
    <row r="5" spans="2:8" ht="15.5">
      <c r="B5" s="108">
        <v>202</v>
      </c>
      <c r="C5" s="108"/>
      <c r="D5" s="108">
        <v>267</v>
      </c>
      <c r="E5" s="108">
        <v>4.7500000000000001E-2</v>
      </c>
      <c r="F5" s="108">
        <v>2022</v>
      </c>
      <c r="G5" s="375">
        <f t="shared" si="0"/>
        <v>12.682500000000001</v>
      </c>
    </row>
    <row r="6" spans="2:8" ht="15.5">
      <c r="B6" s="108">
        <v>220</v>
      </c>
      <c r="C6" s="108"/>
      <c r="D6" s="108">
        <v>294</v>
      </c>
      <c r="E6" s="108">
        <v>3.7499999999999999E-2</v>
      </c>
      <c r="F6" s="108">
        <v>2023</v>
      </c>
      <c r="G6" s="375">
        <f t="shared" si="0"/>
        <v>11.025</v>
      </c>
    </row>
    <row r="7" spans="2:8" ht="15.5">
      <c r="B7" s="108">
        <v>609</v>
      </c>
      <c r="C7" s="108"/>
      <c r="D7" s="108">
        <v>794</v>
      </c>
      <c r="E7" s="108">
        <v>6.1249999999999999E-2</v>
      </c>
      <c r="F7" s="108">
        <v>2035</v>
      </c>
      <c r="G7" s="375">
        <f t="shared" si="0"/>
        <v>48.6325</v>
      </c>
    </row>
    <row r="8" spans="2:8" ht="15.5">
      <c r="B8" s="108">
        <v>490</v>
      </c>
      <c r="C8" s="108"/>
      <c r="D8" s="108">
        <v>647</v>
      </c>
      <c r="E8" s="108">
        <v>6.1249999999999999E-2</v>
      </c>
      <c r="F8" s="108">
        <v>2040</v>
      </c>
      <c r="G8" s="375">
        <f t="shared" si="0"/>
        <v>39.628749999999997</v>
      </c>
    </row>
    <row r="9" spans="2:8" ht="15.5">
      <c r="B9" s="108">
        <v>795</v>
      </c>
      <c r="C9" s="108"/>
      <c r="D9" s="108">
        <v>1041</v>
      </c>
      <c r="E9" s="108">
        <v>6.25E-2</v>
      </c>
      <c r="F9" s="108">
        <v>2041</v>
      </c>
      <c r="G9" s="375">
        <f t="shared" si="0"/>
        <v>65.0625</v>
      </c>
    </row>
    <row r="10" spans="2:8" ht="15.5">
      <c r="B10" s="108">
        <v>399</v>
      </c>
      <c r="C10" s="108"/>
      <c r="D10" s="108">
        <v>522</v>
      </c>
      <c r="E10" s="108">
        <v>5.1999999999999998E-2</v>
      </c>
      <c r="F10" s="108">
        <v>2042</v>
      </c>
      <c r="G10" s="375">
        <f t="shared" si="0"/>
        <v>27.143999999999998</v>
      </c>
    </row>
    <row r="11" spans="2:8" ht="15.5">
      <c r="B11" s="108">
        <v>377</v>
      </c>
      <c r="C11" s="108"/>
      <c r="D11" s="108">
        <v>494</v>
      </c>
      <c r="E11" s="108">
        <v>5.3999999999999999E-2</v>
      </c>
      <c r="F11" s="108">
        <v>2043</v>
      </c>
      <c r="G11" s="375">
        <f t="shared" si="0"/>
        <v>26.675999999999998</v>
      </c>
    </row>
    <row r="12" spans="2:8" ht="15.5">
      <c r="B12" s="108"/>
      <c r="C12" s="108"/>
      <c r="D12" s="108"/>
      <c r="E12" s="108"/>
      <c r="F12" s="108"/>
      <c r="G12" s="375">
        <f>SUM(G4:G11)</f>
        <v>237.82624999999999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3:AG87"/>
  <sheetViews>
    <sheetView zoomScaleNormal="100" workbookViewId="0">
      <selection activeCell="H73" sqref="H73"/>
    </sheetView>
  </sheetViews>
  <sheetFormatPr defaultColWidth="8.58203125" defaultRowHeight="14"/>
  <cols>
    <col min="1" max="1" width="14.83203125" style="1" bestFit="1" customWidth="1"/>
    <col min="2" max="2" width="15.25" style="1" customWidth="1"/>
    <col min="3" max="3" width="22.75" style="1" customWidth="1"/>
    <col min="4" max="5" width="8.58203125" style="1"/>
    <col min="6" max="6" width="9.5" style="1" bestFit="1" customWidth="1"/>
    <col min="7" max="16384" width="8.58203125" style="1"/>
  </cols>
  <sheetData>
    <row r="3" spans="1:33">
      <c r="B3" s="1" t="s">
        <v>847</v>
      </c>
      <c r="C3" s="473">
        <v>2</v>
      </c>
      <c r="D3" s="1">
        <v>2020</v>
      </c>
      <c r="E3" s="1">
        <f>D3+1</f>
        <v>2021</v>
      </c>
      <c r="F3" s="1">
        <f t="shared" ref="F3:AF3" si="0">E3+1</f>
        <v>2022</v>
      </c>
      <c r="G3" s="1">
        <f t="shared" si="0"/>
        <v>2023</v>
      </c>
      <c r="H3" s="1">
        <f t="shared" si="0"/>
        <v>2024</v>
      </c>
      <c r="I3" s="1">
        <f t="shared" si="0"/>
        <v>2025</v>
      </c>
      <c r="J3" s="1">
        <f t="shared" si="0"/>
        <v>2026</v>
      </c>
      <c r="K3" s="1">
        <f t="shared" si="0"/>
        <v>2027</v>
      </c>
      <c r="L3" s="1">
        <f t="shared" si="0"/>
        <v>2028</v>
      </c>
      <c r="M3" s="1">
        <f t="shared" si="0"/>
        <v>2029</v>
      </c>
      <c r="N3" s="1">
        <f t="shared" si="0"/>
        <v>2030</v>
      </c>
      <c r="O3" s="1">
        <f t="shared" si="0"/>
        <v>2031</v>
      </c>
      <c r="P3" s="1">
        <f t="shared" si="0"/>
        <v>2032</v>
      </c>
      <c r="Q3" s="1">
        <f t="shared" si="0"/>
        <v>2033</v>
      </c>
      <c r="R3" s="1">
        <f t="shared" si="0"/>
        <v>2034</v>
      </c>
      <c r="S3" s="1">
        <f t="shared" si="0"/>
        <v>2035</v>
      </c>
      <c r="T3" s="1">
        <f t="shared" si="0"/>
        <v>2036</v>
      </c>
      <c r="U3" s="1">
        <f t="shared" si="0"/>
        <v>2037</v>
      </c>
      <c r="V3" s="1">
        <f t="shared" si="0"/>
        <v>2038</v>
      </c>
      <c r="W3" s="1">
        <f t="shared" si="0"/>
        <v>2039</v>
      </c>
      <c r="X3" s="1">
        <f t="shared" si="0"/>
        <v>2040</v>
      </c>
      <c r="Y3" s="1">
        <f t="shared" si="0"/>
        <v>2041</v>
      </c>
      <c r="Z3" s="1">
        <f t="shared" si="0"/>
        <v>2042</v>
      </c>
      <c r="AA3" s="1">
        <f t="shared" si="0"/>
        <v>2043</v>
      </c>
      <c r="AB3" s="1">
        <f t="shared" si="0"/>
        <v>2044</v>
      </c>
      <c r="AC3" s="1">
        <f t="shared" si="0"/>
        <v>2045</v>
      </c>
      <c r="AD3" s="1">
        <f t="shared" si="0"/>
        <v>2046</v>
      </c>
      <c r="AE3" s="1">
        <f t="shared" si="0"/>
        <v>2047</v>
      </c>
      <c r="AF3" s="1">
        <f t="shared" si="0"/>
        <v>2048</v>
      </c>
    </row>
    <row r="4" spans="1:33">
      <c r="B4" s="1" t="s">
        <v>827</v>
      </c>
    </row>
    <row r="6" spans="1:33">
      <c r="B6" s="798" t="s">
        <v>828</v>
      </c>
      <c r="C6" s="799"/>
      <c r="D6" s="845">
        <f>CHOOSE($C$3,D8,D9,D10,D11)</f>
        <v>124.77</v>
      </c>
      <c r="E6" s="846">
        <f t="shared" ref="E6:AF6" si="1">CHOOSE($C$3,E8,E9,E10,E11)</f>
        <v>146.06</v>
      </c>
      <c r="F6" s="846">
        <f t="shared" si="1"/>
        <v>158</v>
      </c>
      <c r="G6" s="846">
        <f t="shared" si="1"/>
        <v>179.5</v>
      </c>
      <c r="H6" s="846">
        <f t="shared" si="1"/>
        <v>144</v>
      </c>
      <c r="I6" s="846">
        <f t="shared" si="1"/>
        <v>144</v>
      </c>
      <c r="J6" s="846">
        <f t="shared" si="1"/>
        <v>144</v>
      </c>
      <c r="K6" s="846">
        <f t="shared" si="1"/>
        <v>144</v>
      </c>
      <c r="L6" s="846">
        <f t="shared" si="1"/>
        <v>144</v>
      </c>
      <c r="M6" s="846">
        <f t="shared" si="1"/>
        <v>144</v>
      </c>
      <c r="N6" s="846">
        <f t="shared" si="1"/>
        <v>144</v>
      </c>
      <c r="O6" s="846">
        <f t="shared" si="1"/>
        <v>144</v>
      </c>
      <c r="P6" s="846">
        <f t="shared" si="1"/>
        <v>144</v>
      </c>
      <c r="Q6" s="846">
        <f t="shared" si="1"/>
        <v>144</v>
      </c>
      <c r="R6" s="846">
        <f t="shared" si="1"/>
        <v>144</v>
      </c>
      <c r="S6" s="846">
        <f t="shared" si="1"/>
        <v>144</v>
      </c>
      <c r="T6" s="846">
        <f t="shared" si="1"/>
        <v>144</v>
      </c>
      <c r="U6" s="846">
        <f t="shared" si="1"/>
        <v>144</v>
      </c>
      <c r="V6" s="846">
        <f t="shared" si="1"/>
        <v>144</v>
      </c>
      <c r="W6" s="846">
        <f t="shared" si="1"/>
        <v>144</v>
      </c>
      <c r="X6" s="846">
        <f t="shared" si="1"/>
        <v>144</v>
      </c>
      <c r="Y6" s="846">
        <f t="shared" si="1"/>
        <v>144</v>
      </c>
      <c r="Z6" s="846">
        <f t="shared" si="1"/>
        <v>144</v>
      </c>
      <c r="AA6" s="846">
        <f t="shared" si="1"/>
        <v>144</v>
      </c>
      <c r="AB6" s="846">
        <f t="shared" si="1"/>
        <v>144</v>
      </c>
      <c r="AC6" s="846">
        <f t="shared" si="1"/>
        <v>144</v>
      </c>
      <c r="AD6" s="846">
        <f t="shared" si="1"/>
        <v>144</v>
      </c>
      <c r="AE6" s="846">
        <f t="shared" si="1"/>
        <v>144</v>
      </c>
      <c r="AF6" s="847">
        <f t="shared" si="1"/>
        <v>144</v>
      </c>
    </row>
    <row r="7" spans="1:33" ht="9.65" customHeight="1">
      <c r="B7" s="800"/>
      <c r="C7" s="801"/>
    </row>
    <row r="8" spans="1:33">
      <c r="B8" s="801"/>
      <c r="C8" s="802" t="s">
        <v>565</v>
      </c>
      <c r="D8" s="807">
        <f>'Assumption Inputs'!E10</f>
        <v>349.33</v>
      </c>
      <c r="E8" s="808">
        <f>D8</f>
        <v>349.33</v>
      </c>
      <c r="F8" s="808">
        <f t="shared" ref="F8:AF9" si="2">E8</f>
        <v>349.33</v>
      </c>
      <c r="G8" s="808">
        <f t="shared" si="2"/>
        <v>349.33</v>
      </c>
      <c r="H8" s="808">
        <f t="shared" si="2"/>
        <v>349.33</v>
      </c>
      <c r="I8" s="808">
        <f t="shared" si="2"/>
        <v>349.33</v>
      </c>
      <c r="J8" s="808">
        <f t="shared" si="2"/>
        <v>349.33</v>
      </c>
      <c r="K8" s="808">
        <f t="shared" si="2"/>
        <v>349.33</v>
      </c>
      <c r="L8" s="808">
        <f t="shared" si="2"/>
        <v>349.33</v>
      </c>
      <c r="M8" s="808">
        <f t="shared" si="2"/>
        <v>349.33</v>
      </c>
      <c r="N8" s="808">
        <f t="shared" si="2"/>
        <v>349.33</v>
      </c>
      <c r="O8" s="808">
        <f t="shared" si="2"/>
        <v>349.33</v>
      </c>
      <c r="P8" s="808">
        <f t="shared" si="2"/>
        <v>349.33</v>
      </c>
      <c r="Q8" s="808">
        <f t="shared" si="2"/>
        <v>349.33</v>
      </c>
      <c r="R8" s="808">
        <f t="shared" si="2"/>
        <v>349.33</v>
      </c>
      <c r="S8" s="808">
        <f t="shared" si="2"/>
        <v>349.33</v>
      </c>
      <c r="T8" s="808">
        <f t="shared" si="2"/>
        <v>349.33</v>
      </c>
      <c r="U8" s="808">
        <f t="shared" si="2"/>
        <v>349.33</v>
      </c>
      <c r="V8" s="808">
        <f t="shared" si="2"/>
        <v>349.33</v>
      </c>
      <c r="W8" s="808">
        <f t="shared" si="2"/>
        <v>349.33</v>
      </c>
      <c r="X8" s="808">
        <f t="shared" si="2"/>
        <v>349.33</v>
      </c>
      <c r="Y8" s="808">
        <f t="shared" si="2"/>
        <v>349.33</v>
      </c>
      <c r="Z8" s="808">
        <f t="shared" si="2"/>
        <v>349.33</v>
      </c>
      <c r="AA8" s="808">
        <f t="shared" si="2"/>
        <v>349.33</v>
      </c>
      <c r="AB8" s="808">
        <f t="shared" si="2"/>
        <v>349.33</v>
      </c>
      <c r="AC8" s="808">
        <f t="shared" si="2"/>
        <v>349.33</v>
      </c>
      <c r="AD8" s="808">
        <f t="shared" si="2"/>
        <v>349.33</v>
      </c>
      <c r="AE8" s="808">
        <f t="shared" si="2"/>
        <v>349.33</v>
      </c>
      <c r="AF8" s="809">
        <f t="shared" si="2"/>
        <v>349.33</v>
      </c>
    </row>
    <row r="9" spans="1:33">
      <c r="B9" s="801"/>
      <c r="C9" s="1" t="s">
        <v>834</v>
      </c>
      <c r="D9" s="810">
        <v>124.77</v>
      </c>
      <c r="E9" s="805">
        <v>146.06</v>
      </c>
      <c r="F9" s="805">
        <v>158</v>
      </c>
      <c r="G9" s="805">
        <v>179.5</v>
      </c>
      <c r="H9" s="805">
        <v>144</v>
      </c>
      <c r="I9" s="806">
        <f>H9</f>
        <v>144</v>
      </c>
      <c r="J9" s="806">
        <f t="shared" si="2"/>
        <v>144</v>
      </c>
      <c r="K9" s="806">
        <f t="shared" si="2"/>
        <v>144</v>
      </c>
      <c r="L9" s="806">
        <f t="shared" si="2"/>
        <v>144</v>
      </c>
      <c r="M9" s="806">
        <f t="shared" si="2"/>
        <v>144</v>
      </c>
      <c r="N9" s="806">
        <f t="shared" si="2"/>
        <v>144</v>
      </c>
      <c r="O9" s="806">
        <f t="shared" si="2"/>
        <v>144</v>
      </c>
      <c r="P9" s="806">
        <f t="shared" si="2"/>
        <v>144</v>
      </c>
      <c r="Q9" s="806">
        <f t="shared" si="2"/>
        <v>144</v>
      </c>
      <c r="R9" s="806">
        <f t="shared" si="2"/>
        <v>144</v>
      </c>
      <c r="S9" s="806">
        <f t="shared" si="2"/>
        <v>144</v>
      </c>
      <c r="T9" s="806">
        <f t="shared" si="2"/>
        <v>144</v>
      </c>
      <c r="U9" s="806">
        <f t="shared" si="2"/>
        <v>144</v>
      </c>
      <c r="V9" s="806">
        <f t="shared" si="2"/>
        <v>144</v>
      </c>
      <c r="W9" s="806">
        <f t="shared" si="2"/>
        <v>144</v>
      </c>
      <c r="X9" s="806">
        <f t="shared" si="2"/>
        <v>144</v>
      </c>
      <c r="Y9" s="806">
        <f t="shared" si="2"/>
        <v>144</v>
      </c>
      <c r="Z9" s="806">
        <f t="shared" si="2"/>
        <v>144</v>
      </c>
      <c r="AA9" s="806">
        <f t="shared" si="2"/>
        <v>144</v>
      </c>
      <c r="AB9" s="806">
        <f t="shared" si="2"/>
        <v>144</v>
      </c>
      <c r="AC9" s="806">
        <f t="shared" si="2"/>
        <v>144</v>
      </c>
      <c r="AD9" s="806">
        <f t="shared" si="2"/>
        <v>144</v>
      </c>
      <c r="AE9" s="806">
        <f t="shared" si="2"/>
        <v>144</v>
      </c>
      <c r="AF9" s="811">
        <f t="shared" si="2"/>
        <v>144</v>
      </c>
    </row>
    <row r="10" spans="1:33">
      <c r="B10" s="801"/>
      <c r="C10" s="802" t="str">
        <f>[9]GenAssums!$I$19&amp;": "&amp;TEXT([9]GenAssums!$K$19,"+0.0%;-0.0%")</f>
        <v>Best Case: +5.0%</v>
      </c>
      <c r="D10" s="810">
        <f>D$8*(1+'Assumption Inputs'!$J$7)</f>
        <v>366.79649999999998</v>
      </c>
      <c r="E10" s="805">
        <f>E$8*(1+'Assumption Inputs'!$J$7)</f>
        <v>366.79649999999998</v>
      </c>
      <c r="F10" s="805">
        <f>F$8*(1+'Assumption Inputs'!$J$7)</f>
        <v>366.79649999999998</v>
      </c>
      <c r="G10" s="805">
        <f>G$8*(1+'Assumption Inputs'!$J$7)</f>
        <v>366.79649999999998</v>
      </c>
      <c r="H10" s="805">
        <f>H$8*(1+'Assumption Inputs'!$J$7)</f>
        <v>366.79649999999998</v>
      </c>
      <c r="I10" s="805">
        <f>I$8*(1+'Assumption Inputs'!$J$7)</f>
        <v>366.79649999999998</v>
      </c>
      <c r="J10" s="805">
        <f>J$8*(1+'Assumption Inputs'!$J$7)</f>
        <v>366.79649999999998</v>
      </c>
      <c r="K10" s="805">
        <f>K$8*(1+'Assumption Inputs'!$J$7)</f>
        <v>366.79649999999998</v>
      </c>
      <c r="L10" s="805">
        <f>L$8*(1+'Assumption Inputs'!$J$7)</f>
        <v>366.79649999999998</v>
      </c>
      <c r="M10" s="805">
        <f>M$8*(1+'Assumption Inputs'!$J$7)</f>
        <v>366.79649999999998</v>
      </c>
      <c r="N10" s="805">
        <f>N$8*(1+'Assumption Inputs'!$J$7)</f>
        <v>366.79649999999998</v>
      </c>
      <c r="O10" s="805">
        <f>O$8*(1+'Assumption Inputs'!$J$7)</f>
        <v>366.79649999999998</v>
      </c>
      <c r="P10" s="805">
        <f>P$8*(1+'Assumption Inputs'!$J$7)</f>
        <v>366.79649999999998</v>
      </c>
      <c r="Q10" s="805">
        <f>Q$8*(1+'Assumption Inputs'!$J$7)</f>
        <v>366.79649999999998</v>
      </c>
      <c r="R10" s="805">
        <f>R$8*(1+'Assumption Inputs'!$J$7)</f>
        <v>366.79649999999998</v>
      </c>
      <c r="S10" s="805">
        <f>S$8*(1+'Assumption Inputs'!$J$7)</f>
        <v>366.79649999999998</v>
      </c>
      <c r="T10" s="805">
        <f>T$8*(1+'Assumption Inputs'!$J$7)</f>
        <v>366.79649999999998</v>
      </c>
      <c r="U10" s="805">
        <f>U$8*(1+'Assumption Inputs'!$J$7)</f>
        <v>366.79649999999998</v>
      </c>
      <c r="V10" s="805">
        <f>V$8*(1+'Assumption Inputs'!$J$7)</f>
        <v>366.79649999999998</v>
      </c>
      <c r="W10" s="805">
        <f>W$8*(1+'Assumption Inputs'!$J$7)</f>
        <v>366.79649999999998</v>
      </c>
      <c r="X10" s="805">
        <f>X$8*(1+'Assumption Inputs'!$J$7)</f>
        <v>366.79649999999998</v>
      </c>
      <c r="Y10" s="805">
        <f>Y$8*(1+'Assumption Inputs'!$J$7)</f>
        <v>366.79649999999998</v>
      </c>
      <c r="Z10" s="805">
        <f>Z$8*(1+'Assumption Inputs'!$J$7)</f>
        <v>366.79649999999998</v>
      </c>
      <c r="AA10" s="805">
        <f>AA$8*(1+'Assumption Inputs'!$J$7)</f>
        <v>366.79649999999998</v>
      </c>
      <c r="AB10" s="805">
        <f>AB$8*(1+'Assumption Inputs'!$J$7)</f>
        <v>366.79649999999998</v>
      </c>
      <c r="AC10" s="805">
        <f>AC$8*(1+'Assumption Inputs'!$J$7)</f>
        <v>366.79649999999998</v>
      </c>
      <c r="AD10" s="805">
        <f>AD$8*(1+'Assumption Inputs'!$J$7)</f>
        <v>366.79649999999998</v>
      </c>
      <c r="AE10" s="805">
        <f>AE$8*(1+'Assumption Inputs'!$J$7)</f>
        <v>366.79649999999998</v>
      </c>
      <c r="AF10" s="812">
        <f>AF$8*(1+'Assumption Inputs'!$J$7)</f>
        <v>366.79649999999998</v>
      </c>
    </row>
    <row r="11" spans="1:33">
      <c r="C11" s="802" t="str">
        <f>[9]GenAssums!$I$20&amp;": "&amp;TEXT([9]GenAssums!$K$20,"+0.0%;-0.0%")</f>
        <v>Worst Case: -5.0%</v>
      </c>
      <c r="D11" s="813">
        <f>D$8*(1+'Assumption Inputs'!$J$8)</f>
        <v>331.86349999999999</v>
      </c>
      <c r="E11" s="814">
        <f>E$8*(1+'Assumption Inputs'!$J$8)</f>
        <v>331.86349999999999</v>
      </c>
      <c r="F11" s="814">
        <f>F$8*(1+'Assumption Inputs'!$J$8)</f>
        <v>331.86349999999999</v>
      </c>
      <c r="G11" s="814">
        <f>G$8*(1+'Assumption Inputs'!$J$8)</f>
        <v>331.86349999999999</v>
      </c>
      <c r="H11" s="814">
        <f>H$8*(1+'Assumption Inputs'!$J$8)</f>
        <v>331.86349999999999</v>
      </c>
      <c r="I11" s="814">
        <f>I$8*(1+'Assumption Inputs'!$J$8)</f>
        <v>331.86349999999999</v>
      </c>
      <c r="J11" s="814">
        <f>J$8*(1+'Assumption Inputs'!$J$8)</f>
        <v>331.86349999999999</v>
      </c>
      <c r="K11" s="814">
        <f>K$8*(1+'Assumption Inputs'!$J$8)</f>
        <v>331.86349999999999</v>
      </c>
      <c r="L11" s="814">
        <f>L$8*(1+'Assumption Inputs'!$J$8)</f>
        <v>331.86349999999999</v>
      </c>
      <c r="M11" s="814">
        <f>M$8*(1+'Assumption Inputs'!$J$8)</f>
        <v>331.86349999999999</v>
      </c>
      <c r="N11" s="814">
        <f>N$8*(1+'Assumption Inputs'!$J$8)</f>
        <v>331.86349999999999</v>
      </c>
      <c r="O11" s="814">
        <f>O$8*(1+'Assumption Inputs'!$J$8)</f>
        <v>331.86349999999999</v>
      </c>
      <c r="P11" s="814">
        <f>P$8*(1+'Assumption Inputs'!$J$8)</f>
        <v>331.86349999999999</v>
      </c>
      <c r="Q11" s="814">
        <f>Q$8*(1+'Assumption Inputs'!$J$8)</f>
        <v>331.86349999999999</v>
      </c>
      <c r="R11" s="814">
        <f>R$8*(1+'Assumption Inputs'!$J$8)</f>
        <v>331.86349999999999</v>
      </c>
      <c r="S11" s="814">
        <f>S$8*(1+'Assumption Inputs'!$J$8)</f>
        <v>331.86349999999999</v>
      </c>
      <c r="T11" s="814">
        <f>T$8*(1+'Assumption Inputs'!$J$8)</f>
        <v>331.86349999999999</v>
      </c>
      <c r="U11" s="814">
        <f>U$8*(1+'Assumption Inputs'!$J$8)</f>
        <v>331.86349999999999</v>
      </c>
      <c r="V11" s="814">
        <f>V$8*(1+'Assumption Inputs'!$J$8)</f>
        <v>331.86349999999999</v>
      </c>
      <c r="W11" s="814">
        <f>W$8*(1+'Assumption Inputs'!$J$8)</f>
        <v>331.86349999999999</v>
      </c>
      <c r="X11" s="814">
        <f>X$8*(1+'Assumption Inputs'!$J$8)</f>
        <v>331.86349999999999</v>
      </c>
      <c r="Y11" s="814">
        <f>Y$8*(1+'Assumption Inputs'!$J$8)</f>
        <v>331.86349999999999</v>
      </c>
      <c r="Z11" s="814">
        <f>Z$8*(1+'Assumption Inputs'!$J$8)</f>
        <v>331.86349999999999</v>
      </c>
      <c r="AA11" s="814">
        <f>AA$8*(1+'Assumption Inputs'!$J$8)</f>
        <v>331.86349999999999</v>
      </c>
      <c r="AB11" s="814">
        <f>AB$8*(1+'Assumption Inputs'!$J$8)</f>
        <v>331.86349999999999</v>
      </c>
      <c r="AC11" s="814">
        <f>AC$8*(1+'Assumption Inputs'!$J$8)</f>
        <v>331.86349999999999</v>
      </c>
      <c r="AD11" s="814">
        <f>AD$8*(1+'Assumption Inputs'!$J$8)</f>
        <v>331.86349999999999</v>
      </c>
      <c r="AE11" s="814">
        <f>AE$8*(1+'Assumption Inputs'!$J$8)</f>
        <v>331.86349999999999</v>
      </c>
      <c r="AF11" s="815">
        <f>AF$8*(1+'Assumption Inputs'!$J$8)</f>
        <v>331.86349999999999</v>
      </c>
    </row>
    <row r="14" spans="1:33">
      <c r="B14" s="798" t="s">
        <v>839</v>
      </c>
      <c r="C14" s="799"/>
      <c r="D14" s="848">
        <f>CHOOSE($C$3,D16,D17,D18,D19)</f>
        <v>2.7388823369318698</v>
      </c>
      <c r="E14" s="849">
        <f t="shared" ref="E14:AF14" si="3">CHOOSE($C$3,E16,E17,E18,E19)</f>
        <v>4.1730926245123836</v>
      </c>
      <c r="F14" s="849">
        <f t="shared" si="3"/>
        <v>4.0970017236686926</v>
      </c>
      <c r="G14" s="849">
        <f t="shared" si="3"/>
        <v>4.1358976685112951</v>
      </c>
      <c r="H14" s="849">
        <f t="shared" si="3"/>
        <v>3.8688787081556746</v>
      </c>
      <c r="I14" s="849">
        <f t="shared" si="3"/>
        <v>3.8688787081556746</v>
      </c>
      <c r="J14" s="849">
        <f t="shared" si="3"/>
        <v>3.8688787081556746</v>
      </c>
      <c r="K14" s="849">
        <f t="shared" si="3"/>
        <v>3.8688787081556746</v>
      </c>
      <c r="L14" s="849">
        <f t="shared" si="3"/>
        <v>3.8688787081556746</v>
      </c>
      <c r="M14" s="849">
        <f t="shared" si="3"/>
        <v>3.8688787081556746</v>
      </c>
      <c r="N14" s="849">
        <f t="shared" si="3"/>
        <v>3.8688787081556746</v>
      </c>
      <c r="O14" s="849">
        <f t="shared" si="3"/>
        <v>3.8688787081556746</v>
      </c>
      <c r="P14" s="849">
        <f t="shared" si="3"/>
        <v>3.8688787081556746</v>
      </c>
      <c r="Q14" s="849">
        <f t="shared" si="3"/>
        <v>3.8688787081556746</v>
      </c>
      <c r="R14" s="849">
        <f t="shared" si="3"/>
        <v>3.8688787081556746</v>
      </c>
      <c r="S14" s="849">
        <f t="shared" si="3"/>
        <v>3.8688787081556746</v>
      </c>
      <c r="T14" s="849">
        <f t="shared" si="3"/>
        <v>3.8688787081556746</v>
      </c>
      <c r="U14" s="849">
        <f t="shared" si="3"/>
        <v>3.8688787081556746</v>
      </c>
      <c r="V14" s="849">
        <f t="shared" si="3"/>
        <v>3.8688787081556746</v>
      </c>
      <c r="W14" s="849">
        <f t="shared" si="3"/>
        <v>3.8688787081556746</v>
      </c>
      <c r="X14" s="849">
        <f t="shared" si="3"/>
        <v>3.8688787081556746</v>
      </c>
      <c r="Y14" s="849">
        <f t="shared" si="3"/>
        <v>3.8688787081556746</v>
      </c>
      <c r="Z14" s="849">
        <f t="shared" si="3"/>
        <v>3.8688787081556746</v>
      </c>
      <c r="AA14" s="849">
        <f t="shared" si="3"/>
        <v>3.8688787081556746</v>
      </c>
      <c r="AB14" s="849">
        <f t="shared" si="3"/>
        <v>3.8688787081556746</v>
      </c>
      <c r="AC14" s="849">
        <f t="shared" si="3"/>
        <v>3.8688787081556746</v>
      </c>
      <c r="AD14" s="849">
        <f t="shared" si="3"/>
        <v>3.8688787081556746</v>
      </c>
      <c r="AE14" s="849">
        <f t="shared" si="3"/>
        <v>3.8688787081556746</v>
      </c>
      <c r="AF14" s="850">
        <f t="shared" si="3"/>
        <v>3.8688787081556746</v>
      </c>
    </row>
    <row r="15" spans="1:33" ht="9.65" customHeight="1">
      <c r="B15" s="800"/>
      <c r="C15" s="801"/>
    </row>
    <row r="16" spans="1:33" ht="15.5">
      <c r="A16" s="219"/>
      <c r="B16" s="801"/>
      <c r="C16" s="802" t="s">
        <v>565</v>
      </c>
      <c r="D16" s="816">
        <f>'Assumption Inputs'!E3</f>
        <v>4.1304545042184522</v>
      </c>
      <c r="E16" s="817">
        <f>D16</f>
        <v>4.1304545042184522</v>
      </c>
      <c r="F16" s="817">
        <f t="shared" ref="F16:AF16" si="4">E16</f>
        <v>4.1304545042184522</v>
      </c>
      <c r="G16" s="817">
        <f t="shared" si="4"/>
        <v>4.1304545042184522</v>
      </c>
      <c r="H16" s="817">
        <f t="shared" si="4"/>
        <v>4.1304545042184522</v>
      </c>
      <c r="I16" s="817">
        <f t="shared" si="4"/>
        <v>4.1304545042184522</v>
      </c>
      <c r="J16" s="817">
        <f t="shared" si="4"/>
        <v>4.1304545042184522</v>
      </c>
      <c r="K16" s="817">
        <f t="shared" si="4"/>
        <v>4.1304545042184522</v>
      </c>
      <c r="L16" s="817">
        <f t="shared" si="4"/>
        <v>4.1304545042184522</v>
      </c>
      <c r="M16" s="817">
        <f t="shared" si="4"/>
        <v>4.1304545042184522</v>
      </c>
      <c r="N16" s="817">
        <f t="shared" si="4"/>
        <v>4.1304545042184522</v>
      </c>
      <c r="O16" s="817">
        <f t="shared" si="4"/>
        <v>4.1304545042184522</v>
      </c>
      <c r="P16" s="817">
        <f t="shared" si="4"/>
        <v>4.1304545042184522</v>
      </c>
      <c r="Q16" s="817">
        <f t="shared" si="4"/>
        <v>4.1304545042184522</v>
      </c>
      <c r="R16" s="817">
        <f t="shared" si="4"/>
        <v>4.1304545042184522</v>
      </c>
      <c r="S16" s="817">
        <f t="shared" si="4"/>
        <v>4.1304545042184522</v>
      </c>
      <c r="T16" s="817">
        <f t="shared" si="4"/>
        <v>4.1304545042184522</v>
      </c>
      <c r="U16" s="817">
        <f t="shared" si="4"/>
        <v>4.1304545042184522</v>
      </c>
      <c r="V16" s="817">
        <f t="shared" si="4"/>
        <v>4.1304545042184522</v>
      </c>
      <c r="W16" s="817">
        <f t="shared" si="4"/>
        <v>4.1304545042184522</v>
      </c>
      <c r="X16" s="817">
        <f t="shared" si="4"/>
        <v>4.1304545042184522</v>
      </c>
      <c r="Y16" s="817">
        <f t="shared" si="4"/>
        <v>4.1304545042184522</v>
      </c>
      <c r="Z16" s="817">
        <f t="shared" si="4"/>
        <v>4.1304545042184522</v>
      </c>
      <c r="AA16" s="817">
        <f t="shared" si="4"/>
        <v>4.1304545042184522</v>
      </c>
      <c r="AB16" s="817">
        <f t="shared" si="4"/>
        <v>4.1304545042184522</v>
      </c>
      <c r="AC16" s="817">
        <f t="shared" si="4"/>
        <v>4.1304545042184522</v>
      </c>
      <c r="AD16" s="817">
        <f t="shared" si="4"/>
        <v>4.1304545042184522</v>
      </c>
      <c r="AE16" s="817">
        <f t="shared" si="4"/>
        <v>4.1304545042184522</v>
      </c>
      <c r="AF16" s="818">
        <f t="shared" si="4"/>
        <v>4.1304545042184522</v>
      </c>
      <c r="AG16" s="803"/>
    </row>
    <row r="17" spans="2:33">
      <c r="B17" s="801"/>
      <c r="C17" s="1" t="s">
        <v>834</v>
      </c>
      <c r="D17" s="819">
        <v>2.7388823369318698</v>
      </c>
      <c r="E17" s="820">
        <v>4.1730926245123836</v>
      </c>
      <c r="F17" s="820">
        <v>4.0970017236686926</v>
      </c>
      <c r="G17" s="820">
        <v>4.1358976685112951</v>
      </c>
      <c r="H17" s="820">
        <v>3.8688787081556746</v>
      </c>
      <c r="I17" s="821">
        <f>H17</f>
        <v>3.8688787081556746</v>
      </c>
      <c r="J17" s="821">
        <f t="shared" ref="J17:AF17" si="5">I17</f>
        <v>3.8688787081556746</v>
      </c>
      <c r="K17" s="821">
        <f t="shared" si="5"/>
        <v>3.8688787081556746</v>
      </c>
      <c r="L17" s="821">
        <f t="shared" si="5"/>
        <v>3.8688787081556746</v>
      </c>
      <c r="M17" s="821">
        <f t="shared" si="5"/>
        <v>3.8688787081556746</v>
      </c>
      <c r="N17" s="821">
        <f t="shared" si="5"/>
        <v>3.8688787081556746</v>
      </c>
      <c r="O17" s="821">
        <f t="shared" si="5"/>
        <v>3.8688787081556746</v>
      </c>
      <c r="P17" s="821">
        <f t="shared" si="5"/>
        <v>3.8688787081556746</v>
      </c>
      <c r="Q17" s="821">
        <f t="shared" si="5"/>
        <v>3.8688787081556746</v>
      </c>
      <c r="R17" s="821">
        <f t="shared" si="5"/>
        <v>3.8688787081556746</v>
      </c>
      <c r="S17" s="821">
        <f t="shared" si="5"/>
        <v>3.8688787081556746</v>
      </c>
      <c r="T17" s="821">
        <f t="shared" si="5"/>
        <v>3.8688787081556746</v>
      </c>
      <c r="U17" s="821">
        <f t="shared" si="5"/>
        <v>3.8688787081556746</v>
      </c>
      <c r="V17" s="821">
        <f t="shared" si="5"/>
        <v>3.8688787081556746</v>
      </c>
      <c r="W17" s="821">
        <f t="shared" si="5"/>
        <v>3.8688787081556746</v>
      </c>
      <c r="X17" s="821">
        <f t="shared" si="5"/>
        <v>3.8688787081556746</v>
      </c>
      <c r="Y17" s="821">
        <f t="shared" si="5"/>
        <v>3.8688787081556746</v>
      </c>
      <c r="Z17" s="821">
        <f t="shared" si="5"/>
        <v>3.8688787081556746</v>
      </c>
      <c r="AA17" s="821">
        <f t="shared" si="5"/>
        <v>3.8688787081556746</v>
      </c>
      <c r="AB17" s="821">
        <f t="shared" si="5"/>
        <v>3.8688787081556746</v>
      </c>
      <c r="AC17" s="821">
        <f t="shared" si="5"/>
        <v>3.8688787081556746</v>
      </c>
      <c r="AD17" s="821">
        <f t="shared" si="5"/>
        <v>3.8688787081556746</v>
      </c>
      <c r="AE17" s="821">
        <f t="shared" si="5"/>
        <v>3.8688787081556746</v>
      </c>
      <c r="AF17" s="822">
        <f t="shared" si="5"/>
        <v>3.8688787081556746</v>
      </c>
      <c r="AG17" s="803"/>
    </row>
    <row r="18" spans="2:33">
      <c r="B18" s="801"/>
      <c r="C18" s="802" t="str">
        <f>[9]GenAssums!$I$19&amp;": "&amp;TEXT([9]GenAssums!$K$19,"+0.0%;-0.0%")</f>
        <v>Best Case: +5.0%</v>
      </c>
      <c r="D18" s="823">
        <f>D$16*(1+'Assumption Inputs'!$J$7)</f>
        <v>4.3369772294293751</v>
      </c>
      <c r="E18" s="824">
        <f>E$16*(1+'Assumption Inputs'!$J$7)</f>
        <v>4.3369772294293751</v>
      </c>
      <c r="F18" s="824">
        <f>F$16*(1+'Assumption Inputs'!$J$7)</f>
        <v>4.3369772294293751</v>
      </c>
      <c r="G18" s="824">
        <f>G$16*(1+'Assumption Inputs'!$J$7)</f>
        <v>4.3369772294293751</v>
      </c>
      <c r="H18" s="824">
        <f>H$16*(1+'Assumption Inputs'!$J$7)</f>
        <v>4.3369772294293751</v>
      </c>
      <c r="I18" s="824">
        <f>I$16*(1+'Assumption Inputs'!$J$7)</f>
        <v>4.3369772294293751</v>
      </c>
      <c r="J18" s="824">
        <f>J$16*(1+'Assumption Inputs'!$J$7)</f>
        <v>4.3369772294293751</v>
      </c>
      <c r="K18" s="824">
        <f>K$16*(1+'Assumption Inputs'!$J$7)</f>
        <v>4.3369772294293751</v>
      </c>
      <c r="L18" s="824">
        <f>L$16*(1+'Assumption Inputs'!$J$7)</f>
        <v>4.3369772294293751</v>
      </c>
      <c r="M18" s="824">
        <f>M$16*(1+'Assumption Inputs'!$J$7)</f>
        <v>4.3369772294293751</v>
      </c>
      <c r="N18" s="824">
        <f>N$16*(1+'Assumption Inputs'!$J$7)</f>
        <v>4.3369772294293751</v>
      </c>
      <c r="O18" s="824">
        <f>O$16*(1+'Assumption Inputs'!$J$7)</f>
        <v>4.3369772294293751</v>
      </c>
      <c r="P18" s="824">
        <f>P$16*(1+'Assumption Inputs'!$J$7)</f>
        <v>4.3369772294293751</v>
      </c>
      <c r="Q18" s="824">
        <f>Q$16*(1+'Assumption Inputs'!$J$7)</f>
        <v>4.3369772294293751</v>
      </c>
      <c r="R18" s="824">
        <f>R$16*(1+'Assumption Inputs'!$J$7)</f>
        <v>4.3369772294293751</v>
      </c>
      <c r="S18" s="824">
        <f>S$16*(1+'Assumption Inputs'!$J$7)</f>
        <v>4.3369772294293751</v>
      </c>
      <c r="T18" s="824">
        <f>T$16*(1+'Assumption Inputs'!$J$7)</f>
        <v>4.3369772294293751</v>
      </c>
      <c r="U18" s="824">
        <f>U$16*(1+'Assumption Inputs'!$J$7)</f>
        <v>4.3369772294293751</v>
      </c>
      <c r="V18" s="824">
        <f>V$16*(1+'Assumption Inputs'!$J$7)</f>
        <v>4.3369772294293751</v>
      </c>
      <c r="W18" s="824">
        <f>W$16*(1+'Assumption Inputs'!$J$7)</f>
        <v>4.3369772294293751</v>
      </c>
      <c r="X18" s="824">
        <f>X$16*(1+'Assumption Inputs'!$J$7)</f>
        <v>4.3369772294293751</v>
      </c>
      <c r="Y18" s="824">
        <f>Y$16*(1+'Assumption Inputs'!$J$7)</f>
        <v>4.3369772294293751</v>
      </c>
      <c r="Z18" s="824">
        <f>Z$16*(1+'Assumption Inputs'!$J$7)</f>
        <v>4.3369772294293751</v>
      </c>
      <c r="AA18" s="824">
        <f>AA$16*(1+'Assumption Inputs'!$J$7)</f>
        <v>4.3369772294293751</v>
      </c>
      <c r="AB18" s="824">
        <f>AB$16*(1+'Assumption Inputs'!$J$7)</f>
        <v>4.3369772294293751</v>
      </c>
      <c r="AC18" s="824">
        <f>AC$16*(1+'Assumption Inputs'!$J$7)</f>
        <v>4.3369772294293751</v>
      </c>
      <c r="AD18" s="824">
        <f>AD$16*(1+'Assumption Inputs'!$J$7)</f>
        <v>4.3369772294293751</v>
      </c>
      <c r="AE18" s="824">
        <f>AE$16*(1+'Assumption Inputs'!$J$7)</f>
        <v>4.3369772294293751</v>
      </c>
      <c r="AF18" s="825">
        <f>AF$16*(1+'Assumption Inputs'!$J$7)</f>
        <v>4.3369772294293751</v>
      </c>
    </row>
    <row r="19" spans="2:33">
      <c r="C19" s="802" t="str">
        <f>[9]GenAssums!$I$20&amp;": "&amp;TEXT([9]GenAssums!$K$20,"+0.0%;-0.0%")</f>
        <v>Worst Case: -5.0%</v>
      </c>
      <c r="D19" s="826">
        <f>D$16*(1+'Assumption Inputs'!$J$8)</f>
        <v>3.9239317790075292</v>
      </c>
      <c r="E19" s="827">
        <f>E$16*(1+'Assumption Inputs'!$J$8)</f>
        <v>3.9239317790075292</v>
      </c>
      <c r="F19" s="827">
        <f>F$16*(1+'Assumption Inputs'!$J$8)</f>
        <v>3.9239317790075292</v>
      </c>
      <c r="G19" s="827">
        <f>G$16*(1+'Assumption Inputs'!$J$8)</f>
        <v>3.9239317790075292</v>
      </c>
      <c r="H19" s="827">
        <f>H$16*(1+'Assumption Inputs'!$J$8)</f>
        <v>3.9239317790075292</v>
      </c>
      <c r="I19" s="827">
        <f>I$16*(1+'Assumption Inputs'!$J$8)</f>
        <v>3.9239317790075292</v>
      </c>
      <c r="J19" s="827">
        <f>J$16*(1+'Assumption Inputs'!$J$8)</f>
        <v>3.9239317790075292</v>
      </c>
      <c r="K19" s="827">
        <f>K$16*(1+'Assumption Inputs'!$J$8)</f>
        <v>3.9239317790075292</v>
      </c>
      <c r="L19" s="827">
        <f>L$16*(1+'Assumption Inputs'!$J$8)</f>
        <v>3.9239317790075292</v>
      </c>
      <c r="M19" s="827">
        <f>M$16*(1+'Assumption Inputs'!$J$8)</f>
        <v>3.9239317790075292</v>
      </c>
      <c r="N19" s="827">
        <f>N$16*(1+'Assumption Inputs'!$J$8)</f>
        <v>3.9239317790075292</v>
      </c>
      <c r="O19" s="827">
        <f>O$16*(1+'Assumption Inputs'!$J$8)</f>
        <v>3.9239317790075292</v>
      </c>
      <c r="P19" s="827">
        <f>P$16*(1+'Assumption Inputs'!$J$8)</f>
        <v>3.9239317790075292</v>
      </c>
      <c r="Q19" s="827">
        <f>Q$16*(1+'Assumption Inputs'!$J$8)</f>
        <v>3.9239317790075292</v>
      </c>
      <c r="R19" s="827">
        <f>R$16*(1+'Assumption Inputs'!$J$8)</f>
        <v>3.9239317790075292</v>
      </c>
      <c r="S19" s="827">
        <f>S$16*(1+'Assumption Inputs'!$J$8)</f>
        <v>3.9239317790075292</v>
      </c>
      <c r="T19" s="827">
        <f>T$16*(1+'Assumption Inputs'!$J$8)</f>
        <v>3.9239317790075292</v>
      </c>
      <c r="U19" s="827">
        <f>U$16*(1+'Assumption Inputs'!$J$8)</f>
        <v>3.9239317790075292</v>
      </c>
      <c r="V19" s="827">
        <f>V$16*(1+'Assumption Inputs'!$J$8)</f>
        <v>3.9239317790075292</v>
      </c>
      <c r="W19" s="827">
        <f>W$16*(1+'Assumption Inputs'!$J$8)</f>
        <v>3.9239317790075292</v>
      </c>
      <c r="X19" s="827">
        <f>X$16*(1+'Assumption Inputs'!$J$8)</f>
        <v>3.9239317790075292</v>
      </c>
      <c r="Y19" s="827">
        <f>Y$16*(1+'Assumption Inputs'!$J$8)</f>
        <v>3.9239317790075292</v>
      </c>
      <c r="Z19" s="827">
        <f>Z$16*(1+'Assumption Inputs'!$J$8)</f>
        <v>3.9239317790075292</v>
      </c>
      <c r="AA19" s="827">
        <f>AA$16*(1+'Assumption Inputs'!$J$8)</f>
        <v>3.9239317790075292</v>
      </c>
      <c r="AB19" s="827">
        <f>AB$16*(1+'Assumption Inputs'!$J$8)</f>
        <v>3.9239317790075292</v>
      </c>
      <c r="AC19" s="827">
        <f>AC$16*(1+'Assumption Inputs'!$J$8)</f>
        <v>3.9239317790075292</v>
      </c>
      <c r="AD19" s="827">
        <f>AD$16*(1+'Assumption Inputs'!$J$8)</f>
        <v>3.9239317790075292</v>
      </c>
      <c r="AE19" s="827">
        <f>AE$16*(1+'Assumption Inputs'!$J$8)</f>
        <v>3.9239317790075292</v>
      </c>
      <c r="AF19" s="828">
        <f>AF$16*(1+'Assumption Inputs'!$J$8)</f>
        <v>3.9239317790075292</v>
      </c>
    </row>
    <row r="22" spans="2:33">
      <c r="B22" s="798" t="s">
        <v>840</v>
      </c>
      <c r="C22" s="799"/>
      <c r="D22" s="848">
        <f>CHOOSE($C$3,D24,D25,D26,D27)</f>
        <v>1.0133221446067313</v>
      </c>
      <c r="E22" s="849">
        <f t="shared" ref="E22:AF22" si="6">CHOOSE($C$3,E24,E25,E26,E27)</f>
        <v>1.2700716683298559</v>
      </c>
      <c r="F22" s="849">
        <f t="shared" si="6"/>
        <v>1.2473918171096798</v>
      </c>
      <c r="G22" s="849">
        <f t="shared" si="6"/>
        <v>1.2247119658895038</v>
      </c>
      <c r="H22" s="849">
        <f t="shared" si="6"/>
        <v>1.1567449877528804</v>
      </c>
      <c r="I22" s="849">
        <f t="shared" si="6"/>
        <v>1.1567449877528804</v>
      </c>
      <c r="J22" s="849">
        <f t="shared" si="6"/>
        <v>1.1567449877528804</v>
      </c>
      <c r="K22" s="849">
        <f t="shared" si="6"/>
        <v>1.1567449877528804</v>
      </c>
      <c r="L22" s="849">
        <f t="shared" si="6"/>
        <v>1.1567449877528804</v>
      </c>
      <c r="M22" s="849">
        <f t="shared" si="6"/>
        <v>1.1567449877528804</v>
      </c>
      <c r="N22" s="849">
        <f t="shared" si="6"/>
        <v>1.1567449877528804</v>
      </c>
      <c r="O22" s="849">
        <f t="shared" si="6"/>
        <v>1.1567449877528804</v>
      </c>
      <c r="P22" s="849">
        <f t="shared" si="6"/>
        <v>1.1567449877528804</v>
      </c>
      <c r="Q22" s="849">
        <f t="shared" si="6"/>
        <v>1.1567449877528804</v>
      </c>
      <c r="R22" s="849">
        <f t="shared" si="6"/>
        <v>1.1567449877528804</v>
      </c>
      <c r="S22" s="849">
        <f t="shared" si="6"/>
        <v>1.1567449877528804</v>
      </c>
      <c r="T22" s="849">
        <f t="shared" si="6"/>
        <v>1.1567449877528804</v>
      </c>
      <c r="U22" s="849">
        <f t="shared" si="6"/>
        <v>1.1567449877528804</v>
      </c>
      <c r="V22" s="849">
        <f t="shared" si="6"/>
        <v>1.1567449877528804</v>
      </c>
      <c r="W22" s="849">
        <f t="shared" si="6"/>
        <v>1.1567449877528804</v>
      </c>
      <c r="X22" s="849">
        <f t="shared" si="6"/>
        <v>1.1567449877528804</v>
      </c>
      <c r="Y22" s="849">
        <f t="shared" si="6"/>
        <v>1.1567449877528804</v>
      </c>
      <c r="Z22" s="849">
        <f t="shared" si="6"/>
        <v>1.1567449877528804</v>
      </c>
      <c r="AA22" s="849">
        <f t="shared" si="6"/>
        <v>1.1567449877528804</v>
      </c>
      <c r="AB22" s="849">
        <f t="shared" si="6"/>
        <v>1.1567449877528804</v>
      </c>
      <c r="AC22" s="849">
        <f t="shared" si="6"/>
        <v>1.1567449877528804</v>
      </c>
      <c r="AD22" s="849">
        <f t="shared" si="6"/>
        <v>1.1567449877528804</v>
      </c>
      <c r="AE22" s="849">
        <f t="shared" si="6"/>
        <v>1.1567449877528804</v>
      </c>
      <c r="AF22" s="850">
        <f t="shared" si="6"/>
        <v>1.1567449877528804</v>
      </c>
    </row>
    <row r="23" spans="2:33" ht="9.65" customHeight="1">
      <c r="B23" s="800"/>
      <c r="C23" s="801"/>
    </row>
    <row r="24" spans="2:33" ht="15.5">
      <c r="B24" s="801"/>
      <c r="C24" s="802" t="s">
        <v>565</v>
      </c>
      <c r="D24" s="816">
        <f>'Assumption Inputs'!E5</f>
        <v>1.3621518642837704</v>
      </c>
      <c r="E24" s="829">
        <f>D24</f>
        <v>1.3621518642837704</v>
      </c>
      <c r="F24" s="829">
        <f>E24</f>
        <v>1.3621518642837704</v>
      </c>
      <c r="G24" s="829">
        <f>F24</f>
        <v>1.3621518642837704</v>
      </c>
      <c r="H24" s="829">
        <f>G24</f>
        <v>1.3621518642837704</v>
      </c>
      <c r="I24" s="829">
        <f>H24</f>
        <v>1.3621518642837704</v>
      </c>
      <c r="J24" s="829">
        <f t="shared" ref="J24:AF24" si="7">I24</f>
        <v>1.3621518642837704</v>
      </c>
      <c r="K24" s="829">
        <f t="shared" si="7"/>
        <v>1.3621518642837704</v>
      </c>
      <c r="L24" s="829">
        <f t="shared" si="7"/>
        <v>1.3621518642837704</v>
      </c>
      <c r="M24" s="829">
        <f t="shared" si="7"/>
        <v>1.3621518642837704</v>
      </c>
      <c r="N24" s="829">
        <f t="shared" si="7"/>
        <v>1.3621518642837704</v>
      </c>
      <c r="O24" s="829">
        <f t="shared" si="7"/>
        <v>1.3621518642837704</v>
      </c>
      <c r="P24" s="829">
        <f t="shared" si="7"/>
        <v>1.3621518642837704</v>
      </c>
      <c r="Q24" s="829">
        <f t="shared" si="7"/>
        <v>1.3621518642837704</v>
      </c>
      <c r="R24" s="829">
        <f t="shared" si="7"/>
        <v>1.3621518642837704</v>
      </c>
      <c r="S24" s="829">
        <f t="shared" si="7"/>
        <v>1.3621518642837704</v>
      </c>
      <c r="T24" s="829">
        <f t="shared" si="7"/>
        <v>1.3621518642837704</v>
      </c>
      <c r="U24" s="829">
        <f t="shared" si="7"/>
        <v>1.3621518642837704</v>
      </c>
      <c r="V24" s="829">
        <f t="shared" si="7"/>
        <v>1.3621518642837704</v>
      </c>
      <c r="W24" s="829">
        <f t="shared" si="7"/>
        <v>1.3621518642837704</v>
      </c>
      <c r="X24" s="829">
        <f t="shared" si="7"/>
        <v>1.3621518642837704</v>
      </c>
      <c r="Y24" s="829">
        <f t="shared" si="7"/>
        <v>1.3621518642837704</v>
      </c>
      <c r="Z24" s="829">
        <f t="shared" si="7"/>
        <v>1.3621518642837704</v>
      </c>
      <c r="AA24" s="829">
        <f t="shared" si="7"/>
        <v>1.3621518642837704</v>
      </c>
      <c r="AB24" s="829">
        <f t="shared" si="7"/>
        <v>1.3621518642837704</v>
      </c>
      <c r="AC24" s="829">
        <f t="shared" si="7"/>
        <v>1.3621518642837704</v>
      </c>
      <c r="AD24" s="829">
        <f t="shared" si="7"/>
        <v>1.3621518642837704</v>
      </c>
      <c r="AE24" s="829">
        <f t="shared" si="7"/>
        <v>1.3621518642837704</v>
      </c>
      <c r="AF24" s="830">
        <f t="shared" si="7"/>
        <v>1.3621518642837704</v>
      </c>
    </row>
    <row r="25" spans="2:33">
      <c r="B25" s="801"/>
      <c r="C25" s="1" t="s">
        <v>834</v>
      </c>
      <c r="D25" s="819">
        <v>1.0133221446067313</v>
      </c>
      <c r="E25" s="820">
        <v>1.2700716683298559</v>
      </c>
      <c r="F25" s="820">
        <v>1.2473918171096798</v>
      </c>
      <c r="G25" s="820">
        <v>1.2247119658895038</v>
      </c>
      <c r="H25" s="820">
        <v>1.1567449877528804</v>
      </c>
      <c r="I25" s="821">
        <f>H25</f>
        <v>1.1567449877528804</v>
      </c>
      <c r="J25" s="821">
        <f t="shared" ref="J25:AF25" si="8">I25</f>
        <v>1.1567449877528804</v>
      </c>
      <c r="K25" s="821">
        <f t="shared" si="8"/>
        <v>1.1567449877528804</v>
      </c>
      <c r="L25" s="821">
        <f t="shared" si="8"/>
        <v>1.1567449877528804</v>
      </c>
      <c r="M25" s="821">
        <f t="shared" si="8"/>
        <v>1.1567449877528804</v>
      </c>
      <c r="N25" s="821">
        <f t="shared" si="8"/>
        <v>1.1567449877528804</v>
      </c>
      <c r="O25" s="821">
        <f t="shared" si="8"/>
        <v>1.1567449877528804</v>
      </c>
      <c r="P25" s="821">
        <f t="shared" si="8"/>
        <v>1.1567449877528804</v>
      </c>
      <c r="Q25" s="821">
        <f t="shared" si="8"/>
        <v>1.1567449877528804</v>
      </c>
      <c r="R25" s="821">
        <f t="shared" si="8"/>
        <v>1.1567449877528804</v>
      </c>
      <c r="S25" s="821">
        <f t="shared" si="8"/>
        <v>1.1567449877528804</v>
      </c>
      <c r="T25" s="821">
        <f t="shared" si="8"/>
        <v>1.1567449877528804</v>
      </c>
      <c r="U25" s="821">
        <f t="shared" si="8"/>
        <v>1.1567449877528804</v>
      </c>
      <c r="V25" s="821">
        <f t="shared" si="8"/>
        <v>1.1567449877528804</v>
      </c>
      <c r="W25" s="821">
        <f t="shared" si="8"/>
        <v>1.1567449877528804</v>
      </c>
      <c r="X25" s="821">
        <f t="shared" si="8"/>
        <v>1.1567449877528804</v>
      </c>
      <c r="Y25" s="821">
        <f t="shared" si="8"/>
        <v>1.1567449877528804</v>
      </c>
      <c r="Z25" s="821">
        <f t="shared" si="8"/>
        <v>1.1567449877528804</v>
      </c>
      <c r="AA25" s="821">
        <f t="shared" si="8"/>
        <v>1.1567449877528804</v>
      </c>
      <c r="AB25" s="821">
        <f t="shared" si="8"/>
        <v>1.1567449877528804</v>
      </c>
      <c r="AC25" s="821">
        <f t="shared" si="8"/>
        <v>1.1567449877528804</v>
      </c>
      <c r="AD25" s="821">
        <f t="shared" si="8"/>
        <v>1.1567449877528804</v>
      </c>
      <c r="AE25" s="821">
        <f t="shared" si="8"/>
        <v>1.1567449877528804</v>
      </c>
      <c r="AF25" s="822">
        <f t="shared" si="8"/>
        <v>1.1567449877528804</v>
      </c>
    </row>
    <row r="26" spans="2:33">
      <c r="B26" s="801"/>
      <c r="C26" s="802" t="str">
        <f>[9]GenAssums!$I$19&amp;": "&amp;TEXT([9]GenAssums!$K$19,"+0.0%;-0.0%")</f>
        <v>Best Case: +5.0%</v>
      </c>
      <c r="D26" s="823">
        <f>D$24*(1+'Assumption Inputs'!$J$7)</f>
        <v>1.430259457497959</v>
      </c>
      <c r="E26" s="824">
        <f>E$24*(1+'Assumption Inputs'!$J$7)</f>
        <v>1.430259457497959</v>
      </c>
      <c r="F26" s="824">
        <f>F$24*(1+'Assumption Inputs'!$J$7)</f>
        <v>1.430259457497959</v>
      </c>
      <c r="G26" s="824">
        <f>G$24*(1+'Assumption Inputs'!$J$7)</f>
        <v>1.430259457497959</v>
      </c>
      <c r="H26" s="824">
        <f>H$24*(1+'Assumption Inputs'!$J$7)</f>
        <v>1.430259457497959</v>
      </c>
      <c r="I26" s="824">
        <f>I$24*(1+'Assumption Inputs'!$J$7)</f>
        <v>1.430259457497959</v>
      </c>
      <c r="J26" s="824">
        <f>J$24*(1+'Assumption Inputs'!$J$7)</f>
        <v>1.430259457497959</v>
      </c>
      <c r="K26" s="824">
        <f>K$24*(1+'Assumption Inputs'!$J$7)</f>
        <v>1.430259457497959</v>
      </c>
      <c r="L26" s="824">
        <f>L$24*(1+'Assumption Inputs'!$J$7)</f>
        <v>1.430259457497959</v>
      </c>
      <c r="M26" s="824">
        <f>M$24*(1+'Assumption Inputs'!$J$7)</f>
        <v>1.430259457497959</v>
      </c>
      <c r="N26" s="824">
        <f>N$24*(1+'Assumption Inputs'!$J$7)</f>
        <v>1.430259457497959</v>
      </c>
      <c r="O26" s="824">
        <f>O$24*(1+'Assumption Inputs'!$J$7)</f>
        <v>1.430259457497959</v>
      </c>
      <c r="P26" s="824">
        <f>P$24*(1+'Assumption Inputs'!$J$7)</f>
        <v>1.430259457497959</v>
      </c>
      <c r="Q26" s="824">
        <f>Q$24*(1+'Assumption Inputs'!$J$7)</f>
        <v>1.430259457497959</v>
      </c>
      <c r="R26" s="824">
        <f>R$24*(1+'Assumption Inputs'!$J$7)</f>
        <v>1.430259457497959</v>
      </c>
      <c r="S26" s="824">
        <f>S$24*(1+'Assumption Inputs'!$J$7)</f>
        <v>1.430259457497959</v>
      </c>
      <c r="T26" s="824">
        <f>T$24*(1+'Assumption Inputs'!$J$7)</f>
        <v>1.430259457497959</v>
      </c>
      <c r="U26" s="824">
        <f>U$24*(1+'Assumption Inputs'!$J$7)</f>
        <v>1.430259457497959</v>
      </c>
      <c r="V26" s="824">
        <f>V$24*(1+'Assumption Inputs'!$J$7)</f>
        <v>1.430259457497959</v>
      </c>
      <c r="W26" s="824">
        <f>W$24*(1+'Assumption Inputs'!$J$7)</f>
        <v>1.430259457497959</v>
      </c>
      <c r="X26" s="824">
        <f>X$24*(1+'Assumption Inputs'!$J$7)</f>
        <v>1.430259457497959</v>
      </c>
      <c r="Y26" s="824">
        <f>Y$24*(1+'Assumption Inputs'!$J$7)</f>
        <v>1.430259457497959</v>
      </c>
      <c r="Z26" s="824">
        <f>Z$24*(1+'Assumption Inputs'!$J$7)</f>
        <v>1.430259457497959</v>
      </c>
      <c r="AA26" s="824">
        <f>AA$24*(1+'Assumption Inputs'!$J$7)</f>
        <v>1.430259457497959</v>
      </c>
      <c r="AB26" s="824">
        <f>AB$24*(1+'Assumption Inputs'!$J$7)</f>
        <v>1.430259457497959</v>
      </c>
      <c r="AC26" s="824">
        <f>AC$24*(1+'Assumption Inputs'!$J$7)</f>
        <v>1.430259457497959</v>
      </c>
      <c r="AD26" s="824">
        <f>AD$24*(1+'Assumption Inputs'!$J$7)</f>
        <v>1.430259457497959</v>
      </c>
      <c r="AE26" s="824">
        <f>AE$24*(1+'Assumption Inputs'!$J$7)</f>
        <v>1.430259457497959</v>
      </c>
      <c r="AF26" s="825">
        <f>AF$24*(1+'Assumption Inputs'!$J$7)</f>
        <v>1.430259457497959</v>
      </c>
    </row>
    <row r="27" spans="2:33">
      <c r="C27" s="802" t="str">
        <f>[9]GenAssums!$I$20&amp;": "&amp;TEXT([9]GenAssums!$K$20,"+0.0%;-0.0%")</f>
        <v>Worst Case: -5.0%</v>
      </c>
      <c r="D27" s="826">
        <f>D$24*(1+'Assumption Inputs'!$J$8)</f>
        <v>1.2940442710695819</v>
      </c>
      <c r="E27" s="827">
        <f>E$24*(1+'Assumption Inputs'!$J$8)</f>
        <v>1.2940442710695819</v>
      </c>
      <c r="F27" s="827">
        <f>F$24*(1+'Assumption Inputs'!$J$8)</f>
        <v>1.2940442710695819</v>
      </c>
      <c r="G27" s="827">
        <f>G$24*(1+'Assumption Inputs'!$J$8)</f>
        <v>1.2940442710695819</v>
      </c>
      <c r="H27" s="827">
        <f>H$24*(1+'Assumption Inputs'!$J$8)</f>
        <v>1.2940442710695819</v>
      </c>
      <c r="I27" s="827">
        <f>I$24*(1+'Assumption Inputs'!$J$8)</f>
        <v>1.2940442710695819</v>
      </c>
      <c r="J27" s="827">
        <f>J$24*(1+'Assumption Inputs'!$J$8)</f>
        <v>1.2940442710695819</v>
      </c>
      <c r="K27" s="827">
        <f>K$24*(1+'Assumption Inputs'!$J$8)</f>
        <v>1.2940442710695819</v>
      </c>
      <c r="L27" s="827">
        <f>L$24*(1+'Assumption Inputs'!$J$8)</f>
        <v>1.2940442710695819</v>
      </c>
      <c r="M27" s="827">
        <f>M$24*(1+'Assumption Inputs'!$J$8)</f>
        <v>1.2940442710695819</v>
      </c>
      <c r="N27" s="827">
        <f>N$24*(1+'Assumption Inputs'!$J$8)</f>
        <v>1.2940442710695819</v>
      </c>
      <c r="O27" s="827">
        <f>O$24*(1+'Assumption Inputs'!$J$8)</f>
        <v>1.2940442710695819</v>
      </c>
      <c r="P27" s="827">
        <f>P$24*(1+'Assumption Inputs'!$J$8)</f>
        <v>1.2940442710695819</v>
      </c>
      <c r="Q27" s="827">
        <f>Q$24*(1+'Assumption Inputs'!$J$8)</f>
        <v>1.2940442710695819</v>
      </c>
      <c r="R27" s="827">
        <f>R$24*(1+'Assumption Inputs'!$J$8)</f>
        <v>1.2940442710695819</v>
      </c>
      <c r="S27" s="827">
        <f>S$24*(1+'Assumption Inputs'!$J$8)</f>
        <v>1.2940442710695819</v>
      </c>
      <c r="T27" s="827">
        <f>T$24*(1+'Assumption Inputs'!$J$8)</f>
        <v>1.2940442710695819</v>
      </c>
      <c r="U27" s="827">
        <f>U$24*(1+'Assumption Inputs'!$J$8)</f>
        <v>1.2940442710695819</v>
      </c>
      <c r="V27" s="827">
        <f>V$24*(1+'Assumption Inputs'!$J$8)</f>
        <v>1.2940442710695819</v>
      </c>
      <c r="W27" s="827">
        <f>W$24*(1+'Assumption Inputs'!$J$8)</f>
        <v>1.2940442710695819</v>
      </c>
      <c r="X27" s="827">
        <f>X$24*(1+'Assumption Inputs'!$J$8)</f>
        <v>1.2940442710695819</v>
      </c>
      <c r="Y27" s="827">
        <f>Y$24*(1+'Assumption Inputs'!$J$8)</f>
        <v>1.2940442710695819</v>
      </c>
      <c r="Z27" s="827">
        <f>Z$24*(1+'Assumption Inputs'!$J$8)</f>
        <v>1.2940442710695819</v>
      </c>
      <c r="AA27" s="827">
        <f>AA$24*(1+'Assumption Inputs'!$J$8)</f>
        <v>1.2940442710695819</v>
      </c>
      <c r="AB27" s="827">
        <f>AB$24*(1+'Assumption Inputs'!$J$8)</f>
        <v>1.2940442710695819</v>
      </c>
      <c r="AC27" s="827">
        <f>AC$24*(1+'Assumption Inputs'!$J$8)</f>
        <v>1.2940442710695819</v>
      </c>
      <c r="AD27" s="827">
        <f>AD$24*(1+'Assumption Inputs'!$J$8)</f>
        <v>1.2940442710695819</v>
      </c>
      <c r="AE27" s="827">
        <f>AE$24*(1+'Assumption Inputs'!$J$8)</f>
        <v>1.2940442710695819</v>
      </c>
      <c r="AF27" s="828">
        <f>AF$24*(1+'Assumption Inputs'!$J$8)</f>
        <v>1.2940442710695819</v>
      </c>
    </row>
    <row r="30" spans="2:33">
      <c r="B30" s="798" t="s">
        <v>841</v>
      </c>
      <c r="C30" s="799"/>
      <c r="D30" s="848">
        <f>CHOOSE($C$3,D32,D33,D34,D35)</f>
        <v>0.82433548035924886</v>
      </c>
      <c r="E30" s="849">
        <f t="shared" ref="E30:AF30" si="9">CHOOSE($C$3,E32,E33,E34,E35)</f>
        <v>0.96389367685747984</v>
      </c>
      <c r="F30" s="849">
        <f t="shared" si="9"/>
        <v>0.92987390002721582</v>
      </c>
      <c r="G30" s="849">
        <f t="shared" si="9"/>
        <v>0.9645740723940851</v>
      </c>
      <c r="H30" s="849">
        <f t="shared" si="9"/>
        <v>0.97523360246756785</v>
      </c>
      <c r="I30" s="849">
        <f t="shared" si="9"/>
        <v>0.97523360246756785</v>
      </c>
      <c r="J30" s="849">
        <f t="shared" si="9"/>
        <v>0.97523360246756785</v>
      </c>
      <c r="K30" s="849">
        <f t="shared" si="9"/>
        <v>0.97523360246756785</v>
      </c>
      <c r="L30" s="849">
        <f t="shared" si="9"/>
        <v>0.97523360246756785</v>
      </c>
      <c r="M30" s="849">
        <f t="shared" si="9"/>
        <v>0.97523360246756785</v>
      </c>
      <c r="N30" s="849">
        <f t="shared" si="9"/>
        <v>0.97523360246756785</v>
      </c>
      <c r="O30" s="849">
        <f t="shared" si="9"/>
        <v>0.97523360246756785</v>
      </c>
      <c r="P30" s="849">
        <f t="shared" si="9"/>
        <v>0.97523360246756785</v>
      </c>
      <c r="Q30" s="849">
        <f t="shared" si="9"/>
        <v>0.97523360246756785</v>
      </c>
      <c r="R30" s="849">
        <f t="shared" si="9"/>
        <v>0.97523360246756785</v>
      </c>
      <c r="S30" s="849">
        <f t="shared" si="9"/>
        <v>0.97523360246756785</v>
      </c>
      <c r="T30" s="849">
        <f t="shared" si="9"/>
        <v>0.97523360246756785</v>
      </c>
      <c r="U30" s="849">
        <f t="shared" si="9"/>
        <v>0.97523360246756785</v>
      </c>
      <c r="V30" s="849">
        <f t="shared" si="9"/>
        <v>0.97523360246756785</v>
      </c>
      <c r="W30" s="849">
        <f t="shared" si="9"/>
        <v>0.97523360246756785</v>
      </c>
      <c r="X30" s="849">
        <f t="shared" si="9"/>
        <v>0.97523360246756785</v>
      </c>
      <c r="Y30" s="849">
        <f t="shared" si="9"/>
        <v>0.97523360246756785</v>
      </c>
      <c r="Z30" s="849">
        <f t="shared" si="9"/>
        <v>0.97523360246756785</v>
      </c>
      <c r="AA30" s="849">
        <f t="shared" si="9"/>
        <v>0.97523360246756785</v>
      </c>
      <c r="AB30" s="849">
        <f t="shared" si="9"/>
        <v>0.97523360246756785</v>
      </c>
      <c r="AC30" s="849">
        <f t="shared" si="9"/>
        <v>0.97523360246756785</v>
      </c>
      <c r="AD30" s="849">
        <f t="shared" si="9"/>
        <v>0.97523360246756785</v>
      </c>
      <c r="AE30" s="849">
        <f t="shared" si="9"/>
        <v>0.97523360246756785</v>
      </c>
      <c r="AF30" s="850">
        <f t="shared" si="9"/>
        <v>0.97523360246756785</v>
      </c>
    </row>
    <row r="31" spans="2:33" ht="9.65" customHeight="1">
      <c r="B31" s="800"/>
      <c r="C31" s="801"/>
    </row>
    <row r="32" spans="2:33" ht="15.5">
      <c r="B32" s="801"/>
      <c r="C32" s="802" t="s">
        <v>565</v>
      </c>
      <c r="D32" s="816">
        <f>'Assumption Inputs'!E8</f>
        <v>0.96763585230880889</v>
      </c>
      <c r="E32" s="829">
        <f>D32</f>
        <v>0.96763585230880889</v>
      </c>
      <c r="F32" s="829">
        <f>E32</f>
        <v>0.96763585230880889</v>
      </c>
      <c r="G32" s="829">
        <f>F32</f>
        <v>0.96763585230880889</v>
      </c>
      <c r="H32" s="829">
        <f>G32</f>
        <v>0.96763585230880889</v>
      </c>
      <c r="I32" s="829">
        <f>H32</f>
        <v>0.96763585230880889</v>
      </c>
      <c r="J32" s="829">
        <f t="shared" ref="J32:AF32" si="10">I32</f>
        <v>0.96763585230880889</v>
      </c>
      <c r="K32" s="829">
        <f t="shared" si="10"/>
        <v>0.96763585230880889</v>
      </c>
      <c r="L32" s="829">
        <f t="shared" si="10"/>
        <v>0.96763585230880889</v>
      </c>
      <c r="M32" s="829">
        <f t="shared" si="10"/>
        <v>0.96763585230880889</v>
      </c>
      <c r="N32" s="829">
        <f t="shared" si="10"/>
        <v>0.96763585230880889</v>
      </c>
      <c r="O32" s="829">
        <f t="shared" si="10"/>
        <v>0.96763585230880889</v>
      </c>
      <c r="P32" s="829">
        <f t="shared" si="10"/>
        <v>0.96763585230880889</v>
      </c>
      <c r="Q32" s="829">
        <f t="shared" si="10"/>
        <v>0.96763585230880889</v>
      </c>
      <c r="R32" s="829">
        <f t="shared" si="10"/>
        <v>0.96763585230880889</v>
      </c>
      <c r="S32" s="829">
        <f t="shared" si="10"/>
        <v>0.96763585230880889</v>
      </c>
      <c r="T32" s="829">
        <f t="shared" si="10"/>
        <v>0.96763585230880889</v>
      </c>
      <c r="U32" s="829">
        <f t="shared" si="10"/>
        <v>0.96763585230880889</v>
      </c>
      <c r="V32" s="829">
        <f t="shared" si="10"/>
        <v>0.96763585230880889</v>
      </c>
      <c r="W32" s="829">
        <f t="shared" si="10"/>
        <v>0.96763585230880889</v>
      </c>
      <c r="X32" s="829">
        <f t="shared" si="10"/>
        <v>0.96763585230880889</v>
      </c>
      <c r="Y32" s="829">
        <f t="shared" si="10"/>
        <v>0.96763585230880889</v>
      </c>
      <c r="Z32" s="829">
        <f t="shared" si="10"/>
        <v>0.96763585230880889</v>
      </c>
      <c r="AA32" s="829">
        <f t="shared" si="10"/>
        <v>0.96763585230880889</v>
      </c>
      <c r="AB32" s="829">
        <f t="shared" si="10"/>
        <v>0.96763585230880889</v>
      </c>
      <c r="AC32" s="829">
        <f t="shared" si="10"/>
        <v>0.96763585230880889</v>
      </c>
      <c r="AD32" s="829">
        <f t="shared" si="10"/>
        <v>0.96763585230880889</v>
      </c>
      <c r="AE32" s="829">
        <f t="shared" si="10"/>
        <v>0.96763585230880889</v>
      </c>
      <c r="AF32" s="830">
        <f t="shared" si="10"/>
        <v>0.96763585230880889</v>
      </c>
    </row>
    <row r="33" spans="2:32">
      <c r="B33" s="801"/>
      <c r="C33" s="1" t="s">
        <v>834</v>
      </c>
      <c r="D33" s="819">
        <v>0.82433548035924886</v>
      </c>
      <c r="E33" s="820">
        <v>0.96389367685747984</v>
      </c>
      <c r="F33" s="820">
        <v>0.92987390002721582</v>
      </c>
      <c r="G33" s="820">
        <v>0.9645740723940851</v>
      </c>
      <c r="H33" s="820">
        <v>0.97523360246756785</v>
      </c>
      <c r="I33" s="821">
        <f>H33</f>
        <v>0.97523360246756785</v>
      </c>
      <c r="J33" s="821">
        <f t="shared" ref="J33:AF33" si="11">I33</f>
        <v>0.97523360246756785</v>
      </c>
      <c r="K33" s="821">
        <f t="shared" si="11"/>
        <v>0.97523360246756785</v>
      </c>
      <c r="L33" s="821">
        <f t="shared" si="11"/>
        <v>0.97523360246756785</v>
      </c>
      <c r="M33" s="821">
        <f t="shared" si="11"/>
        <v>0.97523360246756785</v>
      </c>
      <c r="N33" s="821">
        <f t="shared" si="11"/>
        <v>0.97523360246756785</v>
      </c>
      <c r="O33" s="821">
        <f t="shared" si="11"/>
        <v>0.97523360246756785</v>
      </c>
      <c r="P33" s="821">
        <f t="shared" si="11"/>
        <v>0.97523360246756785</v>
      </c>
      <c r="Q33" s="821">
        <f t="shared" si="11"/>
        <v>0.97523360246756785</v>
      </c>
      <c r="R33" s="821">
        <f t="shared" si="11"/>
        <v>0.97523360246756785</v>
      </c>
      <c r="S33" s="821">
        <f t="shared" si="11"/>
        <v>0.97523360246756785</v>
      </c>
      <c r="T33" s="821">
        <f t="shared" si="11"/>
        <v>0.97523360246756785</v>
      </c>
      <c r="U33" s="821">
        <f t="shared" si="11"/>
        <v>0.97523360246756785</v>
      </c>
      <c r="V33" s="821">
        <f t="shared" si="11"/>
        <v>0.97523360246756785</v>
      </c>
      <c r="W33" s="821">
        <f t="shared" si="11"/>
        <v>0.97523360246756785</v>
      </c>
      <c r="X33" s="821">
        <f t="shared" si="11"/>
        <v>0.97523360246756785</v>
      </c>
      <c r="Y33" s="821">
        <f t="shared" si="11"/>
        <v>0.97523360246756785</v>
      </c>
      <c r="Z33" s="821">
        <f t="shared" si="11"/>
        <v>0.97523360246756785</v>
      </c>
      <c r="AA33" s="821">
        <f t="shared" si="11"/>
        <v>0.97523360246756785</v>
      </c>
      <c r="AB33" s="821">
        <f t="shared" si="11"/>
        <v>0.97523360246756785</v>
      </c>
      <c r="AC33" s="821">
        <f t="shared" si="11"/>
        <v>0.97523360246756785</v>
      </c>
      <c r="AD33" s="821">
        <f t="shared" si="11"/>
        <v>0.97523360246756785</v>
      </c>
      <c r="AE33" s="821">
        <f t="shared" si="11"/>
        <v>0.97523360246756785</v>
      </c>
      <c r="AF33" s="822">
        <f t="shared" si="11"/>
        <v>0.97523360246756785</v>
      </c>
    </row>
    <row r="34" spans="2:32">
      <c r="B34" s="801"/>
      <c r="C34" s="802" t="str">
        <f>[9]GenAssums!$I$19&amp;": "&amp;TEXT([9]GenAssums!$K$19,"+0.0%;-0.0%")</f>
        <v>Best Case: +5.0%</v>
      </c>
      <c r="D34" s="823">
        <f>D$32*(1+'Assumption Inputs'!$J$7)</f>
        <v>1.0160176449242493</v>
      </c>
      <c r="E34" s="824">
        <f>E$32*(1+'Assumption Inputs'!$J$7)</f>
        <v>1.0160176449242493</v>
      </c>
      <c r="F34" s="824">
        <f>F$32*(1+'Assumption Inputs'!$J$7)</f>
        <v>1.0160176449242493</v>
      </c>
      <c r="G34" s="824">
        <f>G$32*(1+'Assumption Inputs'!$J$7)</f>
        <v>1.0160176449242493</v>
      </c>
      <c r="H34" s="824">
        <f>H$32*(1+'Assumption Inputs'!$J$7)</f>
        <v>1.0160176449242493</v>
      </c>
      <c r="I34" s="824">
        <f>I$32*(1+'Assumption Inputs'!$J$7)</f>
        <v>1.0160176449242493</v>
      </c>
      <c r="J34" s="824">
        <f>J$32*(1+'Assumption Inputs'!$J$7)</f>
        <v>1.0160176449242493</v>
      </c>
      <c r="K34" s="824">
        <f>K$32*(1+'Assumption Inputs'!$J$7)</f>
        <v>1.0160176449242493</v>
      </c>
      <c r="L34" s="824">
        <f>L$32*(1+'Assumption Inputs'!$J$7)</f>
        <v>1.0160176449242493</v>
      </c>
      <c r="M34" s="824">
        <f>M$32*(1+'Assumption Inputs'!$J$7)</f>
        <v>1.0160176449242493</v>
      </c>
      <c r="N34" s="824">
        <f>N$32*(1+'Assumption Inputs'!$J$7)</f>
        <v>1.0160176449242493</v>
      </c>
      <c r="O34" s="824">
        <f>O$32*(1+'Assumption Inputs'!$J$7)</f>
        <v>1.0160176449242493</v>
      </c>
      <c r="P34" s="824">
        <f>P$32*(1+'Assumption Inputs'!$J$7)</f>
        <v>1.0160176449242493</v>
      </c>
      <c r="Q34" s="824">
        <f>Q$32*(1+'Assumption Inputs'!$J$7)</f>
        <v>1.0160176449242493</v>
      </c>
      <c r="R34" s="824">
        <f>R$32*(1+'Assumption Inputs'!$J$7)</f>
        <v>1.0160176449242493</v>
      </c>
      <c r="S34" s="824">
        <f>S$32*(1+'Assumption Inputs'!$J$7)</f>
        <v>1.0160176449242493</v>
      </c>
      <c r="T34" s="824">
        <f>T$32*(1+'Assumption Inputs'!$J$7)</f>
        <v>1.0160176449242493</v>
      </c>
      <c r="U34" s="824">
        <f>U$32*(1+'Assumption Inputs'!$J$7)</f>
        <v>1.0160176449242493</v>
      </c>
      <c r="V34" s="824">
        <f>V$32*(1+'Assumption Inputs'!$J$7)</f>
        <v>1.0160176449242493</v>
      </c>
      <c r="W34" s="824">
        <f>W$32*(1+'Assumption Inputs'!$J$7)</f>
        <v>1.0160176449242493</v>
      </c>
      <c r="X34" s="824">
        <f>X$32*(1+'Assumption Inputs'!$J$7)</f>
        <v>1.0160176449242493</v>
      </c>
      <c r="Y34" s="824">
        <f>Y$32*(1+'Assumption Inputs'!$J$7)</f>
        <v>1.0160176449242493</v>
      </c>
      <c r="Z34" s="824">
        <f>Z$32*(1+'Assumption Inputs'!$J$7)</f>
        <v>1.0160176449242493</v>
      </c>
      <c r="AA34" s="824">
        <f>AA$32*(1+'Assumption Inputs'!$J$7)</f>
        <v>1.0160176449242493</v>
      </c>
      <c r="AB34" s="824">
        <f>AB$32*(1+'Assumption Inputs'!$J$7)</f>
        <v>1.0160176449242493</v>
      </c>
      <c r="AC34" s="824">
        <f>AC$32*(1+'Assumption Inputs'!$J$7)</f>
        <v>1.0160176449242493</v>
      </c>
      <c r="AD34" s="824">
        <f>AD$32*(1+'Assumption Inputs'!$J$7)</f>
        <v>1.0160176449242493</v>
      </c>
      <c r="AE34" s="824">
        <f>AE$32*(1+'Assumption Inputs'!$J$7)</f>
        <v>1.0160176449242493</v>
      </c>
      <c r="AF34" s="825">
        <f>AF$32*(1+'Assumption Inputs'!$J$7)</f>
        <v>1.0160176449242493</v>
      </c>
    </row>
    <row r="35" spans="2:32">
      <c r="C35" s="802" t="str">
        <f>[9]GenAssums!$I$20&amp;": "&amp;TEXT([9]GenAssums!$K$20,"+0.0%;-0.0%")</f>
        <v>Worst Case: -5.0%</v>
      </c>
      <c r="D35" s="826">
        <f>D$32*(1+'Assumption Inputs'!$J$8)</f>
        <v>0.91925405969336837</v>
      </c>
      <c r="E35" s="827">
        <f>E$32*(1+'Assumption Inputs'!$J$8)</f>
        <v>0.91925405969336837</v>
      </c>
      <c r="F35" s="827">
        <f>F$32*(1+'Assumption Inputs'!$J$8)</f>
        <v>0.91925405969336837</v>
      </c>
      <c r="G35" s="827">
        <f>G$32*(1+'Assumption Inputs'!$J$8)</f>
        <v>0.91925405969336837</v>
      </c>
      <c r="H35" s="827">
        <f>H$32*(1+'Assumption Inputs'!$J$8)</f>
        <v>0.91925405969336837</v>
      </c>
      <c r="I35" s="827">
        <f>I$32*(1+'Assumption Inputs'!$J$8)</f>
        <v>0.91925405969336837</v>
      </c>
      <c r="J35" s="827">
        <f>J$32*(1+'Assumption Inputs'!$J$8)</f>
        <v>0.91925405969336837</v>
      </c>
      <c r="K35" s="827">
        <f>K$32*(1+'Assumption Inputs'!$J$8)</f>
        <v>0.91925405969336837</v>
      </c>
      <c r="L35" s="827">
        <f>L$32*(1+'Assumption Inputs'!$J$8)</f>
        <v>0.91925405969336837</v>
      </c>
      <c r="M35" s="827">
        <f>M$32*(1+'Assumption Inputs'!$J$8)</f>
        <v>0.91925405969336837</v>
      </c>
      <c r="N35" s="827">
        <f>N$32*(1+'Assumption Inputs'!$J$8)</f>
        <v>0.91925405969336837</v>
      </c>
      <c r="O35" s="827">
        <f>O$32*(1+'Assumption Inputs'!$J$8)</f>
        <v>0.91925405969336837</v>
      </c>
      <c r="P35" s="827">
        <f>P$32*(1+'Assumption Inputs'!$J$8)</f>
        <v>0.91925405969336837</v>
      </c>
      <c r="Q35" s="827">
        <f>Q$32*(1+'Assumption Inputs'!$J$8)</f>
        <v>0.91925405969336837</v>
      </c>
      <c r="R35" s="827">
        <f>R$32*(1+'Assumption Inputs'!$J$8)</f>
        <v>0.91925405969336837</v>
      </c>
      <c r="S35" s="827">
        <f>S$32*(1+'Assumption Inputs'!$J$8)</f>
        <v>0.91925405969336837</v>
      </c>
      <c r="T35" s="827">
        <f>T$32*(1+'Assumption Inputs'!$J$8)</f>
        <v>0.91925405969336837</v>
      </c>
      <c r="U35" s="827">
        <f>U$32*(1+'Assumption Inputs'!$J$8)</f>
        <v>0.91925405969336837</v>
      </c>
      <c r="V35" s="827">
        <f>V$32*(1+'Assumption Inputs'!$J$8)</f>
        <v>0.91925405969336837</v>
      </c>
      <c r="W35" s="827">
        <f>W$32*(1+'Assumption Inputs'!$J$8)</f>
        <v>0.91925405969336837</v>
      </c>
      <c r="X35" s="827">
        <f>X$32*(1+'Assumption Inputs'!$J$8)</f>
        <v>0.91925405969336837</v>
      </c>
      <c r="Y35" s="827">
        <f>Y$32*(1+'Assumption Inputs'!$J$8)</f>
        <v>0.91925405969336837</v>
      </c>
      <c r="Z35" s="827">
        <f>Z$32*(1+'Assumption Inputs'!$J$8)</f>
        <v>0.91925405969336837</v>
      </c>
      <c r="AA35" s="827">
        <f>AA$32*(1+'Assumption Inputs'!$J$8)</f>
        <v>0.91925405969336837</v>
      </c>
      <c r="AB35" s="827">
        <f>AB$32*(1+'Assumption Inputs'!$J$8)</f>
        <v>0.91925405969336837</v>
      </c>
      <c r="AC35" s="827">
        <f>AC$32*(1+'Assumption Inputs'!$J$8)</f>
        <v>0.91925405969336837</v>
      </c>
      <c r="AD35" s="827">
        <f>AD$32*(1+'Assumption Inputs'!$J$8)</f>
        <v>0.91925405969336837</v>
      </c>
      <c r="AE35" s="827">
        <f>AE$32*(1+'Assumption Inputs'!$J$8)</f>
        <v>0.91925405969336837</v>
      </c>
      <c r="AF35" s="828">
        <f>AF$32*(1+'Assumption Inputs'!$J$8)</f>
        <v>0.91925405969336837</v>
      </c>
    </row>
    <row r="38" spans="2:32">
      <c r="B38" s="798" t="s">
        <v>842</v>
      </c>
      <c r="C38" s="799"/>
      <c r="D38" s="848">
        <f>CHOOSE($C$3,D40,D41,D42,D43)</f>
        <v>39</v>
      </c>
      <c r="E38" s="849">
        <f t="shared" ref="E38:AF38" si="12">CHOOSE($C$3,E40,E41,E42,E43)</f>
        <v>65.7</v>
      </c>
      <c r="F38" s="849">
        <f t="shared" si="12"/>
        <v>63.5</v>
      </c>
      <c r="G38" s="849">
        <f t="shared" si="12"/>
        <v>65.5</v>
      </c>
      <c r="H38" s="849">
        <f t="shared" si="12"/>
        <v>68.7</v>
      </c>
      <c r="I38" s="849">
        <f t="shared" si="12"/>
        <v>68.7</v>
      </c>
      <c r="J38" s="849">
        <f t="shared" si="12"/>
        <v>68.7</v>
      </c>
      <c r="K38" s="849">
        <f t="shared" si="12"/>
        <v>68.7</v>
      </c>
      <c r="L38" s="849">
        <f t="shared" si="12"/>
        <v>68.7</v>
      </c>
      <c r="M38" s="849">
        <f t="shared" si="12"/>
        <v>68.7</v>
      </c>
      <c r="N38" s="849">
        <f t="shared" si="12"/>
        <v>68.7</v>
      </c>
      <c r="O38" s="849">
        <f t="shared" si="12"/>
        <v>68.7</v>
      </c>
      <c r="P38" s="849">
        <f t="shared" si="12"/>
        <v>68.7</v>
      </c>
      <c r="Q38" s="849">
        <f t="shared" si="12"/>
        <v>68.7</v>
      </c>
      <c r="R38" s="849">
        <f t="shared" si="12"/>
        <v>68.7</v>
      </c>
      <c r="S38" s="849">
        <f t="shared" si="12"/>
        <v>68.7</v>
      </c>
      <c r="T38" s="849">
        <f t="shared" si="12"/>
        <v>68.7</v>
      </c>
      <c r="U38" s="849">
        <f t="shared" si="12"/>
        <v>68.7</v>
      </c>
      <c r="V38" s="849">
        <f t="shared" si="12"/>
        <v>68.7</v>
      </c>
      <c r="W38" s="849">
        <f t="shared" si="12"/>
        <v>68.7</v>
      </c>
      <c r="X38" s="849">
        <f t="shared" si="12"/>
        <v>68.7</v>
      </c>
      <c r="Y38" s="849">
        <f t="shared" si="12"/>
        <v>68.7</v>
      </c>
      <c r="Z38" s="849">
        <f t="shared" si="12"/>
        <v>68.7</v>
      </c>
      <c r="AA38" s="849">
        <f t="shared" si="12"/>
        <v>68.7</v>
      </c>
      <c r="AB38" s="849">
        <f t="shared" si="12"/>
        <v>68.7</v>
      </c>
      <c r="AC38" s="849">
        <f t="shared" si="12"/>
        <v>68.7</v>
      </c>
      <c r="AD38" s="849">
        <f t="shared" si="12"/>
        <v>68.7</v>
      </c>
      <c r="AE38" s="849">
        <f t="shared" si="12"/>
        <v>68.7</v>
      </c>
      <c r="AF38" s="850">
        <f t="shared" si="12"/>
        <v>68.7</v>
      </c>
    </row>
    <row r="39" spans="2:32" ht="9.65" customHeight="1">
      <c r="B39" s="800"/>
      <c r="C39" s="801"/>
    </row>
    <row r="40" spans="2:32">
      <c r="B40" s="801"/>
      <c r="C40" s="802" t="s">
        <v>565</v>
      </c>
      <c r="D40" s="831">
        <f>'Assumption Inputs'!E11</f>
        <v>70.45</v>
      </c>
      <c r="E40" s="817">
        <f>D40</f>
        <v>70.45</v>
      </c>
      <c r="F40" s="817">
        <f>E40</f>
        <v>70.45</v>
      </c>
      <c r="G40" s="817">
        <f>F40</f>
        <v>70.45</v>
      </c>
      <c r="H40" s="817">
        <f>G40</f>
        <v>70.45</v>
      </c>
      <c r="I40" s="817">
        <f>H40</f>
        <v>70.45</v>
      </c>
      <c r="J40" s="817">
        <f t="shared" ref="J40:AF40" si="13">I40</f>
        <v>70.45</v>
      </c>
      <c r="K40" s="817">
        <f t="shared" si="13"/>
        <v>70.45</v>
      </c>
      <c r="L40" s="817">
        <f t="shared" si="13"/>
        <v>70.45</v>
      </c>
      <c r="M40" s="817">
        <f t="shared" si="13"/>
        <v>70.45</v>
      </c>
      <c r="N40" s="817">
        <f t="shared" si="13"/>
        <v>70.45</v>
      </c>
      <c r="O40" s="817">
        <f t="shared" si="13"/>
        <v>70.45</v>
      </c>
      <c r="P40" s="817">
        <f t="shared" si="13"/>
        <v>70.45</v>
      </c>
      <c r="Q40" s="817">
        <f t="shared" si="13"/>
        <v>70.45</v>
      </c>
      <c r="R40" s="817">
        <f t="shared" si="13"/>
        <v>70.45</v>
      </c>
      <c r="S40" s="817">
        <f t="shared" si="13"/>
        <v>70.45</v>
      </c>
      <c r="T40" s="817">
        <f t="shared" si="13"/>
        <v>70.45</v>
      </c>
      <c r="U40" s="817">
        <f t="shared" si="13"/>
        <v>70.45</v>
      </c>
      <c r="V40" s="817">
        <f t="shared" si="13"/>
        <v>70.45</v>
      </c>
      <c r="W40" s="817">
        <f t="shared" si="13"/>
        <v>70.45</v>
      </c>
      <c r="X40" s="817">
        <f t="shared" si="13"/>
        <v>70.45</v>
      </c>
      <c r="Y40" s="817">
        <f t="shared" si="13"/>
        <v>70.45</v>
      </c>
      <c r="Z40" s="817">
        <f t="shared" si="13"/>
        <v>70.45</v>
      </c>
      <c r="AA40" s="817">
        <f t="shared" si="13"/>
        <v>70.45</v>
      </c>
      <c r="AB40" s="817">
        <f t="shared" si="13"/>
        <v>70.45</v>
      </c>
      <c r="AC40" s="817">
        <f t="shared" si="13"/>
        <v>70.45</v>
      </c>
      <c r="AD40" s="817">
        <f t="shared" si="13"/>
        <v>70.45</v>
      </c>
      <c r="AE40" s="817">
        <f t="shared" si="13"/>
        <v>70.45</v>
      </c>
      <c r="AF40" s="818">
        <f t="shared" si="13"/>
        <v>70.45</v>
      </c>
    </row>
    <row r="41" spans="2:32">
      <c r="B41" s="801"/>
      <c r="C41" s="1" t="s">
        <v>834</v>
      </c>
      <c r="D41" s="819">
        <v>39</v>
      </c>
      <c r="E41" s="820">
        <v>65.7</v>
      </c>
      <c r="F41" s="820">
        <v>63.5</v>
      </c>
      <c r="G41" s="820">
        <v>65.5</v>
      </c>
      <c r="H41" s="820">
        <v>68.7</v>
      </c>
      <c r="I41" s="821">
        <f>H41</f>
        <v>68.7</v>
      </c>
      <c r="J41" s="821">
        <f t="shared" ref="J41:AF41" si="14">I41</f>
        <v>68.7</v>
      </c>
      <c r="K41" s="821">
        <f t="shared" si="14"/>
        <v>68.7</v>
      </c>
      <c r="L41" s="821">
        <f t="shared" si="14"/>
        <v>68.7</v>
      </c>
      <c r="M41" s="821">
        <f t="shared" si="14"/>
        <v>68.7</v>
      </c>
      <c r="N41" s="821">
        <f t="shared" si="14"/>
        <v>68.7</v>
      </c>
      <c r="O41" s="821">
        <f t="shared" si="14"/>
        <v>68.7</v>
      </c>
      <c r="P41" s="821">
        <f t="shared" si="14"/>
        <v>68.7</v>
      </c>
      <c r="Q41" s="821">
        <f t="shared" si="14"/>
        <v>68.7</v>
      </c>
      <c r="R41" s="821">
        <f t="shared" si="14"/>
        <v>68.7</v>
      </c>
      <c r="S41" s="821">
        <f t="shared" si="14"/>
        <v>68.7</v>
      </c>
      <c r="T41" s="821">
        <f t="shared" si="14"/>
        <v>68.7</v>
      </c>
      <c r="U41" s="821">
        <f t="shared" si="14"/>
        <v>68.7</v>
      </c>
      <c r="V41" s="821">
        <f t="shared" si="14"/>
        <v>68.7</v>
      </c>
      <c r="W41" s="821">
        <f t="shared" si="14"/>
        <v>68.7</v>
      </c>
      <c r="X41" s="821">
        <f t="shared" si="14"/>
        <v>68.7</v>
      </c>
      <c r="Y41" s="821">
        <f t="shared" si="14"/>
        <v>68.7</v>
      </c>
      <c r="Z41" s="821">
        <f t="shared" si="14"/>
        <v>68.7</v>
      </c>
      <c r="AA41" s="821">
        <f t="shared" si="14"/>
        <v>68.7</v>
      </c>
      <c r="AB41" s="821">
        <f t="shared" si="14"/>
        <v>68.7</v>
      </c>
      <c r="AC41" s="821">
        <f t="shared" si="14"/>
        <v>68.7</v>
      </c>
      <c r="AD41" s="821">
        <f t="shared" si="14"/>
        <v>68.7</v>
      </c>
      <c r="AE41" s="821">
        <f t="shared" si="14"/>
        <v>68.7</v>
      </c>
      <c r="AF41" s="822">
        <f t="shared" si="14"/>
        <v>68.7</v>
      </c>
    </row>
    <row r="42" spans="2:32">
      <c r="B42" s="801"/>
      <c r="C42" s="802" t="str">
        <f>[9]GenAssums!$I$19&amp;": "&amp;TEXT([9]GenAssums!$K$19,"+0.0%;-0.0%")</f>
        <v>Best Case: +5.0%</v>
      </c>
      <c r="D42" s="819">
        <f>D$40*(1+'Assumption Inputs'!$J$7)</f>
        <v>73.972500000000011</v>
      </c>
      <c r="E42" s="820">
        <f>E$40*(1+'Assumption Inputs'!$J$7)</f>
        <v>73.972500000000011</v>
      </c>
      <c r="F42" s="820">
        <f>F$40*(1+'Assumption Inputs'!$J$7)</f>
        <v>73.972500000000011</v>
      </c>
      <c r="G42" s="820">
        <f>G$40*(1+'Assumption Inputs'!$J$7)</f>
        <v>73.972500000000011</v>
      </c>
      <c r="H42" s="820">
        <f>H$40*(1+'Assumption Inputs'!$J$7)</f>
        <v>73.972500000000011</v>
      </c>
      <c r="I42" s="820">
        <f>I$40*(1+'Assumption Inputs'!$J$7)</f>
        <v>73.972500000000011</v>
      </c>
      <c r="J42" s="820">
        <f>J$40*(1+'Assumption Inputs'!$J$7)</f>
        <v>73.972500000000011</v>
      </c>
      <c r="K42" s="820">
        <f>K$40*(1+'Assumption Inputs'!$J$7)</f>
        <v>73.972500000000011</v>
      </c>
      <c r="L42" s="820">
        <f>L$40*(1+'Assumption Inputs'!$J$7)</f>
        <v>73.972500000000011</v>
      </c>
      <c r="M42" s="820">
        <f>M$40*(1+'Assumption Inputs'!$J$7)</f>
        <v>73.972500000000011</v>
      </c>
      <c r="N42" s="820">
        <f>N$40*(1+'Assumption Inputs'!$J$7)</f>
        <v>73.972500000000011</v>
      </c>
      <c r="O42" s="820">
        <f>O$40*(1+'Assumption Inputs'!$J$7)</f>
        <v>73.972500000000011</v>
      </c>
      <c r="P42" s="820">
        <f>P$40*(1+'Assumption Inputs'!$J$7)</f>
        <v>73.972500000000011</v>
      </c>
      <c r="Q42" s="820">
        <f>Q$40*(1+'Assumption Inputs'!$J$7)</f>
        <v>73.972500000000011</v>
      </c>
      <c r="R42" s="820">
        <f>R$40*(1+'Assumption Inputs'!$J$7)</f>
        <v>73.972500000000011</v>
      </c>
      <c r="S42" s="820">
        <f>S$40*(1+'Assumption Inputs'!$J$7)</f>
        <v>73.972500000000011</v>
      </c>
      <c r="T42" s="820">
        <f>T$40*(1+'Assumption Inputs'!$J$7)</f>
        <v>73.972500000000011</v>
      </c>
      <c r="U42" s="820">
        <f>U$40*(1+'Assumption Inputs'!$J$7)</f>
        <v>73.972500000000011</v>
      </c>
      <c r="V42" s="820">
        <f>V$40*(1+'Assumption Inputs'!$J$7)</f>
        <v>73.972500000000011</v>
      </c>
      <c r="W42" s="820">
        <f>W$40*(1+'Assumption Inputs'!$J$7)</f>
        <v>73.972500000000011</v>
      </c>
      <c r="X42" s="820">
        <f>X$40*(1+'Assumption Inputs'!$J$7)</f>
        <v>73.972500000000011</v>
      </c>
      <c r="Y42" s="820">
        <f>Y$40*(1+'Assumption Inputs'!$J$7)</f>
        <v>73.972500000000011</v>
      </c>
      <c r="Z42" s="820">
        <f>Z$40*(1+'Assumption Inputs'!$J$7)</f>
        <v>73.972500000000011</v>
      </c>
      <c r="AA42" s="820">
        <f>AA$40*(1+'Assumption Inputs'!$J$7)</f>
        <v>73.972500000000011</v>
      </c>
      <c r="AB42" s="820">
        <f>AB$40*(1+'Assumption Inputs'!$J$7)</f>
        <v>73.972500000000011</v>
      </c>
      <c r="AC42" s="820">
        <f>AC$40*(1+'Assumption Inputs'!$J$7)</f>
        <v>73.972500000000011</v>
      </c>
      <c r="AD42" s="820">
        <f>AD$40*(1+'Assumption Inputs'!$J$7)</f>
        <v>73.972500000000011</v>
      </c>
      <c r="AE42" s="820">
        <f>AE$40*(1+'Assumption Inputs'!$J$7)</f>
        <v>73.972500000000011</v>
      </c>
      <c r="AF42" s="832">
        <f>AF$40*(1+'Assumption Inputs'!$J$7)</f>
        <v>73.972500000000011</v>
      </c>
    </row>
    <row r="43" spans="2:32">
      <c r="C43" s="802" t="str">
        <f>[9]GenAssums!$I$20&amp;": "&amp;TEXT([9]GenAssums!$K$20,"+0.0%;-0.0%")</f>
        <v>Worst Case: -5.0%</v>
      </c>
      <c r="D43" s="833">
        <f>D$40*(1+'Assumption Inputs'!$J$8)</f>
        <v>66.927499999999995</v>
      </c>
      <c r="E43" s="643">
        <f>E$40*(1+'Assumption Inputs'!$J$8)</f>
        <v>66.927499999999995</v>
      </c>
      <c r="F43" s="643">
        <f>F$40*(1+'Assumption Inputs'!$J$8)</f>
        <v>66.927499999999995</v>
      </c>
      <c r="G43" s="643">
        <f>G$40*(1+'Assumption Inputs'!$J$8)</f>
        <v>66.927499999999995</v>
      </c>
      <c r="H43" s="643">
        <f>H$40*(1+'Assumption Inputs'!$J$8)</f>
        <v>66.927499999999995</v>
      </c>
      <c r="I43" s="643">
        <f>I$40*(1+'Assumption Inputs'!$J$8)</f>
        <v>66.927499999999995</v>
      </c>
      <c r="J43" s="643">
        <f>J$40*(1+'Assumption Inputs'!$J$8)</f>
        <v>66.927499999999995</v>
      </c>
      <c r="K43" s="643">
        <f>K$40*(1+'Assumption Inputs'!$J$8)</f>
        <v>66.927499999999995</v>
      </c>
      <c r="L43" s="643">
        <f>L$40*(1+'Assumption Inputs'!$J$8)</f>
        <v>66.927499999999995</v>
      </c>
      <c r="M43" s="643">
        <f>M$40*(1+'Assumption Inputs'!$J$8)</f>
        <v>66.927499999999995</v>
      </c>
      <c r="N43" s="643">
        <f>N$40*(1+'Assumption Inputs'!$J$8)</f>
        <v>66.927499999999995</v>
      </c>
      <c r="O43" s="643">
        <f>O$40*(1+'Assumption Inputs'!$J$8)</f>
        <v>66.927499999999995</v>
      </c>
      <c r="P43" s="643">
        <f>P$40*(1+'Assumption Inputs'!$J$8)</f>
        <v>66.927499999999995</v>
      </c>
      <c r="Q43" s="643">
        <f>Q$40*(1+'Assumption Inputs'!$J$8)</f>
        <v>66.927499999999995</v>
      </c>
      <c r="R43" s="643">
        <f>R$40*(1+'Assumption Inputs'!$J$8)</f>
        <v>66.927499999999995</v>
      </c>
      <c r="S43" s="643">
        <f>S$40*(1+'Assumption Inputs'!$J$8)</f>
        <v>66.927499999999995</v>
      </c>
      <c r="T43" s="643">
        <f>T$40*(1+'Assumption Inputs'!$J$8)</f>
        <v>66.927499999999995</v>
      </c>
      <c r="U43" s="643">
        <f>U$40*(1+'Assumption Inputs'!$J$8)</f>
        <v>66.927499999999995</v>
      </c>
      <c r="V43" s="643">
        <f>V$40*(1+'Assumption Inputs'!$J$8)</f>
        <v>66.927499999999995</v>
      </c>
      <c r="W43" s="643">
        <f>W$40*(1+'Assumption Inputs'!$J$8)</f>
        <v>66.927499999999995</v>
      </c>
      <c r="X43" s="643">
        <f>X$40*(1+'Assumption Inputs'!$J$8)</f>
        <v>66.927499999999995</v>
      </c>
      <c r="Y43" s="643">
        <f>Y$40*(1+'Assumption Inputs'!$J$8)</f>
        <v>66.927499999999995</v>
      </c>
      <c r="Z43" s="643">
        <f>Z$40*(1+'Assumption Inputs'!$J$8)</f>
        <v>66.927499999999995</v>
      </c>
      <c r="AA43" s="643">
        <f>AA$40*(1+'Assumption Inputs'!$J$8)</f>
        <v>66.927499999999995</v>
      </c>
      <c r="AB43" s="643">
        <f>AB$40*(1+'Assumption Inputs'!$J$8)</f>
        <v>66.927499999999995</v>
      </c>
      <c r="AC43" s="643">
        <f>AC$40*(1+'Assumption Inputs'!$J$8)</f>
        <v>66.927499999999995</v>
      </c>
      <c r="AD43" s="643">
        <f>AD$40*(1+'Assumption Inputs'!$J$8)</f>
        <v>66.927499999999995</v>
      </c>
      <c r="AE43" s="643">
        <f>AE$40*(1+'Assumption Inputs'!$J$8)</f>
        <v>66.927499999999995</v>
      </c>
      <c r="AF43" s="834">
        <f>AF$40*(1+'Assumption Inputs'!$J$8)</f>
        <v>66.927499999999995</v>
      </c>
    </row>
    <row r="46" spans="2:32">
      <c r="B46" s="798" t="s">
        <v>844</v>
      </c>
      <c r="C46" s="799"/>
      <c r="D46" s="848">
        <f>CHOOSE($C$3,D48,D49,D50,D51)</f>
        <v>20.12</v>
      </c>
      <c r="E46" s="849">
        <f t="shared" ref="E46:AF46" si="15">CHOOSE($C$3,E48,E49,E50,E51)</f>
        <v>25.41</v>
      </c>
      <c r="F46" s="849">
        <f t="shared" si="15"/>
        <v>24</v>
      </c>
      <c r="G46" s="849">
        <f t="shared" si="15"/>
        <v>21.2</v>
      </c>
      <c r="H46" s="849">
        <f t="shared" si="15"/>
        <v>21.95</v>
      </c>
      <c r="I46" s="849">
        <f t="shared" si="15"/>
        <v>21.95</v>
      </c>
      <c r="J46" s="849">
        <f t="shared" si="15"/>
        <v>21.95</v>
      </c>
      <c r="K46" s="849">
        <f t="shared" si="15"/>
        <v>21.95</v>
      </c>
      <c r="L46" s="849">
        <f t="shared" si="15"/>
        <v>21.95</v>
      </c>
      <c r="M46" s="849">
        <f t="shared" si="15"/>
        <v>21.95</v>
      </c>
      <c r="N46" s="849">
        <f t="shared" si="15"/>
        <v>21.95</v>
      </c>
      <c r="O46" s="849">
        <f t="shared" si="15"/>
        <v>21.95</v>
      </c>
      <c r="P46" s="849">
        <f t="shared" si="15"/>
        <v>21.95</v>
      </c>
      <c r="Q46" s="849">
        <f t="shared" si="15"/>
        <v>21.95</v>
      </c>
      <c r="R46" s="849">
        <f t="shared" si="15"/>
        <v>21.95</v>
      </c>
      <c r="S46" s="849">
        <f t="shared" si="15"/>
        <v>21.95</v>
      </c>
      <c r="T46" s="849">
        <f t="shared" si="15"/>
        <v>21.95</v>
      </c>
      <c r="U46" s="849">
        <f t="shared" si="15"/>
        <v>21.95</v>
      </c>
      <c r="V46" s="849">
        <f t="shared" si="15"/>
        <v>21.95</v>
      </c>
      <c r="W46" s="849">
        <f t="shared" si="15"/>
        <v>21.95</v>
      </c>
      <c r="X46" s="849">
        <f t="shared" si="15"/>
        <v>21.95</v>
      </c>
      <c r="Y46" s="849">
        <f t="shared" si="15"/>
        <v>21.95</v>
      </c>
      <c r="Z46" s="849">
        <f t="shared" si="15"/>
        <v>21.95</v>
      </c>
      <c r="AA46" s="849">
        <f t="shared" si="15"/>
        <v>21.95</v>
      </c>
      <c r="AB46" s="849">
        <f t="shared" si="15"/>
        <v>21.95</v>
      </c>
      <c r="AC46" s="849">
        <f t="shared" si="15"/>
        <v>21.95</v>
      </c>
      <c r="AD46" s="849">
        <f t="shared" si="15"/>
        <v>21.95</v>
      </c>
      <c r="AE46" s="849">
        <f t="shared" si="15"/>
        <v>21.95</v>
      </c>
      <c r="AF46" s="850">
        <f t="shared" si="15"/>
        <v>21.95</v>
      </c>
    </row>
    <row r="47" spans="2:32" ht="9.65" customHeight="1">
      <c r="B47" s="800"/>
      <c r="C47" s="801"/>
    </row>
    <row r="48" spans="2:32">
      <c r="B48" s="801"/>
      <c r="C48" s="802" t="s">
        <v>565</v>
      </c>
      <c r="D48" s="831">
        <f>'Assumption Inputs'!E9</f>
        <v>22.638400000000001</v>
      </c>
      <c r="E48" s="817">
        <f>D48</f>
        <v>22.638400000000001</v>
      </c>
      <c r="F48" s="817">
        <f>E48</f>
        <v>22.638400000000001</v>
      </c>
      <c r="G48" s="817">
        <f>F48</f>
        <v>22.638400000000001</v>
      </c>
      <c r="H48" s="817">
        <f>G48</f>
        <v>22.638400000000001</v>
      </c>
      <c r="I48" s="817">
        <f>H48</f>
        <v>22.638400000000001</v>
      </c>
      <c r="J48" s="817">
        <f t="shared" ref="J48:AF48" si="16">I48</f>
        <v>22.638400000000001</v>
      </c>
      <c r="K48" s="817">
        <f t="shared" si="16"/>
        <v>22.638400000000001</v>
      </c>
      <c r="L48" s="817">
        <f t="shared" si="16"/>
        <v>22.638400000000001</v>
      </c>
      <c r="M48" s="817">
        <f t="shared" si="16"/>
        <v>22.638400000000001</v>
      </c>
      <c r="N48" s="817">
        <f t="shared" si="16"/>
        <v>22.638400000000001</v>
      </c>
      <c r="O48" s="817">
        <f t="shared" si="16"/>
        <v>22.638400000000001</v>
      </c>
      <c r="P48" s="817">
        <f t="shared" si="16"/>
        <v>22.638400000000001</v>
      </c>
      <c r="Q48" s="817">
        <f t="shared" si="16"/>
        <v>22.638400000000001</v>
      </c>
      <c r="R48" s="817">
        <f t="shared" si="16"/>
        <v>22.638400000000001</v>
      </c>
      <c r="S48" s="817">
        <f t="shared" si="16"/>
        <v>22.638400000000001</v>
      </c>
      <c r="T48" s="817">
        <f t="shared" si="16"/>
        <v>22.638400000000001</v>
      </c>
      <c r="U48" s="817">
        <f t="shared" si="16"/>
        <v>22.638400000000001</v>
      </c>
      <c r="V48" s="817">
        <f t="shared" si="16"/>
        <v>22.638400000000001</v>
      </c>
      <c r="W48" s="817">
        <f t="shared" si="16"/>
        <v>22.638400000000001</v>
      </c>
      <c r="X48" s="817">
        <f t="shared" si="16"/>
        <v>22.638400000000001</v>
      </c>
      <c r="Y48" s="817">
        <f t="shared" si="16"/>
        <v>22.638400000000001</v>
      </c>
      <c r="Z48" s="817">
        <f t="shared" si="16"/>
        <v>22.638400000000001</v>
      </c>
      <c r="AA48" s="817">
        <f t="shared" si="16"/>
        <v>22.638400000000001</v>
      </c>
      <c r="AB48" s="817">
        <f t="shared" si="16"/>
        <v>22.638400000000001</v>
      </c>
      <c r="AC48" s="817">
        <f t="shared" si="16"/>
        <v>22.638400000000001</v>
      </c>
      <c r="AD48" s="817">
        <f t="shared" si="16"/>
        <v>22.638400000000001</v>
      </c>
      <c r="AE48" s="817">
        <f t="shared" si="16"/>
        <v>22.638400000000001</v>
      </c>
      <c r="AF48" s="818">
        <f t="shared" si="16"/>
        <v>22.638400000000001</v>
      </c>
    </row>
    <row r="49" spans="2:32">
      <c r="B49" s="801"/>
      <c r="C49" s="1" t="s">
        <v>834</v>
      </c>
      <c r="D49" s="819">
        <v>20.12</v>
      </c>
      <c r="E49" s="820">
        <v>25.41</v>
      </c>
      <c r="F49" s="820">
        <v>24</v>
      </c>
      <c r="G49" s="820">
        <v>21.2</v>
      </c>
      <c r="H49" s="820">
        <v>21.95</v>
      </c>
      <c r="I49" s="821">
        <f>H49</f>
        <v>21.95</v>
      </c>
      <c r="J49" s="821">
        <f t="shared" ref="J49:AF49" si="17">I49</f>
        <v>21.95</v>
      </c>
      <c r="K49" s="821">
        <f t="shared" si="17"/>
        <v>21.95</v>
      </c>
      <c r="L49" s="821">
        <f t="shared" si="17"/>
        <v>21.95</v>
      </c>
      <c r="M49" s="821">
        <f t="shared" si="17"/>
        <v>21.95</v>
      </c>
      <c r="N49" s="821">
        <f t="shared" si="17"/>
        <v>21.95</v>
      </c>
      <c r="O49" s="821">
        <f t="shared" si="17"/>
        <v>21.95</v>
      </c>
      <c r="P49" s="821">
        <f t="shared" si="17"/>
        <v>21.95</v>
      </c>
      <c r="Q49" s="821">
        <f t="shared" si="17"/>
        <v>21.95</v>
      </c>
      <c r="R49" s="821">
        <f t="shared" si="17"/>
        <v>21.95</v>
      </c>
      <c r="S49" s="821">
        <f t="shared" si="17"/>
        <v>21.95</v>
      </c>
      <c r="T49" s="821">
        <f t="shared" si="17"/>
        <v>21.95</v>
      </c>
      <c r="U49" s="821">
        <f t="shared" si="17"/>
        <v>21.95</v>
      </c>
      <c r="V49" s="821">
        <f t="shared" si="17"/>
        <v>21.95</v>
      </c>
      <c r="W49" s="821">
        <f t="shared" si="17"/>
        <v>21.95</v>
      </c>
      <c r="X49" s="821">
        <f t="shared" si="17"/>
        <v>21.95</v>
      </c>
      <c r="Y49" s="821">
        <f t="shared" si="17"/>
        <v>21.95</v>
      </c>
      <c r="Z49" s="821">
        <f t="shared" si="17"/>
        <v>21.95</v>
      </c>
      <c r="AA49" s="821">
        <f t="shared" si="17"/>
        <v>21.95</v>
      </c>
      <c r="AB49" s="821">
        <f t="shared" si="17"/>
        <v>21.95</v>
      </c>
      <c r="AC49" s="821">
        <f t="shared" si="17"/>
        <v>21.95</v>
      </c>
      <c r="AD49" s="821">
        <f t="shared" si="17"/>
        <v>21.95</v>
      </c>
      <c r="AE49" s="821">
        <f t="shared" si="17"/>
        <v>21.95</v>
      </c>
      <c r="AF49" s="822">
        <f t="shared" si="17"/>
        <v>21.95</v>
      </c>
    </row>
    <row r="50" spans="2:32">
      <c r="B50" s="801"/>
      <c r="C50" s="802" t="str">
        <f>[9]GenAssums!$I$19&amp;": "&amp;TEXT([9]GenAssums!$K$19,"+0.0%;-0.0%")</f>
        <v>Best Case: +5.0%</v>
      </c>
      <c r="D50" s="819">
        <f>D$48*(1+'Assumption Inputs'!$J$7)</f>
        <v>23.770320000000002</v>
      </c>
      <c r="E50" s="820">
        <f>E$48*(1+'Assumption Inputs'!$J$7)</f>
        <v>23.770320000000002</v>
      </c>
      <c r="F50" s="820">
        <f>F$48*(1+'Assumption Inputs'!$J$7)</f>
        <v>23.770320000000002</v>
      </c>
      <c r="G50" s="820">
        <f>G$48*(1+'Assumption Inputs'!$J$7)</f>
        <v>23.770320000000002</v>
      </c>
      <c r="H50" s="820">
        <f>H$48*(1+'Assumption Inputs'!$J$7)</f>
        <v>23.770320000000002</v>
      </c>
      <c r="I50" s="820">
        <f>I$48*(1+'Assumption Inputs'!$J$7)</f>
        <v>23.770320000000002</v>
      </c>
      <c r="J50" s="820">
        <f>J$48*(1+'Assumption Inputs'!$J$7)</f>
        <v>23.770320000000002</v>
      </c>
      <c r="K50" s="820">
        <f>K$48*(1+'Assumption Inputs'!$J$7)</f>
        <v>23.770320000000002</v>
      </c>
      <c r="L50" s="820">
        <f>L$48*(1+'Assumption Inputs'!$J$7)</f>
        <v>23.770320000000002</v>
      </c>
      <c r="M50" s="820">
        <f>M$48*(1+'Assumption Inputs'!$J$7)</f>
        <v>23.770320000000002</v>
      </c>
      <c r="N50" s="820">
        <f>N$48*(1+'Assumption Inputs'!$J$7)</f>
        <v>23.770320000000002</v>
      </c>
      <c r="O50" s="820">
        <f>O$48*(1+'Assumption Inputs'!$J$7)</f>
        <v>23.770320000000002</v>
      </c>
      <c r="P50" s="820">
        <f>P$48*(1+'Assumption Inputs'!$J$7)</f>
        <v>23.770320000000002</v>
      </c>
      <c r="Q50" s="820">
        <f>Q$48*(1+'Assumption Inputs'!$J$7)</f>
        <v>23.770320000000002</v>
      </c>
      <c r="R50" s="820">
        <f>R$48*(1+'Assumption Inputs'!$J$7)</f>
        <v>23.770320000000002</v>
      </c>
      <c r="S50" s="820">
        <f>S$48*(1+'Assumption Inputs'!$J$7)</f>
        <v>23.770320000000002</v>
      </c>
      <c r="T50" s="820">
        <f>T$48*(1+'Assumption Inputs'!$J$7)</f>
        <v>23.770320000000002</v>
      </c>
      <c r="U50" s="820">
        <f>U$48*(1+'Assumption Inputs'!$J$7)</f>
        <v>23.770320000000002</v>
      </c>
      <c r="V50" s="820">
        <f>V$48*(1+'Assumption Inputs'!$J$7)</f>
        <v>23.770320000000002</v>
      </c>
      <c r="W50" s="820">
        <f>W$48*(1+'Assumption Inputs'!$J$7)</f>
        <v>23.770320000000002</v>
      </c>
      <c r="X50" s="820">
        <f>X$48*(1+'Assumption Inputs'!$J$7)</f>
        <v>23.770320000000002</v>
      </c>
      <c r="Y50" s="820">
        <f>Y$48*(1+'Assumption Inputs'!$J$7)</f>
        <v>23.770320000000002</v>
      </c>
      <c r="Z50" s="820">
        <f>Z$48*(1+'Assumption Inputs'!$J$7)</f>
        <v>23.770320000000002</v>
      </c>
      <c r="AA50" s="820">
        <f>AA$48*(1+'Assumption Inputs'!$J$7)</f>
        <v>23.770320000000002</v>
      </c>
      <c r="AB50" s="820">
        <f>AB$48*(1+'Assumption Inputs'!$J$7)</f>
        <v>23.770320000000002</v>
      </c>
      <c r="AC50" s="820">
        <f>AC$48*(1+'Assumption Inputs'!$J$7)</f>
        <v>23.770320000000002</v>
      </c>
      <c r="AD50" s="820">
        <f>AD$48*(1+'Assumption Inputs'!$J$7)</f>
        <v>23.770320000000002</v>
      </c>
      <c r="AE50" s="820">
        <f>AE$48*(1+'Assumption Inputs'!$J$7)</f>
        <v>23.770320000000002</v>
      </c>
      <c r="AF50" s="832">
        <f>AF$48*(1+'Assumption Inputs'!$J$7)</f>
        <v>23.770320000000002</v>
      </c>
    </row>
    <row r="51" spans="2:32">
      <c r="C51" s="802" t="str">
        <f>[9]GenAssums!$I$20&amp;": "&amp;TEXT([9]GenAssums!$K$20,"+0.0%;-0.0%")</f>
        <v>Worst Case: -5.0%</v>
      </c>
      <c r="D51" s="833">
        <f>D$48*(1+'Assumption Inputs'!$J$8)</f>
        <v>21.50648</v>
      </c>
      <c r="E51" s="643">
        <f>E$48*(1+'Assumption Inputs'!$J$8)</f>
        <v>21.50648</v>
      </c>
      <c r="F51" s="643">
        <f>F$48*(1+'Assumption Inputs'!$J$8)</f>
        <v>21.50648</v>
      </c>
      <c r="G51" s="643">
        <f>G$48*(1+'Assumption Inputs'!$J$8)</f>
        <v>21.50648</v>
      </c>
      <c r="H51" s="643">
        <f>H$48*(1+'Assumption Inputs'!$J$8)</f>
        <v>21.50648</v>
      </c>
      <c r="I51" s="643">
        <f>I$48*(1+'Assumption Inputs'!$J$8)</f>
        <v>21.50648</v>
      </c>
      <c r="J51" s="643">
        <f>J$48*(1+'Assumption Inputs'!$J$8)</f>
        <v>21.50648</v>
      </c>
      <c r="K51" s="643">
        <f>K$48*(1+'Assumption Inputs'!$J$8)</f>
        <v>21.50648</v>
      </c>
      <c r="L51" s="643">
        <f>L$48*(1+'Assumption Inputs'!$J$8)</f>
        <v>21.50648</v>
      </c>
      <c r="M51" s="643">
        <f>M$48*(1+'Assumption Inputs'!$J$8)</f>
        <v>21.50648</v>
      </c>
      <c r="N51" s="643">
        <f>N$48*(1+'Assumption Inputs'!$J$8)</f>
        <v>21.50648</v>
      </c>
      <c r="O51" s="643">
        <f>O$48*(1+'Assumption Inputs'!$J$8)</f>
        <v>21.50648</v>
      </c>
      <c r="P51" s="643">
        <f>P$48*(1+'Assumption Inputs'!$J$8)</f>
        <v>21.50648</v>
      </c>
      <c r="Q51" s="643">
        <f>Q$48*(1+'Assumption Inputs'!$J$8)</f>
        <v>21.50648</v>
      </c>
      <c r="R51" s="643">
        <f>R$48*(1+'Assumption Inputs'!$J$8)</f>
        <v>21.50648</v>
      </c>
      <c r="S51" s="643">
        <f>S$48*(1+'Assumption Inputs'!$J$8)</f>
        <v>21.50648</v>
      </c>
      <c r="T51" s="643">
        <f>T$48*(1+'Assumption Inputs'!$J$8)</f>
        <v>21.50648</v>
      </c>
      <c r="U51" s="643">
        <f>U$48*(1+'Assumption Inputs'!$J$8)</f>
        <v>21.50648</v>
      </c>
      <c r="V51" s="643">
        <f>V$48*(1+'Assumption Inputs'!$J$8)</f>
        <v>21.50648</v>
      </c>
      <c r="W51" s="643">
        <f>W$48*(1+'Assumption Inputs'!$J$8)</f>
        <v>21.50648</v>
      </c>
      <c r="X51" s="643">
        <f>X$48*(1+'Assumption Inputs'!$J$8)</f>
        <v>21.50648</v>
      </c>
      <c r="Y51" s="643">
        <f>Y$48*(1+'Assumption Inputs'!$J$8)</f>
        <v>21.50648</v>
      </c>
      <c r="Z51" s="643">
        <f>Z$48*(1+'Assumption Inputs'!$J$8)</f>
        <v>21.50648</v>
      </c>
      <c r="AA51" s="643">
        <f>AA$48*(1+'Assumption Inputs'!$J$8)</f>
        <v>21.50648</v>
      </c>
      <c r="AB51" s="643">
        <f>AB$48*(1+'Assumption Inputs'!$J$8)</f>
        <v>21.50648</v>
      </c>
      <c r="AC51" s="643">
        <f>AC$48*(1+'Assumption Inputs'!$J$8)</f>
        <v>21.50648</v>
      </c>
      <c r="AD51" s="643">
        <f>AD$48*(1+'Assumption Inputs'!$J$8)</f>
        <v>21.50648</v>
      </c>
      <c r="AE51" s="643">
        <f>AE$48*(1+'Assumption Inputs'!$J$8)</f>
        <v>21.50648</v>
      </c>
      <c r="AF51" s="834">
        <f>AF$48*(1+'Assumption Inputs'!$J$8)</f>
        <v>21.50648</v>
      </c>
    </row>
    <row r="52" spans="2:32">
      <c r="D52" s="804"/>
      <c r="E52" s="804"/>
      <c r="F52" s="804"/>
      <c r="G52" s="804"/>
      <c r="H52" s="804"/>
      <c r="I52" s="804"/>
      <c r="J52" s="804"/>
      <c r="K52" s="804"/>
      <c r="L52" s="804"/>
      <c r="M52" s="804"/>
      <c r="N52" s="804"/>
      <c r="O52" s="804"/>
      <c r="P52" s="804"/>
      <c r="Q52" s="804"/>
      <c r="R52" s="804"/>
      <c r="S52" s="804"/>
      <c r="T52" s="804"/>
      <c r="U52" s="804"/>
      <c r="V52" s="804"/>
      <c r="W52" s="804"/>
    </row>
    <row r="54" spans="2:32">
      <c r="B54" s="798" t="s">
        <v>845</v>
      </c>
      <c r="C54" s="799"/>
      <c r="D54" s="845">
        <f>CHOOSE($C$3,D56,D57,D58,D59)</f>
        <v>1772.5</v>
      </c>
      <c r="E54" s="846">
        <f t="shared" ref="E54:AF54" si="18">CHOOSE($C$3,E56,E57,E58,E59)</f>
        <v>1780</v>
      </c>
      <c r="F54" s="846">
        <f t="shared" si="18"/>
        <v>1740</v>
      </c>
      <c r="G54" s="846">
        <f t="shared" si="18"/>
        <v>1690</v>
      </c>
      <c r="H54" s="846">
        <f t="shared" si="18"/>
        <v>1660</v>
      </c>
      <c r="I54" s="846">
        <f t="shared" si="18"/>
        <v>1660</v>
      </c>
      <c r="J54" s="846">
        <f t="shared" si="18"/>
        <v>1660</v>
      </c>
      <c r="K54" s="846">
        <f t="shared" si="18"/>
        <v>1660</v>
      </c>
      <c r="L54" s="846">
        <f t="shared" si="18"/>
        <v>1660</v>
      </c>
      <c r="M54" s="846">
        <f t="shared" si="18"/>
        <v>1660</v>
      </c>
      <c r="N54" s="846">
        <f t="shared" si="18"/>
        <v>1660</v>
      </c>
      <c r="O54" s="846">
        <f t="shared" si="18"/>
        <v>1660</v>
      </c>
      <c r="P54" s="846">
        <f t="shared" si="18"/>
        <v>1660</v>
      </c>
      <c r="Q54" s="846">
        <f t="shared" si="18"/>
        <v>1660</v>
      </c>
      <c r="R54" s="846">
        <f t="shared" si="18"/>
        <v>1660</v>
      </c>
      <c r="S54" s="846">
        <f t="shared" si="18"/>
        <v>1660</v>
      </c>
      <c r="T54" s="846">
        <f t="shared" si="18"/>
        <v>1660</v>
      </c>
      <c r="U54" s="846">
        <f t="shared" si="18"/>
        <v>1660</v>
      </c>
      <c r="V54" s="846">
        <f t="shared" si="18"/>
        <v>1660</v>
      </c>
      <c r="W54" s="846">
        <f t="shared" si="18"/>
        <v>1660</v>
      </c>
      <c r="X54" s="846">
        <f t="shared" si="18"/>
        <v>1660</v>
      </c>
      <c r="Y54" s="846">
        <f t="shared" si="18"/>
        <v>1660</v>
      </c>
      <c r="Z54" s="846">
        <f t="shared" si="18"/>
        <v>1660</v>
      </c>
      <c r="AA54" s="846">
        <f t="shared" si="18"/>
        <v>1660</v>
      </c>
      <c r="AB54" s="846">
        <f t="shared" si="18"/>
        <v>1660</v>
      </c>
      <c r="AC54" s="846">
        <f t="shared" si="18"/>
        <v>1660</v>
      </c>
      <c r="AD54" s="846">
        <f t="shared" si="18"/>
        <v>1660</v>
      </c>
      <c r="AE54" s="846">
        <f t="shared" si="18"/>
        <v>1660</v>
      </c>
      <c r="AF54" s="847">
        <f t="shared" si="18"/>
        <v>1660</v>
      </c>
    </row>
    <row r="55" spans="2:32" ht="9.65" customHeight="1">
      <c r="B55" s="800"/>
      <c r="C55" s="801"/>
    </row>
    <row r="56" spans="2:32">
      <c r="B56" s="801"/>
      <c r="C56" s="802" t="s">
        <v>565</v>
      </c>
      <c r="D56" s="835">
        <f>'Assumption Inputs'!E6</f>
        <v>1755.95</v>
      </c>
      <c r="E56" s="836">
        <f>D56</f>
        <v>1755.95</v>
      </c>
      <c r="F56" s="836">
        <f>E56</f>
        <v>1755.95</v>
      </c>
      <c r="G56" s="836">
        <f>F56</f>
        <v>1755.95</v>
      </c>
      <c r="H56" s="836">
        <f>G56</f>
        <v>1755.95</v>
      </c>
      <c r="I56" s="836">
        <f>H56</f>
        <v>1755.95</v>
      </c>
      <c r="J56" s="836">
        <f t="shared" ref="J56:AF56" si="19">I56</f>
        <v>1755.95</v>
      </c>
      <c r="K56" s="836">
        <f t="shared" si="19"/>
        <v>1755.95</v>
      </c>
      <c r="L56" s="836">
        <f t="shared" si="19"/>
        <v>1755.95</v>
      </c>
      <c r="M56" s="836">
        <f t="shared" si="19"/>
        <v>1755.95</v>
      </c>
      <c r="N56" s="836">
        <f t="shared" si="19"/>
        <v>1755.95</v>
      </c>
      <c r="O56" s="836">
        <f t="shared" si="19"/>
        <v>1755.95</v>
      </c>
      <c r="P56" s="836">
        <f t="shared" si="19"/>
        <v>1755.95</v>
      </c>
      <c r="Q56" s="836">
        <f t="shared" si="19"/>
        <v>1755.95</v>
      </c>
      <c r="R56" s="836">
        <f t="shared" si="19"/>
        <v>1755.95</v>
      </c>
      <c r="S56" s="836">
        <f t="shared" si="19"/>
        <v>1755.95</v>
      </c>
      <c r="T56" s="836">
        <f t="shared" si="19"/>
        <v>1755.95</v>
      </c>
      <c r="U56" s="836">
        <f t="shared" si="19"/>
        <v>1755.95</v>
      </c>
      <c r="V56" s="836">
        <f t="shared" si="19"/>
        <v>1755.95</v>
      </c>
      <c r="W56" s="836">
        <f t="shared" si="19"/>
        <v>1755.95</v>
      </c>
      <c r="X56" s="836">
        <f t="shared" si="19"/>
        <v>1755.95</v>
      </c>
      <c r="Y56" s="836">
        <f t="shared" si="19"/>
        <v>1755.95</v>
      </c>
      <c r="Z56" s="836">
        <f t="shared" si="19"/>
        <v>1755.95</v>
      </c>
      <c r="AA56" s="836">
        <f t="shared" si="19"/>
        <v>1755.95</v>
      </c>
      <c r="AB56" s="836">
        <f t="shared" si="19"/>
        <v>1755.95</v>
      </c>
      <c r="AC56" s="836">
        <f t="shared" si="19"/>
        <v>1755.95</v>
      </c>
      <c r="AD56" s="836">
        <f t="shared" si="19"/>
        <v>1755.95</v>
      </c>
      <c r="AE56" s="836">
        <f t="shared" si="19"/>
        <v>1755.95</v>
      </c>
      <c r="AF56" s="837">
        <f t="shared" si="19"/>
        <v>1755.95</v>
      </c>
    </row>
    <row r="57" spans="2:32">
      <c r="B57" s="801"/>
      <c r="C57" s="1" t="s">
        <v>834</v>
      </c>
      <c r="D57" s="838">
        <v>1772.5</v>
      </c>
      <c r="E57" s="839">
        <v>1780</v>
      </c>
      <c r="F57" s="839">
        <v>1740</v>
      </c>
      <c r="G57" s="839">
        <v>1690</v>
      </c>
      <c r="H57" s="839">
        <v>1660</v>
      </c>
      <c r="I57" s="806">
        <f>H57</f>
        <v>1660</v>
      </c>
      <c r="J57" s="806">
        <f t="shared" ref="J57:AE57" si="20">I57</f>
        <v>1660</v>
      </c>
      <c r="K57" s="806">
        <f t="shared" si="20"/>
        <v>1660</v>
      </c>
      <c r="L57" s="806">
        <f t="shared" si="20"/>
        <v>1660</v>
      </c>
      <c r="M57" s="806">
        <f t="shared" si="20"/>
        <v>1660</v>
      </c>
      <c r="N57" s="806">
        <f t="shared" si="20"/>
        <v>1660</v>
      </c>
      <c r="O57" s="806">
        <f t="shared" si="20"/>
        <v>1660</v>
      </c>
      <c r="P57" s="806">
        <f t="shared" si="20"/>
        <v>1660</v>
      </c>
      <c r="Q57" s="806">
        <f t="shared" si="20"/>
        <v>1660</v>
      </c>
      <c r="R57" s="806">
        <f t="shared" si="20"/>
        <v>1660</v>
      </c>
      <c r="S57" s="806">
        <f t="shared" si="20"/>
        <v>1660</v>
      </c>
      <c r="T57" s="806">
        <f t="shared" si="20"/>
        <v>1660</v>
      </c>
      <c r="U57" s="806">
        <f t="shared" si="20"/>
        <v>1660</v>
      </c>
      <c r="V57" s="806">
        <f t="shared" si="20"/>
        <v>1660</v>
      </c>
      <c r="W57" s="806">
        <f t="shared" si="20"/>
        <v>1660</v>
      </c>
      <c r="X57" s="806">
        <f t="shared" si="20"/>
        <v>1660</v>
      </c>
      <c r="Y57" s="806">
        <f t="shared" si="20"/>
        <v>1660</v>
      </c>
      <c r="Z57" s="806">
        <f t="shared" si="20"/>
        <v>1660</v>
      </c>
      <c r="AA57" s="806">
        <f t="shared" si="20"/>
        <v>1660</v>
      </c>
      <c r="AB57" s="806">
        <f t="shared" si="20"/>
        <v>1660</v>
      </c>
      <c r="AC57" s="806">
        <f t="shared" si="20"/>
        <v>1660</v>
      </c>
      <c r="AD57" s="806">
        <f t="shared" si="20"/>
        <v>1660</v>
      </c>
      <c r="AE57" s="806">
        <f t="shared" si="20"/>
        <v>1660</v>
      </c>
      <c r="AF57" s="811">
        <f>AE57</f>
        <v>1660</v>
      </c>
    </row>
    <row r="58" spans="2:32">
      <c r="B58" s="801"/>
      <c r="C58" s="802" t="str">
        <f>[9]GenAssums!$I$19&amp;": "&amp;TEXT([9]GenAssums!$K$19,"+0.0%;-0.0%")</f>
        <v>Best Case: +5.0%</v>
      </c>
      <c r="D58" s="838">
        <f>D$56*(1+'Assumption Inputs'!$J$7)</f>
        <v>1843.7475000000002</v>
      </c>
      <c r="E58" s="839">
        <f>E$56*(1+'Assumption Inputs'!$J$7)</f>
        <v>1843.7475000000002</v>
      </c>
      <c r="F58" s="839">
        <f>F$56*(1+'Assumption Inputs'!$J$7)</f>
        <v>1843.7475000000002</v>
      </c>
      <c r="G58" s="839">
        <f>G$56*(1+'Assumption Inputs'!$J$7)</f>
        <v>1843.7475000000002</v>
      </c>
      <c r="H58" s="839">
        <f>H$56*(1+'Assumption Inputs'!$J$7)</f>
        <v>1843.7475000000002</v>
      </c>
      <c r="I58" s="839">
        <f>I$56*(1+'Assumption Inputs'!$J$7)</f>
        <v>1843.7475000000002</v>
      </c>
      <c r="J58" s="839">
        <f>J$56*(1+'Assumption Inputs'!$J$7)</f>
        <v>1843.7475000000002</v>
      </c>
      <c r="K58" s="839">
        <f>K$56*(1+'Assumption Inputs'!$J$7)</f>
        <v>1843.7475000000002</v>
      </c>
      <c r="L58" s="839">
        <f>L$56*(1+'Assumption Inputs'!$J$7)</f>
        <v>1843.7475000000002</v>
      </c>
      <c r="M58" s="839">
        <f>M$56*(1+'Assumption Inputs'!$J$7)</f>
        <v>1843.7475000000002</v>
      </c>
      <c r="N58" s="839">
        <f>N$56*(1+'Assumption Inputs'!$J$7)</f>
        <v>1843.7475000000002</v>
      </c>
      <c r="O58" s="839">
        <f>O$56*(1+'Assumption Inputs'!$J$7)</f>
        <v>1843.7475000000002</v>
      </c>
      <c r="P58" s="839">
        <f>P$56*(1+'Assumption Inputs'!$J$7)</f>
        <v>1843.7475000000002</v>
      </c>
      <c r="Q58" s="839">
        <f>Q$56*(1+'Assumption Inputs'!$J$7)</f>
        <v>1843.7475000000002</v>
      </c>
      <c r="R58" s="839">
        <f>R$56*(1+'Assumption Inputs'!$J$7)</f>
        <v>1843.7475000000002</v>
      </c>
      <c r="S58" s="839">
        <f>S$56*(1+'Assumption Inputs'!$J$7)</f>
        <v>1843.7475000000002</v>
      </c>
      <c r="T58" s="839">
        <f>T$56*(1+'Assumption Inputs'!$J$7)</f>
        <v>1843.7475000000002</v>
      </c>
      <c r="U58" s="839">
        <f>U$56*(1+'Assumption Inputs'!$J$7)</f>
        <v>1843.7475000000002</v>
      </c>
      <c r="V58" s="839">
        <f>V$56*(1+'Assumption Inputs'!$J$7)</f>
        <v>1843.7475000000002</v>
      </c>
      <c r="W58" s="839">
        <f>W$56*(1+'Assumption Inputs'!$J$7)</f>
        <v>1843.7475000000002</v>
      </c>
      <c r="X58" s="839">
        <f>X$56*(1+'Assumption Inputs'!$J$7)</f>
        <v>1843.7475000000002</v>
      </c>
      <c r="Y58" s="839">
        <f>Y$56*(1+'Assumption Inputs'!$J$7)</f>
        <v>1843.7475000000002</v>
      </c>
      <c r="Z58" s="839">
        <f>Z$56*(1+'Assumption Inputs'!$J$7)</f>
        <v>1843.7475000000002</v>
      </c>
      <c r="AA58" s="839">
        <f>AA$56*(1+'Assumption Inputs'!$J$7)</f>
        <v>1843.7475000000002</v>
      </c>
      <c r="AB58" s="839">
        <f>AB$56*(1+'Assumption Inputs'!$J$7)</f>
        <v>1843.7475000000002</v>
      </c>
      <c r="AC58" s="839">
        <f>AC$56*(1+'Assumption Inputs'!$J$7)</f>
        <v>1843.7475000000002</v>
      </c>
      <c r="AD58" s="839">
        <f>AD$56*(1+'Assumption Inputs'!$J$7)</f>
        <v>1843.7475000000002</v>
      </c>
      <c r="AE58" s="839">
        <f>AE$56*(1+'Assumption Inputs'!$J$7)</f>
        <v>1843.7475000000002</v>
      </c>
      <c r="AF58" s="840">
        <f>AF$56*(1+'Assumption Inputs'!$J$7)</f>
        <v>1843.7475000000002</v>
      </c>
    </row>
    <row r="59" spans="2:32">
      <c r="C59" s="802" t="str">
        <f>[9]GenAssums!$I$20&amp;": "&amp;TEXT([9]GenAssums!$K$20,"+0.0%;-0.0%")</f>
        <v>Worst Case: -5.0%</v>
      </c>
      <c r="D59" s="841">
        <f>D$56*(1+'Assumption Inputs'!$J$8)</f>
        <v>1668.1524999999999</v>
      </c>
      <c r="E59" s="842">
        <f>E$56*(1+'Assumption Inputs'!$J$8)</f>
        <v>1668.1524999999999</v>
      </c>
      <c r="F59" s="842">
        <f>F$56*(1+'Assumption Inputs'!$J$8)</f>
        <v>1668.1524999999999</v>
      </c>
      <c r="G59" s="842">
        <f>G$56*(1+'Assumption Inputs'!$J$8)</f>
        <v>1668.1524999999999</v>
      </c>
      <c r="H59" s="842">
        <f>H$56*(1+'Assumption Inputs'!$J$8)</f>
        <v>1668.1524999999999</v>
      </c>
      <c r="I59" s="842">
        <f>I$56*(1+'Assumption Inputs'!$J$8)</f>
        <v>1668.1524999999999</v>
      </c>
      <c r="J59" s="842">
        <f>J$56*(1+'Assumption Inputs'!$J$8)</f>
        <v>1668.1524999999999</v>
      </c>
      <c r="K59" s="842">
        <f>K$56*(1+'Assumption Inputs'!$J$8)</f>
        <v>1668.1524999999999</v>
      </c>
      <c r="L59" s="842">
        <f>L$56*(1+'Assumption Inputs'!$J$8)</f>
        <v>1668.1524999999999</v>
      </c>
      <c r="M59" s="842">
        <f>M$56*(1+'Assumption Inputs'!$J$8)</f>
        <v>1668.1524999999999</v>
      </c>
      <c r="N59" s="842">
        <f>N$56*(1+'Assumption Inputs'!$J$8)</f>
        <v>1668.1524999999999</v>
      </c>
      <c r="O59" s="842">
        <f>O$56*(1+'Assumption Inputs'!$J$8)</f>
        <v>1668.1524999999999</v>
      </c>
      <c r="P59" s="842">
        <f>P$56*(1+'Assumption Inputs'!$J$8)</f>
        <v>1668.1524999999999</v>
      </c>
      <c r="Q59" s="842">
        <f>Q$56*(1+'Assumption Inputs'!$J$8)</f>
        <v>1668.1524999999999</v>
      </c>
      <c r="R59" s="842">
        <f>R$56*(1+'Assumption Inputs'!$J$8)</f>
        <v>1668.1524999999999</v>
      </c>
      <c r="S59" s="842">
        <f>S$56*(1+'Assumption Inputs'!$J$8)</f>
        <v>1668.1524999999999</v>
      </c>
      <c r="T59" s="842">
        <f>T$56*(1+'Assumption Inputs'!$J$8)</f>
        <v>1668.1524999999999</v>
      </c>
      <c r="U59" s="842">
        <f>U$56*(1+'Assumption Inputs'!$J$8)</f>
        <v>1668.1524999999999</v>
      </c>
      <c r="V59" s="842">
        <f>V$56*(1+'Assumption Inputs'!$J$8)</f>
        <v>1668.1524999999999</v>
      </c>
      <c r="W59" s="842">
        <f>W$56*(1+'Assumption Inputs'!$J$8)</f>
        <v>1668.1524999999999</v>
      </c>
      <c r="X59" s="842">
        <f>X$56*(1+'Assumption Inputs'!$J$8)</f>
        <v>1668.1524999999999</v>
      </c>
      <c r="Y59" s="842">
        <f>Y$56*(1+'Assumption Inputs'!$J$8)</f>
        <v>1668.1524999999999</v>
      </c>
      <c r="Z59" s="842">
        <f>Z$56*(1+'Assumption Inputs'!$J$8)</f>
        <v>1668.1524999999999</v>
      </c>
      <c r="AA59" s="842">
        <f>AA$56*(1+'Assumption Inputs'!$J$8)</f>
        <v>1668.1524999999999</v>
      </c>
      <c r="AB59" s="842">
        <f>AB$56*(1+'Assumption Inputs'!$J$8)</f>
        <v>1668.1524999999999</v>
      </c>
      <c r="AC59" s="842">
        <f>AC$56*(1+'Assumption Inputs'!$J$8)</f>
        <v>1668.1524999999999</v>
      </c>
      <c r="AD59" s="842">
        <f>AD$56*(1+'Assumption Inputs'!$J$8)</f>
        <v>1668.1524999999999</v>
      </c>
      <c r="AE59" s="842">
        <f>AE$56*(1+'Assumption Inputs'!$J$8)</f>
        <v>1668.1524999999999</v>
      </c>
      <c r="AF59" s="843">
        <f>AF$56*(1+'Assumption Inputs'!$J$8)</f>
        <v>1668.1524999999999</v>
      </c>
    </row>
    <row r="62" spans="2:32">
      <c r="B62" s="798" t="s">
        <v>846</v>
      </c>
      <c r="C62" s="799"/>
      <c r="D62" s="848">
        <f>CHOOSE($C$3,D64,D65,D66,D67)</f>
        <v>20</v>
      </c>
      <c r="E62" s="849">
        <f t="shared" ref="E62:AF62" si="21">CHOOSE($C$3,E64,E65,E66,E67)</f>
        <v>20</v>
      </c>
      <c r="F62" s="849">
        <f t="shared" si="21"/>
        <v>20</v>
      </c>
      <c r="G62" s="849">
        <f t="shared" si="21"/>
        <v>20</v>
      </c>
      <c r="H62" s="849">
        <f t="shared" si="21"/>
        <v>20</v>
      </c>
      <c r="I62" s="849">
        <f t="shared" si="21"/>
        <v>20</v>
      </c>
      <c r="J62" s="849">
        <f t="shared" si="21"/>
        <v>20</v>
      </c>
      <c r="K62" s="849">
        <f t="shared" si="21"/>
        <v>20</v>
      </c>
      <c r="L62" s="849">
        <f t="shared" si="21"/>
        <v>20</v>
      </c>
      <c r="M62" s="849">
        <f t="shared" si="21"/>
        <v>20</v>
      </c>
      <c r="N62" s="849">
        <f t="shared" si="21"/>
        <v>20</v>
      </c>
      <c r="O62" s="849">
        <f t="shared" si="21"/>
        <v>20</v>
      </c>
      <c r="P62" s="849">
        <f t="shared" si="21"/>
        <v>20</v>
      </c>
      <c r="Q62" s="849">
        <f t="shared" si="21"/>
        <v>20</v>
      </c>
      <c r="R62" s="849">
        <f t="shared" si="21"/>
        <v>20</v>
      </c>
      <c r="S62" s="849">
        <f t="shared" si="21"/>
        <v>20</v>
      </c>
      <c r="T62" s="849">
        <f t="shared" si="21"/>
        <v>20</v>
      </c>
      <c r="U62" s="849">
        <f t="shared" si="21"/>
        <v>20</v>
      </c>
      <c r="V62" s="849">
        <f t="shared" si="21"/>
        <v>20</v>
      </c>
      <c r="W62" s="849">
        <f t="shared" si="21"/>
        <v>20</v>
      </c>
      <c r="X62" s="849">
        <f t="shared" si="21"/>
        <v>20</v>
      </c>
      <c r="Y62" s="849">
        <f t="shared" si="21"/>
        <v>20</v>
      </c>
      <c r="Z62" s="849">
        <f t="shared" si="21"/>
        <v>20</v>
      </c>
      <c r="AA62" s="849">
        <f t="shared" si="21"/>
        <v>20</v>
      </c>
      <c r="AB62" s="849">
        <f t="shared" si="21"/>
        <v>20</v>
      </c>
      <c r="AC62" s="849">
        <f t="shared" si="21"/>
        <v>20</v>
      </c>
      <c r="AD62" s="849">
        <f t="shared" si="21"/>
        <v>20</v>
      </c>
      <c r="AE62" s="849">
        <f t="shared" si="21"/>
        <v>20</v>
      </c>
      <c r="AF62" s="850">
        <f t="shared" si="21"/>
        <v>20</v>
      </c>
    </row>
    <row r="63" spans="2:32" ht="9.65" customHeight="1">
      <c r="B63" s="800"/>
      <c r="C63" s="801"/>
    </row>
    <row r="64" spans="2:32">
      <c r="B64" s="801"/>
      <c r="C64" s="802" t="s">
        <v>565</v>
      </c>
      <c r="D64" s="816">
        <f>'Assumption Inputs'!E4</f>
        <v>20</v>
      </c>
      <c r="E64" s="817">
        <f>D64</f>
        <v>20</v>
      </c>
      <c r="F64" s="817">
        <f t="shared" ref="F64:AF64" si="22">E64</f>
        <v>20</v>
      </c>
      <c r="G64" s="817">
        <f t="shared" si="22"/>
        <v>20</v>
      </c>
      <c r="H64" s="817">
        <f t="shared" si="22"/>
        <v>20</v>
      </c>
      <c r="I64" s="817">
        <f t="shared" si="22"/>
        <v>20</v>
      </c>
      <c r="J64" s="817">
        <f t="shared" si="22"/>
        <v>20</v>
      </c>
      <c r="K64" s="817">
        <f t="shared" si="22"/>
        <v>20</v>
      </c>
      <c r="L64" s="817">
        <f t="shared" si="22"/>
        <v>20</v>
      </c>
      <c r="M64" s="817">
        <f t="shared" si="22"/>
        <v>20</v>
      </c>
      <c r="N64" s="817">
        <f t="shared" si="22"/>
        <v>20</v>
      </c>
      <c r="O64" s="817">
        <f t="shared" si="22"/>
        <v>20</v>
      </c>
      <c r="P64" s="817">
        <f t="shared" si="22"/>
        <v>20</v>
      </c>
      <c r="Q64" s="817">
        <f t="shared" si="22"/>
        <v>20</v>
      </c>
      <c r="R64" s="817">
        <f t="shared" si="22"/>
        <v>20</v>
      </c>
      <c r="S64" s="817">
        <f t="shared" si="22"/>
        <v>20</v>
      </c>
      <c r="T64" s="817">
        <f t="shared" si="22"/>
        <v>20</v>
      </c>
      <c r="U64" s="817">
        <f t="shared" si="22"/>
        <v>20</v>
      </c>
      <c r="V64" s="817">
        <f t="shared" si="22"/>
        <v>20</v>
      </c>
      <c r="W64" s="817">
        <f t="shared" si="22"/>
        <v>20</v>
      </c>
      <c r="X64" s="817">
        <f t="shared" si="22"/>
        <v>20</v>
      </c>
      <c r="Y64" s="817">
        <f t="shared" si="22"/>
        <v>20</v>
      </c>
      <c r="Z64" s="817">
        <f t="shared" si="22"/>
        <v>20</v>
      </c>
      <c r="AA64" s="817">
        <f t="shared" si="22"/>
        <v>20</v>
      </c>
      <c r="AB64" s="817">
        <f t="shared" si="22"/>
        <v>20</v>
      </c>
      <c r="AC64" s="817">
        <f t="shared" si="22"/>
        <v>20</v>
      </c>
      <c r="AD64" s="817">
        <f t="shared" si="22"/>
        <v>20</v>
      </c>
      <c r="AE64" s="817">
        <f t="shared" si="22"/>
        <v>20</v>
      </c>
      <c r="AF64" s="818">
        <f t="shared" si="22"/>
        <v>20</v>
      </c>
    </row>
    <row r="65" spans="2:32">
      <c r="B65" s="801"/>
      <c r="C65" s="1" t="s">
        <v>834</v>
      </c>
      <c r="D65" s="844">
        <f>D64</f>
        <v>20</v>
      </c>
      <c r="E65" s="821">
        <f>D65</f>
        <v>20</v>
      </c>
      <c r="F65" s="821">
        <f t="shared" ref="F65:AF65" si="23">E65</f>
        <v>20</v>
      </c>
      <c r="G65" s="821">
        <f t="shared" si="23"/>
        <v>20</v>
      </c>
      <c r="H65" s="821">
        <f t="shared" si="23"/>
        <v>20</v>
      </c>
      <c r="I65" s="821">
        <f t="shared" si="23"/>
        <v>20</v>
      </c>
      <c r="J65" s="821">
        <f t="shared" si="23"/>
        <v>20</v>
      </c>
      <c r="K65" s="821">
        <f t="shared" si="23"/>
        <v>20</v>
      </c>
      <c r="L65" s="821">
        <f t="shared" si="23"/>
        <v>20</v>
      </c>
      <c r="M65" s="821">
        <f t="shared" si="23"/>
        <v>20</v>
      </c>
      <c r="N65" s="821">
        <f t="shared" si="23"/>
        <v>20</v>
      </c>
      <c r="O65" s="821">
        <f t="shared" si="23"/>
        <v>20</v>
      </c>
      <c r="P65" s="821">
        <f t="shared" si="23"/>
        <v>20</v>
      </c>
      <c r="Q65" s="821">
        <f t="shared" si="23"/>
        <v>20</v>
      </c>
      <c r="R65" s="821">
        <f t="shared" si="23"/>
        <v>20</v>
      </c>
      <c r="S65" s="821">
        <f t="shared" si="23"/>
        <v>20</v>
      </c>
      <c r="T65" s="821">
        <f t="shared" si="23"/>
        <v>20</v>
      </c>
      <c r="U65" s="821">
        <f t="shared" si="23"/>
        <v>20</v>
      </c>
      <c r="V65" s="821">
        <f t="shared" si="23"/>
        <v>20</v>
      </c>
      <c r="W65" s="821">
        <f t="shared" si="23"/>
        <v>20</v>
      </c>
      <c r="X65" s="821">
        <f t="shared" si="23"/>
        <v>20</v>
      </c>
      <c r="Y65" s="821">
        <f t="shared" si="23"/>
        <v>20</v>
      </c>
      <c r="Z65" s="821">
        <f t="shared" si="23"/>
        <v>20</v>
      </c>
      <c r="AA65" s="821">
        <f t="shared" si="23"/>
        <v>20</v>
      </c>
      <c r="AB65" s="821">
        <f t="shared" si="23"/>
        <v>20</v>
      </c>
      <c r="AC65" s="821">
        <f t="shared" si="23"/>
        <v>20</v>
      </c>
      <c r="AD65" s="821">
        <f t="shared" si="23"/>
        <v>20</v>
      </c>
      <c r="AE65" s="821">
        <f t="shared" si="23"/>
        <v>20</v>
      </c>
      <c r="AF65" s="822">
        <f t="shared" si="23"/>
        <v>20</v>
      </c>
    </row>
    <row r="66" spans="2:32">
      <c r="B66" s="801"/>
      <c r="C66" s="802" t="str">
        <f>[9]GenAssums!$I$19&amp;": "&amp;TEXT([9]GenAssums!$K$19,"+0.0%;-0.0%")</f>
        <v>Best Case: +5.0%</v>
      </c>
      <c r="D66" s="819">
        <f>D$64*(1+'Assumption Inputs'!$J$7)</f>
        <v>21</v>
      </c>
      <c r="E66" s="820">
        <f>E$64*(1+'Assumption Inputs'!$J$7)</f>
        <v>21</v>
      </c>
      <c r="F66" s="820">
        <f>F$64*(1+'Assumption Inputs'!$J$7)</f>
        <v>21</v>
      </c>
      <c r="G66" s="820">
        <f>G$64*(1+'Assumption Inputs'!$J$7)</f>
        <v>21</v>
      </c>
      <c r="H66" s="820">
        <f>H$64*(1+'Assumption Inputs'!$J$7)</f>
        <v>21</v>
      </c>
      <c r="I66" s="820">
        <f>I$64*(1+'Assumption Inputs'!$J$7)</f>
        <v>21</v>
      </c>
      <c r="J66" s="820">
        <f>J$64*(1+'Assumption Inputs'!$J$7)</f>
        <v>21</v>
      </c>
      <c r="K66" s="820">
        <f>K$64*(1+'Assumption Inputs'!$J$7)</f>
        <v>21</v>
      </c>
      <c r="L66" s="820">
        <f>L$64*(1+'Assumption Inputs'!$J$7)</f>
        <v>21</v>
      </c>
      <c r="M66" s="820">
        <f>M$64*(1+'Assumption Inputs'!$J$7)</f>
        <v>21</v>
      </c>
      <c r="N66" s="820">
        <f>N$64*(1+'Assumption Inputs'!$J$7)</f>
        <v>21</v>
      </c>
      <c r="O66" s="820">
        <f>O$64*(1+'Assumption Inputs'!$J$7)</f>
        <v>21</v>
      </c>
      <c r="P66" s="820">
        <f>P$64*(1+'Assumption Inputs'!$J$7)</f>
        <v>21</v>
      </c>
      <c r="Q66" s="820">
        <f>Q$64*(1+'Assumption Inputs'!$J$7)</f>
        <v>21</v>
      </c>
      <c r="R66" s="820">
        <f>R$64*(1+'Assumption Inputs'!$J$7)</f>
        <v>21</v>
      </c>
      <c r="S66" s="820">
        <f>S$64*(1+'Assumption Inputs'!$J$7)</f>
        <v>21</v>
      </c>
      <c r="T66" s="820">
        <f>T$64*(1+'Assumption Inputs'!$J$7)</f>
        <v>21</v>
      </c>
      <c r="U66" s="820">
        <f>U$64*(1+'Assumption Inputs'!$J$7)</f>
        <v>21</v>
      </c>
      <c r="V66" s="820">
        <f>V$64*(1+'Assumption Inputs'!$J$7)</f>
        <v>21</v>
      </c>
      <c r="W66" s="820">
        <f>W$64*(1+'Assumption Inputs'!$J$7)</f>
        <v>21</v>
      </c>
      <c r="X66" s="820">
        <f>X$64*(1+'Assumption Inputs'!$J$7)</f>
        <v>21</v>
      </c>
      <c r="Y66" s="820">
        <f>Y$64*(1+'Assumption Inputs'!$J$7)</f>
        <v>21</v>
      </c>
      <c r="Z66" s="820">
        <f>Z$64*(1+'Assumption Inputs'!$J$7)</f>
        <v>21</v>
      </c>
      <c r="AA66" s="820">
        <f>AA$64*(1+'Assumption Inputs'!$J$7)</f>
        <v>21</v>
      </c>
      <c r="AB66" s="820">
        <f>AB$64*(1+'Assumption Inputs'!$J$7)</f>
        <v>21</v>
      </c>
      <c r="AC66" s="820">
        <f>AC$64*(1+'Assumption Inputs'!$J$7)</f>
        <v>21</v>
      </c>
      <c r="AD66" s="820">
        <f>AD$64*(1+'Assumption Inputs'!$J$7)</f>
        <v>21</v>
      </c>
      <c r="AE66" s="820">
        <f>AE$64*(1+'Assumption Inputs'!$J$7)</f>
        <v>21</v>
      </c>
      <c r="AF66" s="832">
        <f>AF$64*(1+'Assumption Inputs'!$J$7)</f>
        <v>21</v>
      </c>
    </row>
    <row r="67" spans="2:32">
      <c r="C67" s="802" t="str">
        <f>[9]GenAssums!$I$20&amp;": "&amp;TEXT([9]GenAssums!$K$20,"+0.0%;-0.0%")</f>
        <v>Worst Case: -5.0%</v>
      </c>
      <c r="D67" s="833">
        <f>D$64*(1+'Assumption Inputs'!$J$8)</f>
        <v>19</v>
      </c>
      <c r="E67" s="643">
        <f>E$64*(1+'Assumption Inputs'!$J$8)</f>
        <v>19</v>
      </c>
      <c r="F67" s="643">
        <f>F$64*(1+'Assumption Inputs'!$J$8)</f>
        <v>19</v>
      </c>
      <c r="G67" s="643">
        <f>G$64*(1+'Assumption Inputs'!$J$8)</f>
        <v>19</v>
      </c>
      <c r="H67" s="643">
        <f>H$64*(1+'Assumption Inputs'!$J$8)</f>
        <v>19</v>
      </c>
      <c r="I67" s="643">
        <f>I$64*(1+'Assumption Inputs'!$J$8)</f>
        <v>19</v>
      </c>
      <c r="J67" s="643">
        <f>J$64*(1+'Assumption Inputs'!$J$8)</f>
        <v>19</v>
      </c>
      <c r="K67" s="643">
        <f>K$64*(1+'Assumption Inputs'!$J$8)</f>
        <v>19</v>
      </c>
      <c r="L67" s="643">
        <f>L$64*(1+'Assumption Inputs'!$J$8)</f>
        <v>19</v>
      </c>
      <c r="M67" s="643">
        <f>M$64*(1+'Assumption Inputs'!$J$8)</f>
        <v>19</v>
      </c>
      <c r="N67" s="643">
        <f>N$64*(1+'Assumption Inputs'!$J$8)</f>
        <v>19</v>
      </c>
      <c r="O67" s="643">
        <f>O$64*(1+'Assumption Inputs'!$J$8)</f>
        <v>19</v>
      </c>
      <c r="P67" s="643">
        <f>P$64*(1+'Assumption Inputs'!$J$8)</f>
        <v>19</v>
      </c>
      <c r="Q67" s="643">
        <f>Q$64*(1+'Assumption Inputs'!$J$8)</f>
        <v>19</v>
      </c>
      <c r="R67" s="643">
        <f>R$64*(1+'Assumption Inputs'!$J$8)</f>
        <v>19</v>
      </c>
      <c r="S67" s="643">
        <f>S$64*(1+'Assumption Inputs'!$J$8)</f>
        <v>19</v>
      </c>
      <c r="T67" s="643">
        <f>T$64*(1+'Assumption Inputs'!$J$8)</f>
        <v>19</v>
      </c>
      <c r="U67" s="643">
        <f>U$64*(1+'Assumption Inputs'!$J$8)</f>
        <v>19</v>
      </c>
      <c r="V67" s="643">
        <f>V$64*(1+'Assumption Inputs'!$J$8)</f>
        <v>19</v>
      </c>
      <c r="W67" s="643">
        <f>W$64*(1+'Assumption Inputs'!$J$8)</f>
        <v>19</v>
      </c>
      <c r="X67" s="643">
        <f>X$64*(1+'Assumption Inputs'!$J$8)</f>
        <v>19</v>
      </c>
      <c r="Y67" s="643">
        <f>Y$64*(1+'Assumption Inputs'!$J$8)</f>
        <v>19</v>
      </c>
      <c r="Z67" s="643">
        <f>Z$64*(1+'Assumption Inputs'!$J$8)</f>
        <v>19</v>
      </c>
      <c r="AA67" s="643">
        <f>AA$64*(1+'Assumption Inputs'!$J$8)</f>
        <v>19</v>
      </c>
      <c r="AB67" s="643">
        <f>AB$64*(1+'Assumption Inputs'!$J$8)</f>
        <v>19</v>
      </c>
      <c r="AC67" s="643">
        <f>AC$64*(1+'Assumption Inputs'!$J$8)</f>
        <v>19</v>
      </c>
      <c r="AD67" s="643">
        <f>AD$64*(1+'Assumption Inputs'!$J$8)</f>
        <v>19</v>
      </c>
      <c r="AE67" s="643">
        <f>AE$64*(1+'Assumption Inputs'!$J$8)</f>
        <v>19</v>
      </c>
      <c r="AF67" s="834">
        <f>AF$64*(1+'Assumption Inputs'!$J$8)</f>
        <v>19</v>
      </c>
    </row>
    <row r="70" spans="2:32">
      <c r="B70" s="798" t="s">
        <v>849</v>
      </c>
      <c r="C70" s="799"/>
      <c r="D70" s="848">
        <f>CHOOSE($C$3,D72,D73,D74,D75)</f>
        <v>1.32</v>
      </c>
      <c r="E70" s="849">
        <f t="shared" ref="E70:AF70" si="24">CHOOSE($C$3,E72,E73,E74,E75)</f>
        <v>1.24</v>
      </c>
      <c r="F70" s="849">
        <f t="shared" si="24"/>
        <v>1.22</v>
      </c>
      <c r="G70" s="849">
        <f t="shared" si="24"/>
        <v>1.22</v>
      </c>
      <c r="H70" s="849">
        <f t="shared" si="24"/>
        <v>1.23</v>
      </c>
      <c r="I70" s="849">
        <f t="shared" si="24"/>
        <v>1.23</v>
      </c>
      <c r="J70" s="849">
        <f t="shared" si="24"/>
        <v>1.23</v>
      </c>
      <c r="K70" s="849">
        <f t="shared" si="24"/>
        <v>1.23</v>
      </c>
      <c r="L70" s="849">
        <f t="shared" si="24"/>
        <v>1.23</v>
      </c>
      <c r="M70" s="849">
        <f t="shared" si="24"/>
        <v>1.23</v>
      </c>
      <c r="N70" s="849">
        <f t="shared" si="24"/>
        <v>1.23</v>
      </c>
      <c r="O70" s="849">
        <f t="shared" si="24"/>
        <v>1.23</v>
      </c>
      <c r="P70" s="849">
        <f t="shared" si="24"/>
        <v>1.23</v>
      </c>
      <c r="Q70" s="849">
        <f t="shared" si="24"/>
        <v>1.23</v>
      </c>
      <c r="R70" s="849">
        <f t="shared" si="24"/>
        <v>1.23</v>
      </c>
      <c r="S70" s="849">
        <f t="shared" si="24"/>
        <v>1.23</v>
      </c>
      <c r="T70" s="849">
        <f t="shared" si="24"/>
        <v>1.23</v>
      </c>
      <c r="U70" s="849">
        <f t="shared" si="24"/>
        <v>1.23</v>
      </c>
      <c r="V70" s="849">
        <f t="shared" si="24"/>
        <v>1.23</v>
      </c>
      <c r="W70" s="849">
        <f t="shared" si="24"/>
        <v>1.23</v>
      </c>
      <c r="X70" s="849">
        <f t="shared" si="24"/>
        <v>1.23</v>
      </c>
      <c r="Y70" s="849">
        <f t="shared" si="24"/>
        <v>1.23</v>
      </c>
      <c r="Z70" s="849">
        <f t="shared" si="24"/>
        <v>1.23</v>
      </c>
      <c r="AA70" s="849">
        <f t="shared" si="24"/>
        <v>1.23</v>
      </c>
      <c r="AB70" s="849">
        <f t="shared" si="24"/>
        <v>1.23</v>
      </c>
      <c r="AC70" s="849">
        <f t="shared" si="24"/>
        <v>1.23</v>
      </c>
      <c r="AD70" s="849">
        <f t="shared" si="24"/>
        <v>1.23</v>
      </c>
      <c r="AE70" s="849">
        <f t="shared" si="24"/>
        <v>1.23</v>
      </c>
      <c r="AF70" s="850">
        <f t="shared" si="24"/>
        <v>1.23</v>
      </c>
    </row>
    <row r="71" spans="2:32">
      <c r="B71" s="800"/>
      <c r="C71" s="801"/>
    </row>
    <row r="72" spans="2:32">
      <c r="B72" s="801"/>
      <c r="C72" s="802" t="s">
        <v>565</v>
      </c>
      <c r="D72" s="816">
        <f>'Assumption Inputs'!E7</f>
        <v>1.2858000000000001</v>
      </c>
      <c r="E72" s="817">
        <f>D72</f>
        <v>1.2858000000000001</v>
      </c>
      <c r="F72" s="817">
        <f>E72</f>
        <v>1.2858000000000001</v>
      </c>
      <c r="G72" s="817">
        <f>F72</f>
        <v>1.2858000000000001</v>
      </c>
      <c r="H72" s="817">
        <f>G72</f>
        <v>1.2858000000000001</v>
      </c>
      <c r="I72" s="817">
        <f>H72</f>
        <v>1.2858000000000001</v>
      </c>
      <c r="J72" s="817">
        <f t="shared" ref="J72:AF72" si="25">I72</f>
        <v>1.2858000000000001</v>
      </c>
      <c r="K72" s="817">
        <f t="shared" si="25"/>
        <v>1.2858000000000001</v>
      </c>
      <c r="L72" s="817">
        <f t="shared" si="25"/>
        <v>1.2858000000000001</v>
      </c>
      <c r="M72" s="817">
        <f t="shared" si="25"/>
        <v>1.2858000000000001</v>
      </c>
      <c r="N72" s="817">
        <f t="shared" si="25"/>
        <v>1.2858000000000001</v>
      </c>
      <c r="O72" s="817">
        <f t="shared" si="25"/>
        <v>1.2858000000000001</v>
      </c>
      <c r="P72" s="817">
        <f t="shared" si="25"/>
        <v>1.2858000000000001</v>
      </c>
      <c r="Q72" s="817">
        <f t="shared" si="25"/>
        <v>1.2858000000000001</v>
      </c>
      <c r="R72" s="817">
        <f t="shared" si="25"/>
        <v>1.2858000000000001</v>
      </c>
      <c r="S72" s="817">
        <f t="shared" si="25"/>
        <v>1.2858000000000001</v>
      </c>
      <c r="T72" s="817">
        <f t="shared" si="25"/>
        <v>1.2858000000000001</v>
      </c>
      <c r="U72" s="817">
        <f t="shared" si="25"/>
        <v>1.2858000000000001</v>
      </c>
      <c r="V72" s="817">
        <f t="shared" si="25"/>
        <v>1.2858000000000001</v>
      </c>
      <c r="W72" s="817">
        <f t="shared" si="25"/>
        <v>1.2858000000000001</v>
      </c>
      <c r="X72" s="817">
        <f t="shared" si="25"/>
        <v>1.2858000000000001</v>
      </c>
      <c r="Y72" s="817">
        <f t="shared" si="25"/>
        <v>1.2858000000000001</v>
      </c>
      <c r="Z72" s="817">
        <f t="shared" si="25"/>
        <v>1.2858000000000001</v>
      </c>
      <c r="AA72" s="817">
        <f t="shared" si="25"/>
        <v>1.2858000000000001</v>
      </c>
      <c r="AB72" s="817">
        <f t="shared" si="25"/>
        <v>1.2858000000000001</v>
      </c>
      <c r="AC72" s="817">
        <f t="shared" si="25"/>
        <v>1.2858000000000001</v>
      </c>
      <c r="AD72" s="817">
        <f t="shared" si="25"/>
        <v>1.2858000000000001</v>
      </c>
      <c r="AE72" s="817">
        <f t="shared" si="25"/>
        <v>1.2858000000000001</v>
      </c>
      <c r="AF72" s="818">
        <f t="shared" si="25"/>
        <v>1.2858000000000001</v>
      </c>
    </row>
    <row r="73" spans="2:32">
      <c r="B73" s="801"/>
      <c r="C73" s="1" t="s">
        <v>834</v>
      </c>
      <c r="D73" s="819">
        <v>1.32</v>
      </c>
      <c r="E73" s="820">
        <v>1.24</v>
      </c>
      <c r="F73" s="820">
        <v>1.22</v>
      </c>
      <c r="G73" s="820">
        <v>1.22</v>
      </c>
      <c r="H73" s="820">
        <v>1.23</v>
      </c>
      <c r="I73" s="821">
        <f>H73</f>
        <v>1.23</v>
      </c>
      <c r="J73" s="821">
        <f t="shared" ref="J73:AF73" si="26">I73</f>
        <v>1.23</v>
      </c>
      <c r="K73" s="821">
        <f t="shared" si="26"/>
        <v>1.23</v>
      </c>
      <c r="L73" s="821">
        <f t="shared" si="26"/>
        <v>1.23</v>
      </c>
      <c r="M73" s="821">
        <f t="shared" si="26"/>
        <v>1.23</v>
      </c>
      <c r="N73" s="821">
        <f t="shared" si="26"/>
        <v>1.23</v>
      </c>
      <c r="O73" s="821">
        <f t="shared" si="26"/>
        <v>1.23</v>
      </c>
      <c r="P73" s="821">
        <f t="shared" si="26"/>
        <v>1.23</v>
      </c>
      <c r="Q73" s="821">
        <f t="shared" si="26"/>
        <v>1.23</v>
      </c>
      <c r="R73" s="821">
        <f t="shared" si="26"/>
        <v>1.23</v>
      </c>
      <c r="S73" s="821">
        <f t="shared" si="26"/>
        <v>1.23</v>
      </c>
      <c r="T73" s="821">
        <f t="shared" si="26"/>
        <v>1.23</v>
      </c>
      <c r="U73" s="821">
        <f t="shared" si="26"/>
        <v>1.23</v>
      </c>
      <c r="V73" s="821">
        <f t="shared" si="26"/>
        <v>1.23</v>
      </c>
      <c r="W73" s="821">
        <f t="shared" si="26"/>
        <v>1.23</v>
      </c>
      <c r="X73" s="821">
        <f t="shared" si="26"/>
        <v>1.23</v>
      </c>
      <c r="Y73" s="821">
        <f t="shared" si="26"/>
        <v>1.23</v>
      </c>
      <c r="Z73" s="821">
        <f t="shared" si="26"/>
        <v>1.23</v>
      </c>
      <c r="AA73" s="821">
        <f t="shared" si="26"/>
        <v>1.23</v>
      </c>
      <c r="AB73" s="821">
        <f t="shared" si="26"/>
        <v>1.23</v>
      </c>
      <c r="AC73" s="821">
        <f t="shared" si="26"/>
        <v>1.23</v>
      </c>
      <c r="AD73" s="821">
        <f t="shared" si="26"/>
        <v>1.23</v>
      </c>
      <c r="AE73" s="821">
        <f t="shared" si="26"/>
        <v>1.23</v>
      </c>
      <c r="AF73" s="822">
        <f t="shared" si="26"/>
        <v>1.23</v>
      </c>
    </row>
    <row r="74" spans="2:32">
      <c r="B74" s="801"/>
      <c r="C74" s="802" t="str">
        <f>[9]GenAssums!$I$19&amp;": "&amp;TEXT([9]GenAssums!$K$19,"+0.0%;-0.0%")</f>
        <v>Best Case: +5.0%</v>
      </c>
      <c r="D74" s="819">
        <f>D$72*(1+'Assumption Inputs'!$J$7)</f>
        <v>1.35009</v>
      </c>
      <c r="E74" s="820">
        <f>E$72*(1+'Assumption Inputs'!$J$7)</f>
        <v>1.35009</v>
      </c>
      <c r="F74" s="820">
        <f>F$72*(1+'Assumption Inputs'!$J$7)</f>
        <v>1.35009</v>
      </c>
      <c r="G74" s="820">
        <f>G$72*(1+'Assumption Inputs'!$J$7)</f>
        <v>1.35009</v>
      </c>
      <c r="H74" s="820">
        <f>H$72*(1+'Assumption Inputs'!$J$7)</f>
        <v>1.35009</v>
      </c>
      <c r="I74" s="820">
        <f>I$72*(1+'Assumption Inputs'!$J$7)</f>
        <v>1.35009</v>
      </c>
      <c r="J74" s="820">
        <f>J$72*(1+'Assumption Inputs'!$J$7)</f>
        <v>1.35009</v>
      </c>
      <c r="K74" s="820">
        <f>K$72*(1+'Assumption Inputs'!$J$7)</f>
        <v>1.35009</v>
      </c>
      <c r="L74" s="820">
        <f>L$72*(1+'Assumption Inputs'!$J$7)</f>
        <v>1.35009</v>
      </c>
      <c r="M74" s="820">
        <f>M$72*(1+'Assumption Inputs'!$J$7)</f>
        <v>1.35009</v>
      </c>
      <c r="N74" s="820">
        <f>N$72*(1+'Assumption Inputs'!$J$7)</f>
        <v>1.35009</v>
      </c>
      <c r="O74" s="820">
        <f>O$72*(1+'Assumption Inputs'!$J$7)</f>
        <v>1.35009</v>
      </c>
      <c r="P74" s="820">
        <f>P$72*(1+'Assumption Inputs'!$J$7)</f>
        <v>1.35009</v>
      </c>
      <c r="Q74" s="820">
        <f>Q$72*(1+'Assumption Inputs'!$J$7)</f>
        <v>1.35009</v>
      </c>
      <c r="R74" s="820">
        <f>R$72*(1+'Assumption Inputs'!$J$7)</f>
        <v>1.35009</v>
      </c>
      <c r="S74" s="820">
        <f>S$72*(1+'Assumption Inputs'!$J$7)</f>
        <v>1.35009</v>
      </c>
      <c r="T74" s="820">
        <f>T$72*(1+'Assumption Inputs'!$J$7)</f>
        <v>1.35009</v>
      </c>
      <c r="U74" s="820">
        <f>U$72*(1+'Assumption Inputs'!$J$7)</f>
        <v>1.35009</v>
      </c>
      <c r="V74" s="820">
        <f>V$72*(1+'Assumption Inputs'!$J$7)</f>
        <v>1.35009</v>
      </c>
      <c r="W74" s="820">
        <f>W$72*(1+'Assumption Inputs'!$J$7)</f>
        <v>1.35009</v>
      </c>
      <c r="X74" s="820">
        <f>X$72*(1+'Assumption Inputs'!$J$7)</f>
        <v>1.35009</v>
      </c>
      <c r="Y74" s="820">
        <f>Y$72*(1+'Assumption Inputs'!$J$7)</f>
        <v>1.35009</v>
      </c>
      <c r="Z74" s="820">
        <f>Z$72*(1+'Assumption Inputs'!$J$7)</f>
        <v>1.35009</v>
      </c>
      <c r="AA74" s="820">
        <f>AA$72*(1+'Assumption Inputs'!$J$7)</f>
        <v>1.35009</v>
      </c>
      <c r="AB74" s="820">
        <f>AB$72*(1+'Assumption Inputs'!$J$7)</f>
        <v>1.35009</v>
      </c>
      <c r="AC74" s="820">
        <f>AC$72*(1+'Assumption Inputs'!$J$7)</f>
        <v>1.35009</v>
      </c>
      <c r="AD74" s="820">
        <f>AD$72*(1+'Assumption Inputs'!$J$7)</f>
        <v>1.35009</v>
      </c>
      <c r="AE74" s="820">
        <f>AE$72*(1+'Assumption Inputs'!$J$7)</f>
        <v>1.35009</v>
      </c>
      <c r="AF74" s="832">
        <f>AF$72*(1+'Assumption Inputs'!$J$7)</f>
        <v>1.35009</v>
      </c>
    </row>
    <row r="75" spans="2:32">
      <c r="C75" s="802" t="str">
        <f>[9]GenAssums!$I$20&amp;": "&amp;TEXT([9]GenAssums!$K$20,"+0.0%;-0.0%")</f>
        <v>Worst Case: -5.0%</v>
      </c>
      <c r="D75" s="833">
        <f>D$72*(1+'Assumption Inputs'!$J$8)</f>
        <v>1.2215100000000001</v>
      </c>
      <c r="E75" s="643">
        <f>E$72*(1+'Assumption Inputs'!$J$8)</f>
        <v>1.2215100000000001</v>
      </c>
      <c r="F75" s="643">
        <f>F$72*(1+'Assumption Inputs'!$J$8)</f>
        <v>1.2215100000000001</v>
      </c>
      <c r="G75" s="643">
        <f>G$72*(1+'Assumption Inputs'!$J$8)</f>
        <v>1.2215100000000001</v>
      </c>
      <c r="H75" s="643">
        <f>H$72*(1+'Assumption Inputs'!$J$8)</f>
        <v>1.2215100000000001</v>
      </c>
      <c r="I75" s="643">
        <f>I$72*(1+'Assumption Inputs'!$J$8)</f>
        <v>1.2215100000000001</v>
      </c>
      <c r="J75" s="643">
        <f>J$72*(1+'Assumption Inputs'!$J$8)</f>
        <v>1.2215100000000001</v>
      </c>
      <c r="K75" s="643">
        <f>K$72*(1+'Assumption Inputs'!$J$8)</f>
        <v>1.2215100000000001</v>
      </c>
      <c r="L75" s="643">
        <f>L$72*(1+'Assumption Inputs'!$J$8)</f>
        <v>1.2215100000000001</v>
      </c>
      <c r="M75" s="643">
        <f>M$72*(1+'Assumption Inputs'!$J$8)</f>
        <v>1.2215100000000001</v>
      </c>
      <c r="N75" s="643">
        <f>N$72*(1+'Assumption Inputs'!$J$8)</f>
        <v>1.2215100000000001</v>
      </c>
      <c r="O75" s="643">
        <f>O$72*(1+'Assumption Inputs'!$J$8)</f>
        <v>1.2215100000000001</v>
      </c>
      <c r="P75" s="643">
        <f>P$72*(1+'Assumption Inputs'!$J$8)</f>
        <v>1.2215100000000001</v>
      </c>
      <c r="Q75" s="643">
        <f>Q$72*(1+'Assumption Inputs'!$J$8)</f>
        <v>1.2215100000000001</v>
      </c>
      <c r="R75" s="643">
        <f>R$72*(1+'Assumption Inputs'!$J$8)</f>
        <v>1.2215100000000001</v>
      </c>
      <c r="S75" s="643">
        <f>S$72*(1+'Assumption Inputs'!$J$8)</f>
        <v>1.2215100000000001</v>
      </c>
      <c r="T75" s="643">
        <f>T$72*(1+'Assumption Inputs'!$J$8)</f>
        <v>1.2215100000000001</v>
      </c>
      <c r="U75" s="643">
        <f>U$72*(1+'Assumption Inputs'!$J$8)</f>
        <v>1.2215100000000001</v>
      </c>
      <c r="V75" s="643">
        <f>V$72*(1+'Assumption Inputs'!$J$8)</f>
        <v>1.2215100000000001</v>
      </c>
      <c r="W75" s="643">
        <f>W$72*(1+'Assumption Inputs'!$J$8)</f>
        <v>1.2215100000000001</v>
      </c>
      <c r="X75" s="643">
        <f>X$72*(1+'Assumption Inputs'!$J$8)</f>
        <v>1.2215100000000001</v>
      </c>
      <c r="Y75" s="643">
        <f>Y$72*(1+'Assumption Inputs'!$J$8)</f>
        <v>1.2215100000000001</v>
      </c>
      <c r="Z75" s="643">
        <f>Z$72*(1+'Assumption Inputs'!$J$8)</f>
        <v>1.2215100000000001</v>
      </c>
      <c r="AA75" s="643">
        <f>AA$72*(1+'Assumption Inputs'!$J$8)</f>
        <v>1.2215100000000001</v>
      </c>
      <c r="AB75" s="643">
        <f>AB$72*(1+'Assumption Inputs'!$J$8)</f>
        <v>1.2215100000000001</v>
      </c>
      <c r="AC75" s="643">
        <f>AC$72*(1+'Assumption Inputs'!$J$8)</f>
        <v>1.2215100000000001</v>
      </c>
      <c r="AD75" s="643">
        <f>AD$72*(1+'Assumption Inputs'!$J$8)</f>
        <v>1.2215100000000001</v>
      </c>
      <c r="AE75" s="643">
        <f>AE$72*(1+'Assumption Inputs'!$J$8)</f>
        <v>1.2215100000000001</v>
      </c>
      <c r="AF75" s="834">
        <f>AF$72*(1+'Assumption Inputs'!$J$8)</f>
        <v>1.2215100000000001</v>
      </c>
    </row>
    <row r="77" spans="2:32" s="929" customFormat="1"/>
    <row r="78" spans="2:32" s="929" customFormat="1"/>
    <row r="80" spans="2:32">
      <c r="B80" s="798" t="s">
        <v>665</v>
      </c>
      <c r="C80" s="799"/>
    </row>
    <row r="81" spans="2:32">
      <c r="B81" s="800"/>
      <c r="C81" s="801"/>
    </row>
    <row r="82" spans="2:32">
      <c r="B82" s="801" t="s">
        <v>855</v>
      </c>
      <c r="C82" s="802" t="s">
        <v>854</v>
      </c>
      <c r="D82" s="934">
        <v>2200</v>
      </c>
      <c r="E82" s="934">
        <f>D82</f>
        <v>2200</v>
      </c>
      <c r="F82" s="934">
        <f t="shared" ref="F82:AF82" si="27">E82</f>
        <v>2200</v>
      </c>
      <c r="G82" s="934">
        <f>F82</f>
        <v>2200</v>
      </c>
      <c r="H82" s="934">
        <f t="shared" si="27"/>
        <v>2200</v>
      </c>
      <c r="I82" s="934">
        <f t="shared" si="27"/>
        <v>2200</v>
      </c>
      <c r="J82" s="934">
        <f t="shared" si="27"/>
        <v>2200</v>
      </c>
      <c r="K82" s="934">
        <f t="shared" si="27"/>
        <v>2200</v>
      </c>
      <c r="L82" s="934">
        <f t="shared" si="27"/>
        <v>2200</v>
      </c>
      <c r="M82" s="934">
        <f t="shared" si="27"/>
        <v>2200</v>
      </c>
      <c r="N82" s="934">
        <f t="shared" si="27"/>
        <v>2200</v>
      </c>
      <c r="O82" s="934">
        <f t="shared" si="27"/>
        <v>2200</v>
      </c>
      <c r="P82" s="934">
        <f t="shared" si="27"/>
        <v>2200</v>
      </c>
      <c r="Q82" s="934">
        <f t="shared" si="27"/>
        <v>2200</v>
      </c>
      <c r="R82" s="934">
        <f t="shared" si="27"/>
        <v>2200</v>
      </c>
      <c r="S82" s="934">
        <f t="shared" si="27"/>
        <v>2200</v>
      </c>
      <c r="T82" s="934">
        <f t="shared" si="27"/>
        <v>2200</v>
      </c>
      <c r="U82" s="934">
        <f t="shared" si="27"/>
        <v>2200</v>
      </c>
      <c r="V82" s="934">
        <f t="shared" si="27"/>
        <v>2200</v>
      </c>
      <c r="W82" s="934">
        <f t="shared" si="27"/>
        <v>2200</v>
      </c>
      <c r="X82" s="934">
        <f t="shared" si="27"/>
        <v>2200</v>
      </c>
      <c r="Y82" s="934">
        <f t="shared" si="27"/>
        <v>2200</v>
      </c>
      <c r="Z82" s="934">
        <f t="shared" si="27"/>
        <v>2200</v>
      </c>
      <c r="AA82" s="934">
        <f t="shared" si="27"/>
        <v>2200</v>
      </c>
      <c r="AB82" s="934">
        <f t="shared" si="27"/>
        <v>2200</v>
      </c>
      <c r="AC82" s="934">
        <f t="shared" si="27"/>
        <v>2200</v>
      </c>
      <c r="AD82" s="934">
        <f t="shared" si="27"/>
        <v>2200</v>
      </c>
      <c r="AE82" s="934">
        <f t="shared" si="27"/>
        <v>2200</v>
      </c>
      <c r="AF82" s="934">
        <f t="shared" si="27"/>
        <v>2200</v>
      </c>
    </row>
    <row r="83" spans="2:32">
      <c r="B83" s="801"/>
      <c r="C83" s="637" t="s">
        <v>671</v>
      </c>
      <c r="D83" s="638">
        <f>SUM(D84:D85)</f>
        <v>1.6984999999999901</v>
      </c>
      <c r="E83" s="638">
        <f t="shared" ref="E83:AF83" si="28">SUM(E84:E85)</f>
        <v>30</v>
      </c>
      <c r="F83" s="638">
        <f t="shared" si="28"/>
        <v>27.5</v>
      </c>
      <c r="G83" s="638">
        <f t="shared" si="28"/>
        <v>25</v>
      </c>
      <c r="H83" s="638">
        <f t="shared" si="28"/>
        <v>17.507999999999992</v>
      </c>
      <c r="I83" s="638">
        <f t="shared" si="28"/>
        <v>17.507999999999992</v>
      </c>
      <c r="J83" s="638">
        <f t="shared" si="28"/>
        <v>17.507999999999992</v>
      </c>
      <c r="K83" s="638">
        <f t="shared" si="28"/>
        <v>17.507999999999992</v>
      </c>
      <c r="L83" s="638">
        <f t="shared" si="28"/>
        <v>17.507999999999992</v>
      </c>
      <c r="M83" s="638">
        <f t="shared" si="28"/>
        <v>17.507999999999992</v>
      </c>
      <c r="N83" s="638">
        <f t="shared" si="28"/>
        <v>17.507999999999992</v>
      </c>
      <c r="O83" s="638">
        <f t="shared" si="28"/>
        <v>17.507999999999992</v>
      </c>
      <c r="P83" s="638">
        <f t="shared" si="28"/>
        <v>17.507999999999992</v>
      </c>
      <c r="Q83" s="638">
        <f t="shared" si="28"/>
        <v>17.507999999999992</v>
      </c>
      <c r="R83" s="638">
        <f t="shared" si="28"/>
        <v>17.507999999999992</v>
      </c>
      <c r="S83" s="638">
        <f t="shared" si="28"/>
        <v>17.507999999999992</v>
      </c>
      <c r="T83" s="638">
        <f t="shared" si="28"/>
        <v>17.507999999999992</v>
      </c>
      <c r="U83" s="638">
        <f t="shared" si="28"/>
        <v>17.507999999999992</v>
      </c>
      <c r="V83" s="638">
        <f t="shared" si="28"/>
        <v>17.507999999999992</v>
      </c>
      <c r="W83" s="638">
        <f t="shared" si="28"/>
        <v>17.507999999999992</v>
      </c>
      <c r="X83" s="638">
        <f t="shared" si="28"/>
        <v>17.507999999999992</v>
      </c>
      <c r="Y83" s="638">
        <f t="shared" si="28"/>
        <v>17.507999999999992</v>
      </c>
      <c r="Z83" s="638">
        <f t="shared" si="28"/>
        <v>17.507999999999992</v>
      </c>
      <c r="AA83" s="638">
        <f t="shared" si="28"/>
        <v>17.507999999999992</v>
      </c>
      <c r="AB83" s="638">
        <f t="shared" si="28"/>
        <v>17.507999999999992</v>
      </c>
      <c r="AC83" s="638">
        <f t="shared" si="28"/>
        <v>17.507999999999992</v>
      </c>
      <c r="AD83" s="638">
        <f t="shared" si="28"/>
        <v>17.507999999999992</v>
      </c>
      <c r="AE83" s="638">
        <f t="shared" si="28"/>
        <v>17.507999999999992</v>
      </c>
      <c r="AF83" s="638">
        <f t="shared" si="28"/>
        <v>17.507999999999992</v>
      </c>
    </row>
    <row r="84" spans="2:32" s="933" customFormat="1" ht="14.5">
      <c r="B84" s="931"/>
      <c r="C84" s="932" t="s">
        <v>669</v>
      </c>
      <c r="D84" s="636" t="str">
        <f>IF((D22*2204.6)&lt;D82,((D82-(D22*2204.6))*0.02)*-1,"")</f>
        <v/>
      </c>
      <c r="E84" s="636" t="str">
        <f t="shared" ref="E84:AF84" si="29">IF((E22*2204.6)&lt;E82,((E82-(E22*2204.6))*0.02)*-1,"")</f>
        <v/>
      </c>
      <c r="F84" s="636" t="str">
        <f t="shared" si="29"/>
        <v/>
      </c>
      <c r="G84" s="636" t="str">
        <f t="shared" si="29"/>
        <v/>
      </c>
      <c r="H84" s="636" t="str">
        <f t="shared" si="29"/>
        <v/>
      </c>
      <c r="I84" s="636" t="str">
        <f t="shared" si="29"/>
        <v/>
      </c>
      <c r="J84" s="636" t="str">
        <f t="shared" si="29"/>
        <v/>
      </c>
      <c r="K84" s="636" t="str">
        <f t="shared" si="29"/>
        <v/>
      </c>
      <c r="L84" s="636" t="str">
        <f t="shared" si="29"/>
        <v/>
      </c>
      <c r="M84" s="636" t="str">
        <f t="shared" si="29"/>
        <v/>
      </c>
      <c r="N84" s="636" t="str">
        <f t="shared" si="29"/>
        <v/>
      </c>
      <c r="O84" s="636" t="str">
        <f t="shared" si="29"/>
        <v/>
      </c>
      <c r="P84" s="636" t="str">
        <f t="shared" si="29"/>
        <v/>
      </c>
      <c r="Q84" s="636" t="str">
        <f t="shared" si="29"/>
        <v/>
      </c>
      <c r="R84" s="636" t="str">
        <f t="shared" si="29"/>
        <v/>
      </c>
      <c r="S84" s="636" t="str">
        <f t="shared" si="29"/>
        <v/>
      </c>
      <c r="T84" s="636" t="str">
        <f t="shared" si="29"/>
        <v/>
      </c>
      <c r="U84" s="636" t="str">
        <f t="shared" si="29"/>
        <v/>
      </c>
      <c r="V84" s="636" t="str">
        <f t="shared" si="29"/>
        <v/>
      </c>
      <c r="W84" s="636" t="str">
        <f t="shared" si="29"/>
        <v/>
      </c>
      <c r="X84" s="636" t="str">
        <f t="shared" si="29"/>
        <v/>
      </c>
      <c r="Y84" s="636" t="str">
        <f t="shared" si="29"/>
        <v/>
      </c>
      <c r="Z84" s="636" t="str">
        <f t="shared" si="29"/>
        <v/>
      </c>
      <c r="AA84" s="636" t="str">
        <f t="shared" si="29"/>
        <v/>
      </c>
      <c r="AB84" s="636" t="str">
        <f t="shared" si="29"/>
        <v/>
      </c>
      <c r="AC84" s="636" t="str">
        <f t="shared" si="29"/>
        <v/>
      </c>
      <c r="AD84" s="636" t="str">
        <f t="shared" si="29"/>
        <v/>
      </c>
      <c r="AE84" s="636" t="str">
        <f t="shared" si="29"/>
        <v/>
      </c>
      <c r="AF84" s="636" t="str">
        <f t="shared" si="29"/>
        <v/>
      </c>
    </row>
    <row r="85" spans="2:32" s="933" customFormat="1" ht="14.5">
      <c r="C85" s="932" t="s">
        <v>670</v>
      </c>
      <c r="D85" s="636">
        <f>IF((D22*2204.6)&gt;D82,(((D22*2204.6)-D82)*0.05),"")</f>
        <v>1.6984999999999901</v>
      </c>
      <c r="E85" s="636">
        <f t="shared" ref="E85:AF85" si="30">IF((E22*2204.6)&gt;E82,(((E22*2204.6)-E82)*0.05),"")</f>
        <v>30</v>
      </c>
      <c r="F85" s="636">
        <f t="shared" si="30"/>
        <v>27.5</v>
      </c>
      <c r="G85" s="636">
        <f t="shared" si="30"/>
        <v>25</v>
      </c>
      <c r="H85" s="636">
        <f t="shared" si="30"/>
        <v>17.507999999999992</v>
      </c>
      <c r="I85" s="636">
        <f t="shared" si="30"/>
        <v>17.507999999999992</v>
      </c>
      <c r="J85" s="636">
        <f t="shared" si="30"/>
        <v>17.507999999999992</v>
      </c>
      <c r="K85" s="636">
        <f t="shared" si="30"/>
        <v>17.507999999999992</v>
      </c>
      <c r="L85" s="636">
        <f t="shared" si="30"/>
        <v>17.507999999999992</v>
      </c>
      <c r="M85" s="636">
        <f t="shared" si="30"/>
        <v>17.507999999999992</v>
      </c>
      <c r="N85" s="636">
        <f t="shared" si="30"/>
        <v>17.507999999999992</v>
      </c>
      <c r="O85" s="636">
        <f t="shared" si="30"/>
        <v>17.507999999999992</v>
      </c>
      <c r="P85" s="636">
        <f t="shared" si="30"/>
        <v>17.507999999999992</v>
      </c>
      <c r="Q85" s="636">
        <f t="shared" si="30"/>
        <v>17.507999999999992</v>
      </c>
      <c r="R85" s="636">
        <f t="shared" si="30"/>
        <v>17.507999999999992</v>
      </c>
      <c r="S85" s="636">
        <f t="shared" si="30"/>
        <v>17.507999999999992</v>
      </c>
      <c r="T85" s="636">
        <f t="shared" si="30"/>
        <v>17.507999999999992</v>
      </c>
      <c r="U85" s="636">
        <f t="shared" si="30"/>
        <v>17.507999999999992</v>
      </c>
      <c r="V85" s="636">
        <f t="shared" si="30"/>
        <v>17.507999999999992</v>
      </c>
      <c r="W85" s="636">
        <f t="shared" si="30"/>
        <v>17.507999999999992</v>
      </c>
      <c r="X85" s="636">
        <f t="shared" si="30"/>
        <v>17.507999999999992</v>
      </c>
      <c r="Y85" s="636">
        <f t="shared" si="30"/>
        <v>17.507999999999992</v>
      </c>
      <c r="Z85" s="636">
        <f t="shared" si="30"/>
        <v>17.507999999999992</v>
      </c>
      <c r="AA85" s="636">
        <f t="shared" si="30"/>
        <v>17.507999999999992</v>
      </c>
      <c r="AB85" s="636">
        <f t="shared" si="30"/>
        <v>17.507999999999992</v>
      </c>
      <c r="AC85" s="636">
        <f t="shared" si="30"/>
        <v>17.507999999999992</v>
      </c>
      <c r="AD85" s="636">
        <f t="shared" si="30"/>
        <v>17.507999999999992</v>
      </c>
      <c r="AE85" s="636">
        <f t="shared" si="30"/>
        <v>17.507999999999992</v>
      </c>
      <c r="AF85" s="636">
        <f t="shared" si="30"/>
        <v>17.507999999999992</v>
      </c>
    </row>
    <row r="86" spans="2:32">
      <c r="C86" s="1" t="s">
        <v>856</v>
      </c>
      <c r="D86" s="803">
        <v>298</v>
      </c>
      <c r="E86" s="803">
        <f>D86</f>
        <v>298</v>
      </c>
      <c r="F86" s="803">
        <f t="shared" ref="F86:AF86" si="31">E86</f>
        <v>298</v>
      </c>
      <c r="G86" s="803">
        <f t="shared" si="31"/>
        <v>298</v>
      </c>
      <c r="H86" s="803">
        <f t="shared" si="31"/>
        <v>298</v>
      </c>
      <c r="I86" s="803">
        <f t="shared" si="31"/>
        <v>298</v>
      </c>
      <c r="J86" s="803">
        <f t="shared" si="31"/>
        <v>298</v>
      </c>
      <c r="K86" s="803">
        <f t="shared" si="31"/>
        <v>298</v>
      </c>
      <c r="L86" s="803">
        <f t="shared" si="31"/>
        <v>298</v>
      </c>
      <c r="M86" s="803">
        <f t="shared" si="31"/>
        <v>298</v>
      </c>
      <c r="N86" s="803">
        <f t="shared" si="31"/>
        <v>298</v>
      </c>
      <c r="O86" s="803">
        <f t="shared" si="31"/>
        <v>298</v>
      </c>
      <c r="P86" s="803">
        <f t="shared" si="31"/>
        <v>298</v>
      </c>
      <c r="Q86" s="803">
        <f t="shared" si="31"/>
        <v>298</v>
      </c>
      <c r="R86" s="803">
        <f t="shared" si="31"/>
        <v>298</v>
      </c>
      <c r="S86" s="803">
        <f t="shared" si="31"/>
        <v>298</v>
      </c>
      <c r="T86" s="803">
        <f t="shared" si="31"/>
        <v>298</v>
      </c>
      <c r="U86" s="803">
        <f t="shared" si="31"/>
        <v>298</v>
      </c>
      <c r="V86" s="803">
        <f t="shared" si="31"/>
        <v>298</v>
      </c>
      <c r="W86" s="803">
        <f t="shared" si="31"/>
        <v>298</v>
      </c>
      <c r="X86" s="803">
        <f t="shared" si="31"/>
        <v>298</v>
      </c>
      <c r="Y86" s="803">
        <f t="shared" si="31"/>
        <v>298</v>
      </c>
      <c r="Z86" s="803">
        <f t="shared" si="31"/>
        <v>298</v>
      </c>
      <c r="AA86" s="803">
        <f t="shared" si="31"/>
        <v>298</v>
      </c>
      <c r="AB86" s="803">
        <f t="shared" si="31"/>
        <v>298</v>
      </c>
      <c r="AC86" s="803">
        <f t="shared" si="31"/>
        <v>298</v>
      </c>
      <c r="AD86" s="803">
        <f t="shared" si="31"/>
        <v>298</v>
      </c>
      <c r="AE86" s="803">
        <f t="shared" si="31"/>
        <v>298</v>
      </c>
      <c r="AF86" s="803">
        <f t="shared" si="31"/>
        <v>298</v>
      </c>
    </row>
    <row r="87" spans="2:32">
      <c r="C87" s="1" t="s">
        <v>857</v>
      </c>
      <c r="D87" s="930">
        <f>D86+D83</f>
        <v>299.69849999999997</v>
      </c>
      <c r="E87" s="930">
        <f t="shared" ref="E87:AF87" si="32">E86+E83</f>
        <v>328</v>
      </c>
      <c r="F87" s="930">
        <f t="shared" si="32"/>
        <v>325.5</v>
      </c>
      <c r="G87" s="930">
        <f t="shared" si="32"/>
        <v>323</v>
      </c>
      <c r="H87" s="930">
        <f t="shared" si="32"/>
        <v>315.50799999999998</v>
      </c>
      <c r="I87" s="930">
        <f t="shared" si="32"/>
        <v>315.50799999999998</v>
      </c>
      <c r="J87" s="930">
        <f t="shared" si="32"/>
        <v>315.50799999999998</v>
      </c>
      <c r="K87" s="930">
        <f t="shared" si="32"/>
        <v>315.50799999999998</v>
      </c>
      <c r="L87" s="930">
        <f t="shared" si="32"/>
        <v>315.50799999999998</v>
      </c>
      <c r="M87" s="930">
        <f t="shared" si="32"/>
        <v>315.50799999999998</v>
      </c>
      <c r="N87" s="930">
        <f t="shared" si="32"/>
        <v>315.50799999999998</v>
      </c>
      <c r="O87" s="930">
        <f t="shared" si="32"/>
        <v>315.50799999999998</v>
      </c>
      <c r="P87" s="930">
        <f t="shared" si="32"/>
        <v>315.50799999999998</v>
      </c>
      <c r="Q87" s="930">
        <f t="shared" si="32"/>
        <v>315.50799999999998</v>
      </c>
      <c r="R87" s="930">
        <f t="shared" si="32"/>
        <v>315.50799999999998</v>
      </c>
      <c r="S87" s="930">
        <f t="shared" si="32"/>
        <v>315.50799999999998</v>
      </c>
      <c r="T87" s="930">
        <f t="shared" si="32"/>
        <v>315.50799999999998</v>
      </c>
      <c r="U87" s="930">
        <f t="shared" si="32"/>
        <v>315.50799999999998</v>
      </c>
      <c r="V87" s="930">
        <f t="shared" si="32"/>
        <v>315.50799999999998</v>
      </c>
      <c r="W87" s="930">
        <f t="shared" si="32"/>
        <v>315.50799999999998</v>
      </c>
      <c r="X87" s="930">
        <f t="shared" si="32"/>
        <v>315.50799999999998</v>
      </c>
      <c r="Y87" s="930">
        <f t="shared" si="32"/>
        <v>315.50799999999998</v>
      </c>
      <c r="Z87" s="930">
        <f t="shared" si="32"/>
        <v>315.50799999999998</v>
      </c>
      <c r="AA87" s="930">
        <f t="shared" si="32"/>
        <v>315.50799999999998</v>
      </c>
      <c r="AB87" s="930">
        <f t="shared" si="32"/>
        <v>315.50799999999998</v>
      </c>
      <c r="AC87" s="930">
        <f t="shared" si="32"/>
        <v>315.50799999999998</v>
      </c>
      <c r="AD87" s="930">
        <f t="shared" si="32"/>
        <v>315.50799999999998</v>
      </c>
      <c r="AE87" s="930">
        <f t="shared" si="32"/>
        <v>315.50799999999998</v>
      </c>
      <c r="AF87" s="930">
        <f t="shared" si="32"/>
        <v>315.50799999999998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81" r:id="rId4" name="Drop Down 1">
              <controlPr defaultSize="0" autoLine="0" autoPict="0">
                <anchor moveWithCells="1">
                  <from>
                    <xdr:col>2</xdr:col>
                    <xdr:colOff>222250</xdr:colOff>
                    <xdr:row>2</xdr:row>
                    <xdr:rowOff>19050</xdr:rowOff>
                  </from>
                  <to>
                    <xdr:col>2</xdr:col>
                    <xdr:colOff>1574800</xdr:colOff>
                    <xdr:row>3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1:J3"/>
  <sheetViews>
    <sheetView workbookViewId="0">
      <selection activeCell="H2" sqref="H2"/>
    </sheetView>
  </sheetViews>
  <sheetFormatPr defaultRowHeight="14"/>
  <cols>
    <col min="2" max="2" width="29.25" bestFit="1" customWidth="1"/>
    <col min="3" max="5" width="9.5" bestFit="1" customWidth="1"/>
    <col min="6" max="8" width="8.83203125" bestFit="1" customWidth="1"/>
  </cols>
  <sheetData>
    <row r="1" spans="2:10"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</row>
    <row r="2" spans="2:10">
      <c r="B2" t="s">
        <v>904</v>
      </c>
      <c r="C2" s="549">
        <v>-2579.2300031545637</v>
      </c>
      <c r="D2" s="549">
        <v>-2518.2594032486904</v>
      </c>
      <c r="E2" s="549">
        <v>-1060.3512514931447</v>
      </c>
      <c r="F2" s="549">
        <v>1029.5546261104701</v>
      </c>
      <c r="G2" s="549">
        <v>1760.6226982806822</v>
      </c>
      <c r="H2" s="549">
        <v>1872.617209456603</v>
      </c>
      <c r="I2" s="549">
        <v>1850.5705612699546</v>
      </c>
      <c r="J2" s="549">
        <v>1470.5553789306146</v>
      </c>
    </row>
    <row r="3" spans="2:10">
      <c r="B3" t="s">
        <v>903</v>
      </c>
      <c r="C3" s="549">
        <v>-2669.6137021128438</v>
      </c>
      <c r="D3" s="549">
        <v>-2978.1818419216547</v>
      </c>
      <c r="E3" s="549">
        <v>-1888.374112633659</v>
      </c>
      <c r="F3" s="549">
        <v>-57.648105992157298</v>
      </c>
      <c r="G3" s="549">
        <v>64.402125003214366</v>
      </c>
      <c r="H3" s="549">
        <v>77.511932832649933</v>
      </c>
      <c r="I3" s="549">
        <v>55.482941217177455</v>
      </c>
      <c r="J3" s="549">
        <v>-324.51956442820688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Q80"/>
  <sheetViews>
    <sheetView zoomScale="60" zoomScaleNormal="60" workbookViewId="0">
      <selection activeCell="AI14" sqref="AI14"/>
    </sheetView>
  </sheetViews>
  <sheetFormatPr defaultColWidth="8.58203125" defaultRowHeight="14"/>
  <cols>
    <col min="1" max="1" width="32" bestFit="1" customWidth="1"/>
    <col min="2" max="2" width="9.08203125" style="625" bestFit="1" customWidth="1"/>
    <col min="3" max="5" width="9.5" style="625" bestFit="1" customWidth="1"/>
    <col min="6" max="6" width="9.33203125" style="625" bestFit="1" customWidth="1"/>
    <col min="7" max="7" width="9.5" style="625" bestFit="1" customWidth="1"/>
    <col min="8" max="8" width="9.33203125" style="625" bestFit="1" customWidth="1"/>
    <col min="9" max="10" width="9.5" style="625" bestFit="1" customWidth="1"/>
    <col min="11" max="13" width="10.33203125" style="625" bestFit="1" customWidth="1"/>
    <col min="14" max="14" width="9.33203125" style="625" bestFit="1" customWidth="1"/>
    <col min="15" max="15" width="9.5" style="625" bestFit="1" customWidth="1"/>
    <col min="16" max="16" width="9.33203125" style="625" bestFit="1" customWidth="1"/>
    <col min="17" max="19" width="9.5" style="625" bestFit="1" customWidth="1"/>
    <col min="20" max="20" width="9.33203125" style="625" bestFit="1" customWidth="1"/>
    <col min="21" max="22" width="9.5" style="625" bestFit="1" customWidth="1"/>
    <col min="23" max="25" width="10.33203125" style="625" bestFit="1" customWidth="1"/>
    <col min="26" max="26" width="9.33203125" style="625" bestFit="1" customWidth="1"/>
    <col min="27" max="27" width="9.5" style="625" bestFit="1" customWidth="1"/>
    <col min="28" max="28" width="9.33203125" style="625" bestFit="1" customWidth="1"/>
    <col min="29" max="31" width="9.5" style="625" bestFit="1" customWidth="1"/>
    <col min="32" max="33" width="9.33203125" style="625" bestFit="1" customWidth="1"/>
    <col min="34" max="34" width="9.5" style="625" bestFit="1" customWidth="1"/>
    <col min="35" max="37" width="10.33203125" style="625" bestFit="1" customWidth="1"/>
    <col min="38" max="38" width="9.33203125" style="625" bestFit="1" customWidth="1"/>
    <col min="39" max="39" width="9.5" style="625" bestFit="1" customWidth="1"/>
    <col min="40" max="40" width="9.33203125" style="625" bestFit="1" customWidth="1"/>
    <col min="41" max="41" width="9.5" style="625" bestFit="1" customWidth="1"/>
    <col min="42" max="42" width="9.33203125" style="625" bestFit="1" customWidth="1"/>
    <col min="43" max="44" width="9.5" style="625" bestFit="1" customWidth="1"/>
    <col min="45" max="45" width="9.33203125" style="625" bestFit="1" customWidth="1"/>
    <col min="46" max="46" width="9.5" style="625" bestFit="1" customWidth="1"/>
    <col min="47" max="49" width="10.33203125" style="625" bestFit="1" customWidth="1"/>
    <col min="50" max="50" width="9.33203125" style="625" bestFit="1" customWidth="1"/>
    <col min="51" max="51" width="9.5" style="625" bestFit="1" customWidth="1"/>
    <col min="52" max="52" width="9.33203125" style="625" bestFit="1" customWidth="1"/>
    <col min="53" max="53" width="9.5" style="625" bestFit="1" customWidth="1"/>
    <col min="54" max="54" width="9.33203125" style="625" bestFit="1" customWidth="1"/>
    <col min="55" max="55" width="9.5" style="625" bestFit="1" customWidth="1"/>
    <col min="56" max="57" width="9.33203125" style="625" bestFit="1" customWidth="1"/>
    <col min="58" max="58" width="9.5" style="625" bestFit="1" customWidth="1"/>
    <col min="59" max="61" width="10.33203125" style="625" bestFit="1" customWidth="1"/>
    <col min="62" max="62" width="9.33203125" style="625" bestFit="1" customWidth="1"/>
    <col min="63" max="65" width="9.5" style="625" bestFit="1" customWidth="1"/>
    <col min="66" max="66" width="9.33203125" style="625" bestFit="1" customWidth="1"/>
    <col min="67" max="67" width="9.5" style="625" bestFit="1" customWidth="1"/>
    <col min="68" max="69" width="9.33203125" style="625" bestFit="1" customWidth="1"/>
    <col min="70" max="70" width="9.5" style="625" bestFit="1" customWidth="1"/>
    <col min="71" max="73" width="10.33203125" style="625" bestFit="1" customWidth="1"/>
    <col min="74" max="74" width="9.33203125" style="625" bestFit="1" customWidth="1"/>
    <col min="75" max="77" width="9.5" style="625" bestFit="1" customWidth="1"/>
    <col min="78" max="78" width="9.33203125" style="625" bestFit="1" customWidth="1"/>
    <col min="79" max="79" width="9.5" style="625" bestFit="1" customWidth="1"/>
    <col min="80" max="80" width="9.33203125" style="625" bestFit="1" customWidth="1"/>
    <col min="81" max="82" width="9.5" style="625" bestFit="1" customWidth="1"/>
    <col min="83" max="85" width="10.33203125" style="625" bestFit="1" customWidth="1"/>
    <col min="86" max="86" width="9.33203125" style="625" bestFit="1" customWidth="1"/>
    <col min="87" max="87" width="10" style="625" bestFit="1" customWidth="1"/>
    <col min="88" max="88" width="9.5" style="625" bestFit="1" customWidth="1"/>
    <col min="89" max="91" width="10" style="625" bestFit="1" customWidth="1"/>
    <col min="92" max="93" width="9.5" style="625" bestFit="1" customWidth="1"/>
    <col min="94" max="94" width="9.83203125" style="625" bestFit="1" customWidth="1"/>
    <col min="95" max="95" width="10.5" style="625" bestFit="1" customWidth="1"/>
    <col min="96" max="97" width="10.08203125" style="625" bestFit="1" customWidth="1"/>
    <col min="98" max="98" width="9.08203125" style="625" bestFit="1" customWidth="1"/>
    <col min="99" max="99" width="9.5" style="625" bestFit="1" customWidth="1"/>
    <col min="100" max="100" width="9.08203125" style="625" bestFit="1" customWidth="1"/>
    <col min="101" max="101" width="9.5" style="625" bestFit="1" customWidth="1"/>
    <col min="102" max="102" width="9.08203125" style="625" bestFit="1" customWidth="1"/>
    <col min="103" max="103" width="9.5" style="625" bestFit="1" customWidth="1"/>
    <col min="104" max="16384" width="8.58203125" style="625"/>
  </cols>
  <sheetData>
    <row r="1" spans="1:121" s="1" customFormat="1"/>
    <row r="2" spans="1:121" s="1" customFormat="1">
      <c r="A2" s="1" t="s">
        <v>667</v>
      </c>
      <c r="B2" s="629">
        <f>_xll.BDH(A2,"pr005","01/01/2013","","per=m","dir=h","cols=104;rows=2")</f>
        <v>41305</v>
      </c>
      <c r="C2" s="629">
        <v>41333</v>
      </c>
      <c r="D2" s="629">
        <v>41362</v>
      </c>
      <c r="E2" s="629">
        <v>41394</v>
      </c>
      <c r="F2" s="629">
        <v>41425</v>
      </c>
      <c r="G2" s="629">
        <v>41453</v>
      </c>
      <c r="H2" s="629">
        <v>41486</v>
      </c>
      <c r="I2" s="629">
        <v>41516</v>
      </c>
      <c r="J2" s="629">
        <v>41547</v>
      </c>
      <c r="K2" s="629">
        <v>41578</v>
      </c>
      <c r="L2" s="629">
        <v>41607</v>
      </c>
      <c r="M2" s="629">
        <v>41639</v>
      </c>
      <c r="N2" s="629">
        <v>41670</v>
      </c>
      <c r="O2" s="629">
        <v>41698</v>
      </c>
      <c r="P2" s="629">
        <v>41729</v>
      </c>
      <c r="Q2" s="629">
        <v>41759</v>
      </c>
      <c r="R2" s="629">
        <v>41789</v>
      </c>
      <c r="S2" s="629">
        <v>41820</v>
      </c>
      <c r="T2" s="629">
        <v>41851</v>
      </c>
      <c r="U2" s="629">
        <v>41880</v>
      </c>
      <c r="V2" s="629">
        <v>41912</v>
      </c>
      <c r="W2" s="629">
        <v>41943</v>
      </c>
      <c r="X2" s="629">
        <v>41971</v>
      </c>
      <c r="Y2" s="629">
        <v>42004</v>
      </c>
      <c r="Z2" s="629">
        <v>42034</v>
      </c>
      <c r="AA2" s="629">
        <v>42062</v>
      </c>
      <c r="AB2" s="629">
        <v>42094</v>
      </c>
      <c r="AC2" s="629">
        <v>42124</v>
      </c>
      <c r="AD2" s="629">
        <v>42153</v>
      </c>
      <c r="AE2" s="629">
        <v>42185</v>
      </c>
      <c r="AF2" s="629">
        <v>42216</v>
      </c>
      <c r="AG2" s="629">
        <v>42247</v>
      </c>
      <c r="AH2" s="629">
        <v>42277</v>
      </c>
      <c r="AI2" s="629">
        <v>42307</v>
      </c>
      <c r="AJ2" s="629">
        <v>42338</v>
      </c>
      <c r="AK2" s="629">
        <v>42369</v>
      </c>
      <c r="AL2" s="629">
        <v>42398</v>
      </c>
      <c r="AM2" s="629">
        <v>42429</v>
      </c>
      <c r="AN2" s="629">
        <v>42460</v>
      </c>
      <c r="AO2" s="629">
        <v>42489</v>
      </c>
      <c r="AP2" s="629">
        <v>42521</v>
      </c>
      <c r="AQ2" s="629">
        <v>42551</v>
      </c>
      <c r="AR2" s="629">
        <v>42580</v>
      </c>
      <c r="AS2" s="629">
        <v>42613</v>
      </c>
      <c r="AT2" s="629">
        <v>42643</v>
      </c>
      <c r="AU2" s="629">
        <v>42674</v>
      </c>
      <c r="AV2" s="629">
        <v>42704</v>
      </c>
      <c r="AW2" s="629">
        <v>42734</v>
      </c>
      <c r="AX2" s="629">
        <v>42766</v>
      </c>
      <c r="AY2" s="629">
        <v>42794</v>
      </c>
      <c r="AZ2" s="629">
        <v>42825</v>
      </c>
      <c r="BA2" s="629">
        <v>42853</v>
      </c>
      <c r="BB2" s="629">
        <v>42886</v>
      </c>
      <c r="BC2" s="629">
        <v>42916</v>
      </c>
      <c r="BD2" s="629">
        <v>42947</v>
      </c>
      <c r="BE2" s="629">
        <v>42978</v>
      </c>
      <c r="BF2" s="629">
        <v>43007</v>
      </c>
      <c r="BG2" s="629">
        <v>43039</v>
      </c>
      <c r="BH2" s="629">
        <v>43069</v>
      </c>
      <c r="BI2" s="629">
        <v>43098</v>
      </c>
      <c r="BJ2" s="629">
        <v>43131</v>
      </c>
      <c r="BK2" s="629">
        <v>43159</v>
      </c>
      <c r="BL2" s="629">
        <v>43189</v>
      </c>
      <c r="BM2" s="629">
        <v>43220</v>
      </c>
      <c r="BN2" s="629">
        <v>43251</v>
      </c>
      <c r="BO2" s="629">
        <v>43280</v>
      </c>
      <c r="BP2" s="629">
        <v>43312</v>
      </c>
      <c r="BQ2" s="629">
        <v>43343</v>
      </c>
      <c r="BR2" s="629">
        <v>43371</v>
      </c>
      <c r="BS2" s="629">
        <v>43404</v>
      </c>
      <c r="BT2" s="629">
        <v>43434</v>
      </c>
      <c r="BU2" s="629">
        <v>43465</v>
      </c>
      <c r="BV2" s="629">
        <v>43496</v>
      </c>
      <c r="BW2" s="629">
        <v>43524</v>
      </c>
      <c r="BX2" s="629">
        <v>43553</v>
      </c>
      <c r="BY2" s="629">
        <v>43585</v>
      </c>
      <c r="BZ2" s="629">
        <v>43616</v>
      </c>
      <c r="CA2" s="629">
        <v>43644</v>
      </c>
      <c r="CB2" s="629">
        <v>43677</v>
      </c>
      <c r="CC2" s="629">
        <v>43707</v>
      </c>
      <c r="CD2" s="629">
        <v>43738</v>
      </c>
      <c r="CE2" s="629">
        <v>43769</v>
      </c>
      <c r="CF2" s="629">
        <v>43798</v>
      </c>
      <c r="CG2" s="629">
        <v>43830</v>
      </c>
      <c r="CH2" s="629">
        <v>43861</v>
      </c>
      <c r="CI2" s="629">
        <v>43889</v>
      </c>
      <c r="CJ2" s="629">
        <v>43921</v>
      </c>
      <c r="CK2" s="629">
        <v>43951</v>
      </c>
      <c r="CL2" s="629">
        <v>43980</v>
      </c>
      <c r="CM2" s="629">
        <v>44012</v>
      </c>
      <c r="CN2" s="629">
        <v>44043</v>
      </c>
      <c r="CO2" s="629">
        <v>44074</v>
      </c>
      <c r="CP2" s="629">
        <v>44104</v>
      </c>
      <c r="CQ2" s="629">
        <v>44134</v>
      </c>
      <c r="CR2" s="629">
        <v>44165</v>
      </c>
      <c r="CS2" s="629">
        <v>44196</v>
      </c>
      <c r="CT2" s="629">
        <v>44225</v>
      </c>
      <c r="CU2" s="629">
        <v>44253</v>
      </c>
      <c r="CV2" s="629">
        <v>44286</v>
      </c>
      <c r="CW2" s="629">
        <v>44316</v>
      </c>
      <c r="CX2" s="629">
        <v>44347</v>
      </c>
      <c r="CY2" s="629">
        <v>44377</v>
      </c>
      <c r="CZ2" s="629">
        <v>44407</v>
      </c>
      <c r="DA2" s="629">
        <v>44439</v>
      </c>
    </row>
    <row r="3" spans="1:121" s="1" customFormat="1">
      <c r="A3" s="1" t="s">
        <v>668</v>
      </c>
      <c r="B3" s="630">
        <v>2125.25</v>
      </c>
      <c r="C3" s="630">
        <v>2046.25</v>
      </c>
      <c r="D3" s="630">
        <v>1864.5</v>
      </c>
      <c r="E3" s="630">
        <v>1834.25</v>
      </c>
      <c r="F3" s="630">
        <v>1893.75</v>
      </c>
      <c r="G3" s="630">
        <v>1821</v>
      </c>
      <c r="H3" s="630">
        <v>1804</v>
      </c>
      <c r="I3" s="630">
        <v>1868.5</v>
      </c>
      <c r="J3" s="630">
        <v>1881.75</v>
      </c>
      <c r="K3" s="630">
        <v>1919</v>
      </c>
      <c r="L3" s="630">
        <v>1866</v>
      </c>
      <c r="M3" s="630">
        <v>2053</v>
      </c>
      <c r="N3" s="630">
        <v>1964</v>
      </c>
      <c r="O3" s="630">
        <v>2111</v>
      </c>
      <c r="P3" s="630">
        <v>1970.25</v>
      </c>
      <c r="Q3" s="630">
        <v>2040.25</v>
      </c>
      <c r="R3" s="630">
        <v>2055.5</v>
      </c>
      <c r="S3" s="630">
        <v>2214.25</v>
      </c>
      <c r="T3" s="630">
        <v>2377.5</v>
      </c>
      <c r="U3" s="630">
        <v>2359.25</v>
      </c>
      <c r="V3" s="630">
        <v>2281.75</v>
      </c>
      <c r="W3" s="630">
        <v>2315.5</v>
      </c>
      <c r="X3" s="630">
        <v>2212.75</v>
      </c>
      <c r="Y3" s="630">
        <v>2167</v>
      </c>
      <c r="Z3" s="630">
        <v>2119.75</v>
      </c>
      <c r="AA3" s="630">
        <v>2048.25</v>
      </c>
      <c r="AB3" s="630">
        <v>2072</v>
      </c>
      <c r="AC3" s="630">
        <v>2367</v>
      </c>
      <c r="AD3" s="630">
        <v>2182</v>
      </c>
      <c r="AE3" s="630">
        <v>1995.75</v>
      </c>
      <c r="AF3" s="630">
        <v>1912.5</v>
      </c>
      <c r="AG3" s="630">
        <v>1807.25</v>
      </c>
      <c r="AH3" s="630">
        <v>1671</v>
      </c>
      <c r="AI3" s="630">
        <v>1689</v>
      </c>
      <c r="AJ3" s="630">
        <v>1545.25</v>
      </c>
      <c r="AK3" s="630">
        <v>1592.75</v>
      </c>
      <c r="AL3" s="630">
        <v>1628</v>
      </c>
      <c r="AM3" s="630">
        <v>1758.75</v>
      </c>
      <c r="AN3" s="630">
        <v>1808</v>
      </c>
      <c r="AO3" s="630">
        <v>1933</v>
      </c>
      <c r="AP3" s="630">
        <v>1922.75</v>
      </c>
      <c r="AQ3" s="630">
        <v>2102</v>
      </c>
      <c r="AR3" s="630">
        <v>2242.5</v>
      </c>
      <c r="AS3" s="630">
        <v>2318.75</v>
      </c>
      <c r="AT3" s="630">
        <v>2377</v>
      </c>
      <c r="AU3" s="630">
        <v>2453.5</v>
      </c>
      <c r="AV3" s="630">
        <v>2688</v>
      </c>
      <c r="AW3" s="630">
        <v>2557.75</v>
      </c>
      <c r="AX3" s="630">
        <v>2852.75</v>
      </c>
      <c r="AY3" s="630">
        <v>2817.25</v>
      </c>
      <c r="AZ3" s="630">
        <v>2750.25</v>
      </c>
      <c r="BA3" s="630">
        <v>2618.5</v>
      </c>
      <c r="BB3" s="630">
        <v>2587</v>
      </c>
      <c r="BC3" s="630">
        <v>2753.25</v>
      </c>
      <c r="BD3" s="630">
        <v>2785</v>
      </c>
      <c r="BE3" s="630">
        <v>3141.5</v>
      </c>
      <c r="BF3" s="630">
        <v>3205.25</v>
      </c>
      <c r="BG3" s="630">
        <v>3322</v>
      </c>
      <c r="BH3" s="630">
        <v>3177.25</v>
      </c>
      <c r="BI3" s="630">
        <v>3337.5</v>
      </c>
      <c r="BJ3" s="630">
        <v>3595.5</v>
      </c>
      <c r="BK3" s="630">
        <v>3477</v>
      </c>
      <c r="BL3" s="630">
        <v>3284</v>
      </c>
      <c r="BM3" s="630">
        <v>3125.5</v>
      </c>
      <c r="BN3" s="630">
        <v>3097.5</v>
      </c>
      <c r="BO3" s="630">
        <v>2906.5</v>
      </c>
      <c r="BP3" s="630">
        <v>2676</v>
      </c>
      <c r="BQ3" s="630">
        <v>2461.75</v>
      </c>
      <c r="BR3" s="630">
        <v>2658.5</v>
      </c>
      <c r="BS3" s="630">
        <v>2551.75</v>
      </c>
      <c r="BT3" s="630">
        <v>2655</v>
      </c>
      <c r="BU3" s="630">
        <v>2518.5</v>
      </c>
      <c r="BV3" s="630">
        <v>2730</v>
      </c>
      <c r="BW3" s="630">
        <v>2813.5</v>
      </c>
      <c r="BX3" s="630">
        <v>2999.75</v>
      </c>
      <c r="BY3" s="630">
        <v>2960</v>
      </c>
      <c r="BZ3" s="630">
        <v>2668</v>
      </c>
      <c r="CA3" s="630">
        <v>2565</v>
      </c>
      <c r="CB3" s="630">
        <v>2441.5</v>
      </c>
      <c r="CC3" s="630">
        <v>2212</v>
      </c>
      <c r="CD3" s="630">
        <v>2428.5</v>
      </c>
      <c r="CE3" s="630">
        <v>2525</v>
      </c>
      <c r="CF3" s="630">
        <v>2299.5</v>
      </c>
      <c r="CG3" s="630">
        <v>2279.5</v>
      </c>
      <c r="CH3" s="630">
        <v>2212</v>
      </c>
      <c r="CI3" s="630">
        <v>2009.75</v>
      </c>
      <c r="CJ3" s="630">
        <v>1894.75</v>
      </c>
      <c r="CK3" s="1">
        <v>1934.49</v>
      </c>
      <c r="CL3" s="1">
        <v>1992.75</v>
      </c>
      <c r="CM3" s="1">
        <v>2036.75</v>
      </c>
      <c r="CN3" s="1">
        <v>2308</v>
      </c>
      <c r="CO3" s="1">
        <v>2491.25</v>
      </c>
      <c r="CP3" s="1">
        <v>2388</v>
      </c>
      <c r="CQ3" s="1">
        <v>2513.75</v>
      </c>
      <c r="CR3" s="1">
        <v>2776.2</v>
      </c>
      <c r="CS3" s="1">
        <v>2729.33</v>
      </c>
      <c r="CT3" s="1">
        <v>2556.5</v>
      </c>
      <c r="CU3" s="1">
        <v>2775.5</v>
      </c>
      <c r="CV3" s="1">
        <v>2805.25</v>
      </c>
      <c r="CW3" s="1">
        <v>2913.25</v>
      </c>
      <c r="CX3" s="1">
        <v>3043.55</v>
      </c>
      <c r="CY3" s="1">
        <v>2966.75</v>
      </c>
      <c r="CZ3" s="1">
        <v>3028.5</v>
      </c>
      <c r="DA3" s="1">
        <v>2994</v>
      </c>
    </row>
    <row r="4" spans="1:121" s="626" customFormat="1">
      <c r="A4" s="627" t="s">
        <v>671</v>
      </c>
      <c r="B4" s="628">
        <f>SUM(B5:B6)</f>
        <v>6.2625000000000002</v>
      </c>
      <c r="C4" s="628">
        <f t="shared" ref="C4:BN4" si="0">SUM(C5:C6)</f>
        <v>2.3125</v>
      </c>
      <c r="D4" s="628">
        <f t="shared" si="0"/>
        <v>-2.71</v>
      </c>
      <c r="E4" s="628">
        <f t="shared" si="0"/>
        <v>-3.3149999999999999</v>
      </c>
      <c r="F4" s="628">
        <f t="shared" si="0"/>
        <v>-2.125</v>
      </c>
      <c r="G4" s="628">
        <f t="shared" si="0"/>
        <v>-3.58</v>
      </c>
      <c r="H4" s="628">
        <f t="shared" si="0"/>
        <v>-3.92</v>
      </c>
      <c r="I4" s="628">
        <f t="shared" si="0"/>
        <v>-2.63</v>
      </c>
      <c r="J4" s="628">
        <f t="shared" si="0"/>
        <v>-2.3650000000000002</v>
      </c>
      <c r="K4" s="628">
        <f t="shared" si="0"/>
        <v>-1.62</v>
      </c>
      <c r="L4" s="628">
        <f t="shared" si="0"/>
        <v>-2.68</v>
      </c>
      <c r="M4" s="628">
        <f t="shared" si="0"/>
        <v>2.6500000000000004</v>
      </c>
      <c r="N4" s="628">
        <f t="shared" si="0"/>
        <v>-0.72</v>
      </c>
      <c r="O4" s="628">
        <f t="shared" si="0"/>
        <v>5.5500000000000007</v>
      </c>
      <c r="P4" s="628">
        <f t="shared" si="0"/>
        <v>-0.59499999999999997</v>
      </c>
      <c r="Q4" s="628">
        <f t="shared" si="0"/>
        <v>2.0125000000000002</v>
      </c>
      <c r="R4" s="628">
        <f t="shared" si="0"/>
        <v>2.7750000000000004</v>
      </c>
      <c r="S4" s="628">
        <f t="shared" si="0"/>
        <v>10.7125</v>
      </c>
      <c r="T4" s="628">
        <f t="shared" si="0"/>
        <v>18.875</v>
      </c>
      <c r="U4" s="628">
        <f t="shared" si="0"/>
        <v>17.962500000000002</v>
      </c>
      <c r="V4" s="628">
        <f t="shared" si="0"/>
        <v>14.0875</v>
      </c>
      <c r="W4" s="628">
        <f t="shared" si="0"/>
        <v>15.775</v>
      </c>
      <c r="X4" s="628">
        <f t="shared" si="0"/>
        <v>10.637500000000001</v>
      </c>
      <c r="Y4" s="628">
        <f t="shared" si="0"/>
        <v>8.35</v>
      </c>
      <c r="Z4" s="628">
        <f t="shared" si="0"/>
        <v>5.9875000000000007</v>
      </c>
      <c r="AA4" s="628">
        <f t="shared" si="0"/>
        <v>2.4125000000000001</v>
      </c>
      <c r="AB4" s="628">
        <f t="shared" si="0"/>
        <v>3.6</v>
      </c>
      <c r="AC4" s="628">
        <f t="shared" si="0"/>
        <v>18.350000000000001</v>
      </c>
      <c r="AD4" s="628">
        <f t="shared" si="0"/>
        <v>9.1</v>
      </c>
      <c r="AE4" s="628">
        <f t="shared" si="0"/>
        <v>-8.5000000000000006E-2</v>
      </c>
      <c r="AF4" s="628">
        <f t="shared" si="0"/>
        <v>-1.75</v>
      </c>
      <c r="AG4" s="628">
        <f t="shared" si="0"/>
        <v>-3.855</v>
      </c>
      <c r="AH4" s="628">
        <f t="shared" si="0"/>
        <v>-6.58</v>
      </c>
      <c r="AI4" s="628">
        <f t="shared" si="0"/>
        <v>-6.22</v>
      </c>
      <c r="AJ4" s="628">
        <f t="shared" si="0"/>
        <v>-9.0950000000000006</v>
      </c>
      <c r="AK4" s="628">
        <f t="shared" si="0"/>
        <v>-8.1449999999999996</v>
      </c>
      <c r="AL4" s="628">
        <f t="shared" si="0"/>
        <v>-7.44</v>
      </c>
      <c r="AM4" s="628">
        <f t="shared" si="0"/>
        <v>-4.8250000000000002</v>
      </c>
      <c r="AN4" s="628">
        <f t="shared" si="0"/>
        <v>-3.84</v>
      </c>
      <c r="AO4" s="628">
        <f t="shared" si="0"/>
        <v>-1.34</v>
      </c>
      <c r="AP4" s="628">
        <f t="shared" si="0"/>
        <v>-1.5449999999999999</v>
      </c>
      <c r="AQ4" s="628">
        <f t="shared" si="0"/>
        <v>5.1000000000000005</v>
      </c>
      <c r="AR4" s="628">
        <f t="shared" si="0"/>
        <v>12.125</v>
      </c>
      <c r="AS4" s="628">
        <f t="shared" si="0"/>
        <v>15.9375</v>
      </c>
      <c r="AT4" s="628">
        <f t="shared" si="0"/>
        <v>18.850000000000001</v>
      </c>
      <c r="AU4" s="628">
        <f t="shared" si="0"/>
        <v>22.675000000000001</v>
      </c>
      <c r="AV4" s="628">
        <f t="shared" si="0"/>
        <v>34.4</v>
      </c>
      <c r="AW4" s="628">
        <f t="shared" si="0"/>
        <v>27.887500000000003</v>
      </c>
      <c r="AX4" s="628">
        <f t="shared" si="0"/>
        <v>2.6375000000000002</v>
      </c>
      <c r="AY4" s="628">
        <f t="shared" si="0"/>
        <v>0.86250000000000004</v>
      </c>
      <c r="AZ4" s="628">
        <f t="shared" si="0"/>
        <v>-0.995</v>
      </c>
      <c r="BA4" s="628">
        <f t="shared" si="0"/>
        <v>-3.63</v>
      </c>
      <c r="BB4" s="628">
        <f t="shared" si="0"/>
        <v>-4.26</v>
      </c>
      <c r="BC4" s="628">
        <f t="shared" si="0"/>
        <v>-0.93500000000000005</v>
      </c>
      <c r="BD4" s="628">
        <f t="shared" si="0"/>
        <v>-0.3</v>
      </c>
      <c r="BE4" s="628">
        <f t="shared" si="0"/>
        <v>17.074999999999999</v>
      </c>
      <c r="BF4" s="628">
        <f t="shared" si="0"/>
        <v>20.262500000000003</v>
      </c>
      <c r="BG4" s="628">
        <f t="shared" si="0"/>
        <v>26.1</v>
      </c>
      <c r="BH4" s="628">
        <f t="shared" si="0"/>
        <v>18.862500000000001</v>
      </c>
      <c r="BI4" s="628">
        <f t="shared" si="0"/>
        <v>26.875</v>
      </c>
      <c r="BJ4" s="628">
        <f t="shared" si="0"/>
        <v>14.775</v>
      </c>
      <c r="BK4" s="628">
        <f t="shared" si="0"/>
        <v>8.85</v>
      </c>
      <c r="BL4" s="628">
        <f t="shared" si="0"/>
        <v>-0.32</v>
      </c>
      <c r="BM4" s="628">
        <f t="shared" si="0"/>
        <v>-3.49</v>
      </c>
      <c r="BN4" s="628">
        <f t="shared" si="0"/>
        <v>-4.05</v>
      </c>
      <c r="BO4" s="628">
        <f t="shared" ref="BO4:CI4" si="1">SUM(BO5:BO6)</f>
        <v>-7.87</v>
      </c>
      <c r="BP4" s="628">
        <f t="shared" si="1"/>
        <v>-12.48</v>
      </c>
      <c r="BQ4" s="628">
        <f t="shared" si="1"/>
        <v>-16.765000000000001</v>
      </c>
      <c r="BR4" s="628">
        <f t="shared" si="1"/>
        <v>-12.83</v>
      </c>
      <c r="BS4" s="628">
        <f t="shared" si="1"/>
        <v>-14.965</v>
      </c>
      <c r="BT4" s="628">
        <f t="shared" si="1"/>
        <v>-12.9</v>
      </c>
      <c r="BU4" s="628">
        <f t="shared" si="1"/>
        <v>-15.63</v>
      </c>
      <c r="BV4" s="628">
        <f t="shared" si="1"/>
        <v>1.5</v>
      </c>
      <c r="BW4" s="628">
        <f t="shared" si="1"/>
        <v>5.6750000000000007</v>
      </c>
      <c r="BX4" s="628">
        <f t="shared" si="1"/>
        <v>14.987500000000001</v>
      </c>
      <c r="BY4" s="628">
        <f t="shared" si="1"/>
        <v>13</v>
      </c>
      <c r="BZ4" s="628">
        <f t="shared" si="1"/>
        <v>-0.64</v>
      </c>
      <c r="CA4" s="628">
        <f t="shared" si="1"/>
        <v>-2.7</v>
      </c>
      <c r="CB4" s="628">
        <f t="shared" si="1"/>
        <v>-5.17</v>
      </c>
      <c r="CC4" s="628">
        <f t="shared" si="1"/>
        <v>-9.76</v>
      </c>
      <c r="CD4" s="628">
        <f t="shared" si="1"/>
        <v>-5.43</v>
      </c>
      <c r="CE4" s="628">
        <f t="shared" si="1"/>
        <v>-3.5</v>
      </c>
      <c r="CF4" s="628">
        <f t="shared" si="1"/>
        <v>-8.01</v>
      </c>
      <c r="CG4" s="628">
        <f t="shared" si="1"/>
        <v>-8.41</v>
      </c>
      <c r="CH4" s="628">
        <f t="shared" si="1"/>
        <v>0.60000000000000009</v>
      </c>
      <c r="CI4" s="628">
        <f t="shared" si="1"/>
        <v>-3.8050000000000002</v>
      </c>
      <c r="CJ4" s="628">
        <f>SUM(CJ5:CJ6)</f>
        <v>-6.1050000000000004</v>
      </c>
    </row>
    <row r="5" spans="1:121" s="636" customFormat="1" ht="14.5">
      <c r="A5" s="635" t="s">
        <v>669</v>
      </c>
      <c r="B5" s="636" t="str">
        <f>IF(B3&lt;B10,((B10-B3)*0.02)*-1,"")</f>
        <v/>
      </c>
      <c r="C5" s="636" t="str">
        <f>IF(C3&lt;C10,((C10-C3)*0.02)*-1,"")</f>
        <v/>
      </c>
      <c r="D5" s="636">
        <f>IF(D3&lt;D10,((D10-D3)*0.02)*-1,"")</f>
        <v>-2.71</v>
      </c>
      <c r="E5" s="636">
        <f>IF(E3&lt;E10,((E10-E3)*0.02)*-1,"")</f>
        <v>-3.3149999999999999</v>
      </c>
      <c r="F5" s="636">
        <f>IF(F3&lt;F10,((F10-F3)*0.02)*-1,"")</f>
        <v>-2.125</v>
      </c>
      <c r="G5" s="636">
        <f t="shared" ref="G5:BR5" si="2">IF(G3&lt;G10,((G10-G3)*0.02)*-1,"")</f>
        <v>-3.58</v>
      </c>
      <c r="H5" s="636">
        <f t="shared" si="2"/>
        <v>-3.92</v>
      </c>
      <c r="I5" s="636">
        <f t="shared" si="2"/>
        <v>-2.63</v>
      </c>
      <c r="J5" s="636">
        <f t="shared" si="2"/>
        <v>-2.3650000000000002</v>
      </c>
      <c r="K5" s="636">
        <f t="shared" si="2"/>
        <v>-1.62</v>
      </c>
      <c r="L5" s="636">
        <f t="shared" si="2"/>
        <v>-2.68</v>
      </c>
      <c r="M5" s="636" t="str">
        <f t="shared" si="2"/>
        <v/>
      </c>
      <c r="N5" s="636">
        <f t="shared" si="2"/>
        <v>-0.72</v>
      </c>
      <c r="O5" s="636" t="str">
        <f t="shared" si="2"/>
        <v/>
      </c>
      <c r="P5" s="636">
        <f t="shared" si="2"/>
        <v>-0.59499999999999997</v>
      </c>
      <c r="Q5" s="636" t="str">
        <f t="shared" si="2"/>
        <v/>
      </c>
      <c r="R5" s="636" t="str">
        <f t="shared" si="2"/>
        <v/>
      </c>
      <c r="S5" s="636" t="str">
        <f t="shared" si="2"/>
        <v/>
      </c>
      <c r="T5" s="636" t="str">
        <f t="shared" si="2"/>
        <v/>
      </c>
      <c r="U5" s="636" t="str">
        <f t="shared" si="2"/>
        <v/>
      </c>
      <c r="V5" s="636" t="str">
        <f t="shared" si="2"/>
        <v/>
      </c>
      <c r="W5" s="636" t="str">
        <f t="shared" si="2"/>
        <v/>
      </c>
      <c r="X5" s="636" t="str">
        <f t="shared" si="2"/>
        <v/>
      </c>
      <c r="Y5" s="636" t="str">
        <f t="shared" si="2"/>
        <v/>
      </c>
      <c r="Z5" s="636" t="str">
        <f t="shared" si="2"/>
        <v/>
      </c>
      <c r="AA5" s="636" t="str">
        <f t="shared" si="2"/>
        <v/>
      </c>
      <c r="AB5" s="636" t="str">
        <f t="shared" si="2"/>
        <v/>
      </c>
      <c r="AC5" s="636" t="str">
        <f t="shared" si="2"/>
        <v/>
      </c>
      <c r="AD5" s="636" t="str">
        <f t="shared" si="2"/>
        <v/>
      </c>
      <c r="AE5" s="636">
        <f t="shared" si="2"/>
        <v>-8.5000000000000006E-2</v>
      </c>
      <c r="AF5" s="636">
        <f t="shared" si="2"/>
        <v>-1.75</v>
      </c>
      <c r="AG5" s="636">
        <f t="shared" si="2"/>
        <v>-3.855</v>
      </c>
      <c r="AH5" s="636">
        <f t="shared" si="2"/>
        <v>-6.58</v>
      </c>
      <c r="AI5" s="636">
        <f t="shared" si="2"/>
        <v>-6.22</v>
      </c>
      <c r="AJ5" s="636">
        <f t="shared" si="2"/>
        <v>-9.0950000000000006</v>
      </c>
      <c r="AK5" s="636">
        <f t="shared" si="2"/>
        <v>-8.1449999999999996</v>
      </c>
      <c r="AL5" s="636">
        <f t="shared" si="2"/>
        <v>-7.44</v>
      </c>
      <c r="AM5" s="636">
        <f t="shared" si="2"/>
        <v>-4.8250000000000002</v>
      </c>
      <c r="AN5" s="636">
        <f t="shared" si="2"/>
        <v>-3.84</v>
      </c>
      <c r="AO5" s="636">
        <f t="shared" si="2"/>
        <v>-1.34</v>
      </c>
      <c r="AP5" s="636">
        <f t="shared" si="2"/>
        <v>-1.5449999999999999</v>
      </c>
      <c r="AQ5" s="636" t="str">
        <f t="shared" si="2"/>
        <v/>
      </c>
      <c r="AR5" s="636" t="str">
        <f t="shared" si="2"/>
        <v/>
      </c>
      <c r="AS5" s="636" t="str">
        <f t="shared" si="2"/>
        <v/>
      </c>
      <c r="AT5" s="636" t="str">
        <f t="shared" si="2"/>
        <v/>
      </c>
      <c r="AU5" s="636" t="str">
        <f t="shared" si="2"/>
        <v/>
      </c>
      <c r="AV5" s="636" t="str">
        <f t="shared" si="2"/>
        <v/>
      </c>
      <c r="AW5" s="636" t="str">
        <f t="shared" si="2"/>
        <v/>
      </c>
      <c r="AX5" s="636" t="str">
        <f t="shared" si="2"/>
        <v/>
      </c>
      <c r="AY5" s="636" t="str">
        <f t="shared" si="2"/>
        <v/>
      </c>
      <c r="AZ5" s="636">
        <f t="shared" si="2"/>
        <v>-0.995</v>
      </c>
      <c r="BA5" s="636">
        <f t="shared" si="2"/>
        <v>-3.63</v>
      </c>
      <c r="BB5" s="636">
        <f t="shared" si="2"/>
        <v>-4.26</v>
      </c>
      <c r="BC5" s="636">
        <f t="shared" si="2"/>
        <v>-0.93500000000000005</v>
      </c>
      <c r="BD5" s="636">
        <f t="shared" si="2"/>
        <v>-0.3</v>
      </c>
      <c r="BE5" s="636" t="str">
        <f t="shared" si="2"/>
        <v/>
      </c>
      <c r="BF5" s="636" t="str">
        <f t="shared" si="2"/>
        <v/>
      </c>
      <c r="BG5" s="636" t="str">
        <f t="shared" si="2"/>
        <v/>
      </c>
      <c r="BH5" s="636" t="str">
        <f t="shared" si="2"/>
        <v/>
      </c>
      <c r="BI5" s="636" t="str">
        <f t="shared" si="2"/>
        <v/>
      </c>
      <c r="BJ5" s="636" t="str">
        <f t="shared" si="2"/>
        <v/>
      </c>
      <c r="BK5" s="636" t="str">
        <f t="shared" si="2"/>
        <v/>
      </c>
      <c r="BL5" s="636">
        <f t="shared" si="2"/>
        <v>-0.32</v>
      </c>
      <c r="BM5" s="636">
        <f t="shared" si="2"/>
        <v>-3.49</v>
      </c>
      <c r="BN5" s="636">
        <f t="shared" si="2"/>
        <v>-4.05</v>
      </c>
      <c r="BO5" s="636">
        <f t="shared" si="2"/>
        <v>-7.87</v>
      </c>
      <c r="BP5" s="636">
        <f t="shared" si="2"/>
        <v>-12.48</v>
      </c>
      <c r="BQ5" s="636">
        <f t="shared" si="2"/>
        <v>-16.765000000000001</v>
      </c>
      <c r="BR5" s="636">
        <f t="shared" si="2"/>
        <v>-12.83</v>
      </c>
      <c r="BS5" s="636">
        <f t="shared" ref="BS5:CJ5" si="3">IF(BS3&lt;BS10,((BS10-BS3)*0.02)*-1,"")</f>
        <v>-14.965</v>
      </c>
      <c r="BT5" s="636">
        <f t="shared" si="3"/>
        <v>-12.9</v>
      </c>
      <c r="BU5" s="636">
        <f t="shared" si="3"/>
        <v>-15.63</v>
      </c>
      <c r="BV5" s="636" t="str">
        <f t="shared" si="3"/>
        <v/>
      </c>
      <c r="BW5" s="636" t="str">
        <f t="shared" si="3"/>
        <v/>
      </c>
      <c r="BX5" s="636" t="str">
        <f t="shared" si="3"/>
        <v/>
      </c>
      <c r="BY5" s="636" t="str">
        <f t="shared" si="3"/>
        <v/>
      </c>
      <c r="BZ5" s="636">
        <f t="shared" si="3"/>
        <v>-0.64</v>
      </c>
      <c r="CA5" s="636">
        <f t="shared" si="3"/>
        <v>-2.7</v>
      </c>
      <c r="CB5" s="636">
        <f t="shared" si="3"/>
        <v>-5.17</v>
      </c>
      <c r="CC5" s="636">
        <f t="shared" si="3"/>
        <v>-9.76</v>
      </c>
      <c r="CD5" s="636">
        <f t="shared" si="3"/>
        <v>-5.43</v>
      </c>
      <c r="CE5" s="636">
        <f t="shared" si="3"/>
        <v>-3.5</v>
      </c>
      <c r="CF5" s="636">
        <f t="shared" si="3"/>
        <v>-8.01</v>
      </c>
      <c r="CG5" s="636">
        <f t="shared" si="3"/>
        <v>-8.41</v>
      </c>
      <c r="CH5" s="636" t="str">
        <f t="shared" si="3"/>
        <v/>
      </c>
      <c r="CI5" s="636">
        <f t="shared" si="3"/>
        <v>-3.8050000000000002</v>
      </c>
      <c r="CJ5" s="636">
        <f t="shared" si="3"/>
        <v>-6.1050000000000004</v>
      </c>
    </row>
    <row r="6" spans="1:121" s="636" customFormat="1" ht="14.5">
      <c r="A6" s="635" t="s">
        <v>670</v>
      </c>
      <c r="B6" s="636">
        <f>IF(B3&gt;B10,((B3-B10)*0.05),"")</f>
        <v>6.2625000000000002</v>
      </c>
      <c r="C6" s="636">
        <f>IF(C3&gt;C10,((C3-C10)*0.05),"")</f>
        <v>2.3125</v>
      </c>
      <c r="D6" s="636" t="str">
        <f>IF(D3&gt;D10,((D3-D10)*0.05),"")</f>
        <v/>
      </c>
      <c r="E6" s="636" t="str">
        <f>IF(E3&gt;E10,((E3-E10)*0.05),"")</f>
        <v/>
      </c>
      <c r="F6" s="636" t="str">
        <f>IF(F3&gt;F10,((F3-F10)*0.05),"")</f>
        <v/>
      </c>
      <c r="G6" s="636" t="str">
        <f t="shared" ref="G6:BR6" si="4">IF(G3&gt;G10,((G3-G10)*0.05),"")</f>
        <v/>
      </c>
      <c r="H6" s="636" t="str">
        <f t="shared" si="4"/>
        <v/>
      </c>
      <c r="I6" s="636" t="str">
        <f t="shared" si="4"/>
        <v/>
      </c>
      <c r="J6" s="636" t="str">
        <f t="shared" si="4"/>
        <v/>
      </c>
      <c r="K6" s="636" t="str">
        <f t="shared" si="4"/>
        <v/>
      </c>
      <c r="L6" s="636" t="str">
        <f t="shared" si="4"/>
        <v/>
      </c>
      <c r="M6" s="636">
        <f t="shared" si="4"/>
        <v>2.6500000000000004</v>
      </c>
      <c r="N6" s="636" t="str">
        <f t="shared" si="4"/>
        <v/>
      </c>
      <c r="O6" s="636">
        <f t="shared" si="4"/>
        <v>5.5500000000000007</v>
      </c>
      <c r="P6" s="636" t="str">
        <f t="shared" si="4"/>
        <v/>
      </c>
      <c r="Q6" s="636">
        <f t="shared" si="4"/>
        <v>2.0125000000000002</v>
      </c>
      <c r="R6" s="636">
        <f t="shared" si="4"/>
        <v>2.7750000000000004</v>
      </c>
      <c r="S6" s="636">
        <f t="shared" si="4"/>
        <v>10.7125</v>
      </c>
      <c r="T6" s="636">
        <f t="shared" si="4"/>
        <v>18.875</v>
      </c>
      <c r="U6" s="636">
        <f t="shared" si="4"/>
        <v>17.962500000000002</v>
      </c>
      <c r="V6" s="636">
        <f t="shared" si="4"/>
        <v>14.0875</v>
      </c>
      <c r="W6" s="636">
        <f t="shared" si="4"/>
        <v>15.775</v>
      </c>
      <c r="X6" s="636">
        <f t="shared" si="4"/>
        <v>10.637500000000001</v>
      </c>
      <c r="Y6" s="636">
        <f t="shared" si="4"/>
        <v>8.35</v>
      </c>
      <c r="Z6" s="636">
        <f t="shared" si="4"/>
        <v>5.9875000000000007</v>
      </c>
      <c r="AA6" s="636">
        <f t="shared" si="4"/>
        <v>2.4125000000000001</v>
      </c>
      <c r="AB6" s="636">
        <f t="shared" si="4"/>
        <v>3.6</v>
      </c>
      <c r="AC6" s="636">
        <f t="shared" si="4"/>
        <v>18.350000000000001</v>
      </c>
      <c r="AD6" s="636">
        <f t="shared" si="4"/>
        <v>9.1</v>
      </c>
      <c r="AE6" s="636" t="str">
        <f t="shared" si="4"/>
        <v/>
      </c>
      <c r="AF6" s="636" t="str">
        <f t="shared" si="4"/>
        <v/>
      </c>
      <c r="AG6" s="636" t="str">
        <f t="shared" si="4"/>
        <v/>
      </c>
      <c r="AH6" s="636" t="str">
        <f t="shared" si="4"/>
        <v/>
      </c>
      <c r="AI6" s="636" t="str">
        <f t="shared" si="4"/>
        <v/>
      </c>
      <c r="AJ6" s="636" t="str">
        <f t="shared" si="4"/>
        <v/>
      </c>
      <c r="AK6" s="636" t="str">
        <f t="shared" si="4"/>
        <v/>
      </c>
      <c r="AL6" s="636" t="str">
        <f t="shared" si="4"/>
        <v/>
      </c>
      <c r="AM6" s="636" t="str">
        <f t="shared" si="4"/>
        <v/>
      </c>
      <c r="AN6" s="636" t="str">
        <f t="shared" si="4"/>
        <v/>
      </c>
      <c r="AO6" s="636" t="str">
        <f t="shared" si="4"/>
        <v/>
      </c>
      <c r="AP6" s="636" t="str">
        <f t="shared" si="4"/>
        <v/>
      </c>
      <c r="AQ6" s="636">
        <f t="shared" si="4"/>
        <v>5.1000000000000005</v>
      </c>
      <c r="AR6" s="636">
        <f t="shared" si="4"/>
        <v>12.125</v>
      </c>
      <c r="AS6" s="636">
        <f t="shared" si="4"/>
        <v>15.9375</v>
      </c>
      <c r="AT6" s="636">
        <f t="shared" si="4"/>
        <v>18.850000000000001</v>
      </c>
      <c r="AU6" s="636">
        <f t="shared" si="4"/>
        <v>22.675000000000001</v>
      </c>
      <c r="AV6" s="636">
        <f t="shared" si="4"/>
        <v>34.4</v>
      </c>
      <c r="AW6" s="636">
        <f t="shared" si="4"/>
        <v>27.887500000000003</v>
      </c>
      <c r="AX6" s="636">
        <f t="shared" si="4"/>
        <v>2.6375000000000002</v>
      </c>
      <c r="AY6" s="636">
        <f t="shared" si="4"/>
        <v>0.86250000000000004</v>
      </c>
      <c r="AZ6" s="636" t="str">
        <f t="shared" si="4"/>
        <v/>
      </c>
      <c r="BA6" s="636" t="str">
        <f t="shared" si="4"/>
        <v/>
      </c>
      <c r="BB6" s="636" t="str">
        <f t="shared" si="4"/>
        <v/>
      </c>
      <c r="BC6" s="636" t="str">
        <f t="shared" si="4"/>
        <v/>
      </c>
      <c r="BD6" s="636" t="str">
        <f t="shared" si="4"/>
        <v/>
      </c>
      <c r="BE6" s="636">
        <f t="shared" si="4"/>
        <v>17.074999999999999</v>
      </c>
      <c r="BF6" s="636">
        <f t="shared" si="4"/>
        <v>20.262500000000003</v>
      </c>
      <c r="BG6" s="636">
        <f t="shared" si="4"/>
        <v>26.1</v>
      </c>
      <c r="BH6" s="636">
        <f t="shared" si="4"/>
        <v>18.862500000000001</v>
      </c>
      <c r="BI6" s="636">
        <f t="shared" si="4"/>
        <v>26.875</v>
      </c>
      <c r="BJ6" s="636">
        <f t="shared" si="4"/>
        <v>14.775</v>
      </c>
      <c r="BK6" s="636">
        <f t="shared" si="4"/>
        <v>8.85</v>
      </c>
      <c r="BL6" s="636" t="str">
        <f t="shared" si="4"/>
        <v/>
      </c>
      <c r="BM6" s="636" t="str">
        <f t="shared" si="4"/>
        <v/>
      </c>
      <c r="BN6" s="636" t="str">
        <f t="shared" si="4"/>
        <v/>
      </c>
      <c r="BO6" s="636" t="str">
        <f t="shared" si="4"/>
        <v/>
      </c>
      <c r="BP6" s="636" t="str">
        <f t="shared" si="4"/>
        <v/>
      </c>
      <c r="BQ6" s="636" t="str">
        <f t="shared" si="4"/>
        <v/>
      </c>
      <c r="BR6" s="636" t="str">
        <f t="shared" si="4"/>
        <v/>
      </c>
      <c r="BS6" s="636" t="str">
        <f t="shared" ref="BS6:CJ6" si="5">IF(BS3&gt;BS10,((BS3-BS10)*0.05),"")</f>
        <v/>
      </c>
      <c r="BT6" s="636" t="str">
        <f t="shared" si="5"/>
        <v/>
      </c>
      <c r="BU6" s="636" t="str">
        <f t="shared" si="5"/>
        <v/>
      </c>
      <c r="BV6" s="636">
        <f t="shared" si="5"/>
        <v>1.5</v>
      </c>
      <c r="BW6" s="636">
        <f t="shared" si="5"/>
        <v>5.6750000000000007</v>
      </c>
      <c r="BX6" s="636">
        <f t="shared" si="5"/>
        <v>14.987500000000001</v>
      </c>
      <c r="BY6" s="636">
        <f t="shared" si="5"/>
        <v>13</v>
      </c>
      <c r="BZ6" s="636" t="str">
        <f t="shared" si="5"/>
        <v/>
      </c>
      <c r="CA6" s="636" t="str">
        <f t="shared" si="5"/>
        <v/>
      </c>
      <c r="CB6" s="636" t="str">
        <f t="shared" si="5"/>
        <v/>
      </c>
      <c r="CC6" s="636" t="str">
        <f t="shared" si="5"/>
        <v/>
      </c>
      <c r="CD6" s="636" t="str">
        <f t="shared" si="5"/>
        <v/>
      </c>
      <c r="CE6" s="636" t="str">
        <f t="shared" si="5"/>
        <v/>
      </c>
      <c r="CF6" s="636" t="str">
        <f t="shared" si="5"/>
        <v/>
      </c>
      <c r="CG6" s="636" t="str">
        <f t="shared" si="5"/>
        <v/>
      </c>
      <c r="CH6" s="636">
        <f t="shared" si="5"/>
        <v>0.60000000000000009</v>
      </c>
      <c r="CI6" s="636" t="str">
        <f t="shared" si="5"/>
        <v/>
      </c>
      <c r="CJ6" s="636" t="str">
        <f t="shared" si="5"/>
        <v/>
      </c>
    </row>
    <row r="7" spans="1:121" s="632" customFormat="1" ht="14.5">
      <c r="A7" s="631"/>
    </row>
    <row r="8" spans="1:121" s="633" customFormat="1">
      <c r="A8" s="637" t="s">
        <v>674</v>
      </c>
      <c r="B8" s="638"/>
      <c r="C8" s="638"/>
      <c r="D8" s="638"/>
      <c r="E8" s="638"/>
      <c r="F8" s="638"/>
      <c r="G8" s="638"/>
      <c r="H8" s="638"/>
      <c r="I8" s="638"/>
      <c r="J8" s="638"/>
      <c r="K8" s="638"/>
      <c r="L8" s="638"/>
      <c r="M8" s="638"/>
      <c r="N8" s="638"/>
      <c r="O8" s="638"/>
      <c r="P8" s="638"/>
      <c r="Q8" s="638"/>
      <c r="R8" s="638"/>
      <c r="S8" s="638"/>
      <c r="T8" s="638"/>
      <c r="U8" s="638"/>
      <c r="V8" s="638"/>
      <c r="W8" s="638"/>
      <c r="X8" s="638"/>
      <c r="Y8" s="638"/>
      <c r="Z8" s="638"/>
      <c r="AA8" s="638"/>
      <c r="AB8" s="638"/>
      <c r="AC8" s="638"/>
      <c r="AD8" s="638"/>
      <c r="AE8" s="638"/>
      <c r="AF8" s="638"/>
      <c r="AG8" s="638"/>
      <c r="AH8" s="638"/>
      <c r="AI8" s="638"/>
      <c r="AJ8" s="638"/>
      <c r="AK8" s="638"/>
      <c r="AL8" s="638"/>
      <c r="AM8" s="638"/>
      <c r="AN8" s="638"/>
      <c r="AO8" s="638"/>
      <c r="AP8" s="638"/>
      <c r="AQ8" s="638"/>
      <c r="AR8" s="638"/>
      <c r="AS8" s="638"/>
      <c r="AT8" s="638"/>
      <c r="AU8" s="638"/>
      <c r="AV8" s="638"/>
      <c r="AW8" s="638"/>
      <c r="AX8" s="638"/>
      <c r="AY8" s="638"/>
      <c r="AZ8" s="638"/>
      <c r="BA8" s="638"/>
      <c r="BB8" s="638"/>
      <c r="BC8" s="638"/>
      <c r="BD8" s="638"/>
      <c r="BE8" s="638"/>
      <c r="BF8" s="638"/>
      <c r="BG8" s="638"/>
      <c r="BH8" s="638"/>
      <c r="BI8" s="638"/>
      <c r="BJ8" s="638"/>
      <c r="BK8" s="638"/>
      <c r="BL8" s="638"/>
      <c r="BM8" s="638"/>
      <c r="BN8" s="638"/>
      <c r="BO8" s="638"/>
      <c r="BP8" s="638"/>
      <c r="BQ8" s="638"/>
      <c r="BR8" s="638"/>
      <c r="BS8" s="638"/>
      <c r="BT8" s="638"/>
      <c r="BU8" s="638"/>
      <c r="BV8" s="638"/>
      <c r="BW8" s="638"/>
      <c r="BX8" s="638"/>
      <c r="BY8" s="638"/>
      <c r="BZ8" s="638"/>
      <c r="CA8" s="638"/>
      <c r="CB8" s="638"/>
      <c r="CC8" s="638"/>
      <c r="CD8" s="638"/>
      <c r="CE8" s="638"/>
      <c r="CF8" s="638"/>
      <c r="CG8" s="638"/>
      <c r="CH8" s="638"/>
      <c r="CI8" s="638"/>
      <c r="CJ8" s="638"/>
    </row>
    <row r="9" spans="1:121" s="633" customFormat="1">
      <c r="A9" s="1" t="s">
        <v>672</v>
      </c>
      <c r="B9" s="634">
        <v>211</v>
      </c>
      <c r="C9" s="634">
        <v>211</v>
      </c>
      <c r="D9" s="634">
        <v>211</v>
      </c>
      <c r="E9" s="634">
        <v>211</v>
      </c>
      <c r="F9" s="634">
        <v>211</v>
      </c>
      <c r="G9" s="634">
        <v>211</v>
      </c>
      <c r="H9" s="634">
        <v>211</v>
      </c>
      <c r="I9" s="634">
        <v>211</v>
      </c>
      <c r="J9" s="634">
        <v>211</v>
      </c>
      <c r="K9" s="634">
        <v>211</v>
      </c>
      <c r="L9" s="634">
        <v>211</v>
      </c>
      <c r="M9" s="634">
        <v>211</v>
      </c>
      <c r="N9" s="634">
        <v>223</v>
      </c>
      <c r="O9" s="634">
        <v>223</v>
      </c>
      <c r="P9" s="634">
        <v>223</v>
      </c>
      <c r="Q9" s="634">
        <v>223</v>
      </c>
      <c r="R9" s="634">
        <v>223</v>
      </c>
      <c r="S9" s="634">
        <v>223</v>
      </c>
      <c r="T9" s="634">
        <v>223</v>
      </c>
      <c r="U9" s="634">
        <v>223</v>
      </c>
      <c r="V9" s="634">
        <v>223</v>
      </c>
      <c r="W9" s="634">
        <v>223</v>
      </c>
      <c r="X9" s="634">
        <v>223</v>
      </c>
      <c r="Y9" s="634">
        <v>223</v>
      </c>
      <c r="Z9" s="634">
        <v>245</v>
      </c>
      <c r="AA9" s="634">
        <v>245</v>
      </c>
      <c r="AB9" s="634">
        <v>245</v>
      </c>
      <c r="AC9" s="634">
        <v>245</v>
      </c>
      <c r="AD9" s="634">
        <v>245</v>
      </c>
      <c r="AE9" s="634">
        <v>245</v>
      </c>
      <c r="AF9" s="634">
        <v>245</v>
      </c>
      <c r="AG9" s="634">
        <v>245</v>
      </c>
      <c r="AH9" s="634">
        <v>245</v>
      </c>
      <c r="AI9" s="634">
        <v>245</v>
      </c>
      <c r="AJ9" s="634">
        <v>245</v>
      </c>
      <c r="AK9" s="634">
        <v>245</v>
      </c>
      <c r="AL9" s="634">
        <v>203</v>
      </c>
      <c r="AM9" s="634">
        <v>203</v>
      </c>
      <c r="AN9" s="634">
        <v>203</v>
      </c>
      <c r="AO9" s="634">
        <v>203</v>
      </c>
      <c r="AP9" s="634">
        <v>203</v>
      </c>
      <c r="AQ9" s="634">
        <v>203</v>
      </c>
      <c r="AR9" s="634">
        <v>203</v>
      </c>
      <c r="AS9" s="634">
        <v>203</v>
      </c>
      <c r="AT9" s="634">
        <v>203</v>
      </c>
      <c r="AU9" s="634">
        <v>203</v>
      </c>
      <c r="AV9" s="634">
        <v>203</v>
      </c>
      <c r="AW9" s="634">
        <v>203</v>
      </c>
      <c r="AX9" s="634">
        <v>172</v>
      </c>
      <c r="AY9" s="634">
        <v>172</v>
      </c>
      <c r="AZ9" s="634">
        <v>172</v>
      </c>
      <c r="BA9" s="634">
        <v>172</v>
      </c>
      <c r="BB9" s="634">
        <v>172</v>
      </c>
      <c r="BC9" s="634">
        <v>172</v>
      </c>
      <c r="BD9" s="634">
        <v>172</v>
      </c>
      <c r="BE9" s="634">
        <v>172</v>
      </c>
      <c r="BF9" s="634">
        <v>172</v>
      </c>
      <c r="BG9" s="634">
        <v>172</v>
      </c>
      <c r="BH9" s="634">
        <v>172</v>
      </c>
      <c r="BI9" s="634">
        <v>172</v>
      </c>
      <c r="BJ9" s="634">
        <v>147</v>
      </c>
      <c r="BK9" s="634">
        <v>147</v>
      </c>
      <c r="BL9" s="634">
        <v>147</v>
      </c>
      <c r="BM9" s="634">
        <v>147</v>
      </c>
      <c r="BN9" s="634">
        <v>147</v>
      </c>
      <c r="BO9" s="634">
        <v>147</v>
      </c>
      <c r="BP9" s="634">
        <v>147</v>
      </c>
      <c r="BQ9" s="634">
        <v>147</v>
      </c>
      <c r="BR9" s="634">
        <v>147</v>
      </c>
      <c r="BS9" s="634">
        <v>147</v>
      </c>
      <c r="BT9" s="634">
        <v>147</v>
      </c>
      <c r="BU9" s="634">
        <v>147</v>
      </c>
      <c r="BV9" s="634">
        <v>245</v>
      </c>
      <c r="BW9" s="634">
        <v>245</v>
      </c>
      <c r="BX9" s="634">
        <v>245</v>
      </c>
      <c r="BY9" s="634">
        <v>245</v>
      </c>
      <c r="BZ9" s="634">
        <v>245</v>
      </c>
      <c r="CA9" s="634">
        <v>245</v>
      </c>
      <c r="CB9" s="634">
        <v>245</v>
      </c>
      <c r="CC9" s="634">
        <v>245</v>
      </c>
      <c r="CD9" s="634">
        <v>245</v>
      </c>
      <c r="CE9" s="634">
        <v>245</v>
      </c>
      <c r="CF9" s="634">
        <v>245</v>
      </c>
      <c r="CG9" s="634">
        <v>245</v>
      </c>
      <c r="CH9" s="634">
        <v>297.5</v>
      </c>
      <c r="CI9" s="634">
        <v>297.5</v>
      </c>
      <c r="CJ9" s="634">
        <v>297.5</v>
      </c>
    </row>
    <row r="10" spans="1:121" s="633" customFormat="1">
      <c r="A10" s="1" t="s">
        <v>673</v>
      </c>
      <c r="B10" s="634">
        <v>2000</v>
      </c>
      <c r="C10" s="634">
        <v>2000</v>
      </c>
      <c r="D10" s="634">
        <v>2000</v>
      </c>
      <c r="E10" s="634">
        <v>2000</v>
      </c>
      <c r="F10" s="634">
        <v>2000</v>
      </c>
      <c r="G10" s="634">
        <v>2000</v>
      </c>
      <c r="H10" s="634">
        <v>2000</v>
      </c>
      <c r="I10" s="634">
        <v>2000</v>
      </c>
      <c r="J10" s="634">
        <v>2000</v>
      </c>
      <c r="K10" s="634">
        <v>2000</v>
      </c>
      <c r="L10" s="634">
        <v>2000</v>
      </c>
      <c r="M10" s="634">
        <v>2000</v>
      </c>
      <c r="N10" s="634">
        <v>2000</v>
      </c>
      <c r="O10" s="634">
        <v>2000</v>
      </c>
      <c r="P10" s="634">
        <v>2000</v>
      </c>
      <c r="Q10" s="634">
        <v>2000</v>
      </c>
      <c r="R10" s="634">
        <v>2000</v>
      </c>
      <c r="S10" s="634">
        <v>2000</v>
      </c>
      <c r="T10" s="634">
        <v>2000</v>
      </c>
      <c r="U10" s="634">
        <v>2000</v>
      </c>
      <c r="V10" s="634">
        <v>2000</v>
      </c>
      <c r="W10" s="634">
        <v>2000</v>
      </c>
      <c r="X10" s="634">
        <v>2000</v>
      </c>
      <c r="Y10" s="634">
        <v>2000</v>
      </c>
      <c r="Z10" s="634">
        <v>2000</v>
      </c>
      <c r="AA10" s="634">
        <v>2000</v>
      </c>
      <c r="AB10" s="634">
        <v>2000</v>
      </c>
      <c r="AC10" s="634">
        <v>2000</v>
      </c>
      <c r="AD10" s="634">
        <v>2000</v>
      </c>
      <c r="AE10" s="634">
        <v>2000</v>
      </c>
      <c r="AF10" s="634">
        <v>2000</v>
      </c>
      <c r="AG10" s="634">
        <v>2000</v>
      </c>
      <c r="AH10" s="634">
        <v>2000</v>
      </c>
      <c r="AI10" s="634">
        <v>2000</v>
      </c>
      <c r="AJ10" s="634">
        <v>2000</v>
      </c>
      <c r="AK10" s="634">
        <v>2000</v>
      </c>
      <c r="AL10" s="634">
        <v>2000</v>
      </c>
      <c r="AM10" s="634">
        <v>2000</v>
      </c>
      <c r="AN10" s="634">
        <v>2000</v>
      </c>
      <c r="AO10" s="634">
        <v>2000</v>
      </c>
      <c r="AP10" s="634">
        <v>2000</v>
      </c>
      <c r="AQ10" s="634">
        <v>2000</v>
      </c>
      <c r="AR10" s="634">
        <v>2000</v>
      </c>
      <c r="AS10" s="634">
        <v>2000</v>
      </c>
      <c r="AT10" s="634">
        <v>2000</v>
      </c>
      <c r="AU10" s="634">
        <v>2000</v>
      </c>
      <c r="AV10" s="634">
        <v>2000</v>
      </c>
      <c r="AW10" s="634">
        <v>2000</v>
      </c>
      <c r="AX10" s="634">
        <v>2800</v>
      </c>
      <c r="AY10" s="634">
        <v>2800</v>
      </c>
      <c r="AZ10" s="634">
        <v>2800</v>
      </c>
      <c r="BA10" s="634">
        <v>2800</v>
      </c>
      <c r="BB10" s="634">
        <v>2800</v>
      </c>
      <c r="BC10" s="634">
        <v>2800</v>
      </c>
      <c r="BD10" s="634">
        <v>2800</v>
      </c>
      <c r="BE10" s="634">
        <v>2800</v>
      </c>
      <c r="BF10" s="634">
        <v>2800</v>
      </c>
      <c r="BG10" s="634">
        <v>2800</v>
      </c>
      <c r="BH10" s="634">
        <v>2800</v>
      </c>
      <c r="BI10" s="634">
        <v>2800</v>
      </c>
      <c r="BJ10" s="634">
        <v>3300</v>
      </c>
      <c r="BK10" s="634">
        <v>3300</v>
      </c>
      <c r="BL10" s="634">
        <v>3300</v>
      </c>
      <c r="BM10" s="634">
        <v>3300</v>
      </c>
      <c r="BN10" s="634">
        <v>3300</v>
      </c>
      <c r="BO10" s="634">
        <v>3300</v>
      </c>
      <c r="BP10" s="634">
        <v>3300</v>
      </c>
      <c r="BQ10" s="634">
        <v>3300</v>
      </c>
      <c r="BR10" s="634">
        <v>3300</v>
      </c>
      <c r="BS10" s="634">
        <v>3300</v>
      </c>
      <c r="BT10" s="634">
        <v>3300</v>
      </c>
      <c r="BU10" s="634">
        <v>3300</v>
      </c>
      <c r="BV10" s="634">
        <v>2700</v>
      </c>
      <c r="BW10" s="634">
        <v>2700</v>
      </c>
      <c r="BX10" s="634">
        <v>2700</v>
      </c>
      <c r="BY10" s="634">
        <v>2700</v>
      </c>
      <c r="BZ10" s="634">
        <v>2700</v>
      </c>
      <c r="CA10" s="634">
        <v>2700</v>
      </c>
      <c r="CB10" s="634">
        <v>2700</v>
      </c>
      <c r="CC10" s="634">
        <v>2700</v>
      </c>
      <c r="CD10" s="634">
        <v>2700</v>
      </c>
      <c r="CE10" s="634">
        <v>2700</v>
      </c>
      <c r="CF10" s="634">
        <v>2700</v>
      </c>
      <c r="CG10" s="634">
        <v>2700</v>
      </c>
      <c r="CH10" s="634">
        <v>2200</v>
      </c>
      <c r="CI10" s="634">
        <v>2200</v>
      </c>
      <c r="CJ10" s="634">
        <v>2200</v>
      </c>
    </row>
    <row r="11" spans="1:121" s="633" customFormat="1">
      <c r="A11" s="1"/>
    </row>
    <row r="12" spans="1:121" s="643" customFormat="1">
      <c r="A12" s="641" t="s">
        <v>676</v>
      </c>
      <c r="B12" s="642">
        <f>B9+B4</f>
        <v>217.26249999999999</v>
      </c>
      <c r="C12" s="642">
        <f t="shared" ref="C12:BN12" si="6">C9+C4</f>
        <v>213.3125</v>
      </c>
      <c r="D12" s="642">
        <f t="shared" si="6"/>
        <v>208.29</v>
      </c>
      <c r="E12" s="642">
        <f t="shared" si="6"/>
        <v>207.685</v>
      </c>
      <c r="F12" s="642">
        <f t="shared" si="6"/>
        <v>208.875</v>
      </c>
      <c r="G12" s="642">
        <f t="shared" si="6"/>
        <v>207.42</v>
      </c>
      <c r="H12" s="642">
        <f t="shared" si="6"/>
        <v>207.08</v>
      </c>
      <c r="I12" s="642">
        <f t="shared" si="6"/>
        <v>208.37</v>
      </c>
      <c r="J12" s="642">
        <f t="shared" si="6"/>
        <v>208.63499999999999</v>
      </c>
      <c r="K12" s="642">
        <f t="shared" si="6"/>
        <v>209.38</v>
      </c>
      <c r="L12" s="642">
        <f t="shared" si="6"/>
        <v>208.32</v>
      </c>
      <c r="M12" s="642">
        <f t="shared" si="6"/>
        <v>213.65</v>
      </c>
      <c r="N12" s="642">
        <f t="shared" si="6"/>
        <v>222.28</v>
      </c>
      <c r="O12" s="642">
        <f t="shared" si="6"/>
        <v>228.55</v>
      </c>
      <c r="P12" s="642">
        <f t="shared" si="6"/>
        <v>222.405</v>
      </c>
      <c r="Q12" s="642">
        <f t="shared" si="6"/>
        <v>225.01249999999999</v>
      </c>
      <c r="R12" s="642">
        <f t="shared" si="6"/>
        <v>225.77500000000001</v>
      </c>
      <c r="S12" s="642">
        <f t="shared" si="6"/>
        <v>233.71250000000001</v>
      </c>
      <c r="T12" s="642">
        <f t="shared" si="6"/>
        <v>241.875</v>
      </c>
      <c r="U12" s="642">
        <f t="shared" si="6"/>
        <v>240.96250000000001</v>
      </c>
      <c r="V12" s="642">
        <f t="shared" si="6"/>
        <v>237.08750000000001</v>
      </c>
      <c r="W12" s="642">
        <f t="shared" si="6"/>
        <v>238.77500000000001</v>
      </c>
      <c r="X12" s="642">
        <f t="shared" si="6"/>
        <v>233.63749999999999</v>
      </c>
      <c r="Y12" s="642">
        <f t="shared" si="6"/>
        <v>231.35</v>
      </c>
      <c r="Z12" s="642">
        <f t="shared" si="6"/>
        <v>250.98750000000001</v>
      </c>
      <c r="AA12" s="642">
        <f t="shared" si="6"/>
        <v>247.41249999999999</v>
      </c>
      <c r="AB12" s="642">
        <f t="shared" si="6"/>
        <v>248.6</v>
      </c>
      <c r="AC12" s="642">
        <f t="shared" si="6"/>
        <v>263.35000000000002</v>
      </c>
      <c r="AD12" s="642">
        <f t="shared" si="6"/>
        <v>254.1</v>
      </c>
      <c r="AE12" s="642">
        <f t="shared" si="6"/>
        <v>244.91499999999999</v>
      </c>
      <c r="AF12" s="642">
        <f t="shared" si="6"/>
        <v>243.25</v>
      </c>
      <c r="AG12" s="642">
        <f t="shared" si="6"/>
        <v>241.14500000000001</v>
      </c>
      <c r="AH12" s="642">
        <f t="shared" si="6"/>
        <v>238.42</v>
      </c>
      <c r="AI12" s="642">
        <f t="shared" si="6"/>
        <v>238.78</v>
      </c>
      <c r="AJ12" s="642">
        <f t="shared" si="6"/>
        <v>235.905</v>
      </c>
      <c r="AK12" s="642">
        <f t="shared" si="6"/>
        <v>236.85499999999999</v>
      </c>
      <c r="AL12" s="642">
        <f t="shared" si="6"/>
        <v>195.56</v>
      </c>
      <c r="AM12" s="642">
        <f t="shared" si="6"/>
        <v>198.17500000000001</v>
      </c>
      <c r="AN12" s="642">
        <f t="shared" si="6"/>
        <v>199.16</v>
      </c>
      <c r="AO12" s="642">
        <f t="shared" si="6"/>
        <v>201.66</v>
      </c>
      <c r="AP12" s="642">
        <f t="shared" si="6"/>
        <v>201.45500000000001</v>
      </c>
      <c r="AQ12" s="642">
        <f t="shared" si="6"/>
        <v>208.1</v>
      </c>
      <c r="AR12" s="642">
        <f t="shared" si="6"/>
        <v>215.125</v>
      </c>
      <c r="AS12" s="642">
        <f t="shared" si="6"/>
        <v>218.9375</v>
      </c>
      <c r="AT12" s="642">
        <f t="shared" si="6"/>
        <v>221.85</v>
      </c>
      <c r="AU12" s="642">
        <f t="shared" si="6"/>
        <v>225.67500000000001</v>
      </c>
      <c r="AV12" s="642">
        <f t="shared" si="6"/>
        <v>237.4</v>
      </c>
      <c r="AW12" s="642">
        <f t="shared" si="6"/>
        <v>230.88749999999999</v>
      </c>
      <c r="AX12" s="642">
        <f t="shared" si="6"/>
        <v>174.63749999999999</v>
      </c>
      <c r="AY12" s="642">
        <f t="shared" si="6"/>
        <v>172.86250000000001</v>
      </c>
      <c r="AZ12" s="642">
        <f t="shared" si="6"/>
        <v>171.005</v>
      </c>
      <c r="BA12" s="642">
        <f t="shared" si="6"/>
        <v>168.37</v>
      </c>
      <c r="BB12" s="642">
        <f t="shared" si="6"/>
        <v>167.74</v>
      </c>
      <c r="BC12" s="642">
        <f t="shared" si="6"/>
        <v>171.065</v>
      </c>
      <c r="BD12" s="642">
        <f t="shared" si="6"/>
        <v>171.7</v>
      </c>
      <c r="BE12" s="642">
        <f t="shared" si="6"/>
        <v>189.07499999999999</v>
      </c>
      <c r="BF12" s="642">
        <f t="shared" si="6"/>
        <v>192.26249999999999</v>
      </c>
      <c r="BG12" s="642">
        <f t="shared" si="6"/>
        <v>198.1</v>
      </c>
      <c r="BH12" s="642">
        <f t="shared" si="6"/>
        <v>190.86250000000001</v>
      </c>
      <c r="BI12" s="642">
        <f t="shared" si="6"/>
        <v>198.875</v>
      </c>
      <c r="BJ12" s="642">
        <f t="shared" si="6"/>
        <v>161.77500000000001</v>
      </c>
      <c r="BK12" s="642">
        <f t="shared" si="6"/>
        <v>155.85</v>
      </c>
      <c r="BL12" s="642">
        <f t="shared" si="6"/>
        <v>146.68</v>
      </c>
      <c r="BM12" s="642">
        <f t="shared" si="6"/>
        <v>143.51</v>
      </c>
      <c r="BN12" s="642">
        <f t="shared" si="6"/>
        <v>142.94999999999999</v>
      </c>
      <c r="BO12" s="642">
        <f t="shared" ref="BO12:CJ12" si="7">BO9+BO4</f>
        <v>139.13</v>
      </c>
      <c r="BP12" s="642">
        <f t="shared" si="7"/>
        <v>134.52000000000001</v>
      </c>
      <c r="BQ12" s="642">
        <f t="shared" si="7"/>
        <v>130.23500000000001</v>
      </c>
      <c r="BR12" s="642">
        <f t="shared" si="7"/>
        <v>134.16999999999999</v>
      </c>
      <c r="BS12" s="642">
        <f t="shared" si="7"/>
        <v>132.035</v>
      </c>
      <c r="BT12" s="642">
        <f t="shared" si="7"/>
        <v>134.1</v>
      </c>
      <c r="BU12" s="642">
        <f t="shared" si="7"/>
        <v>131.37</v>
      </c>
      <c r="BV12" s="642">
        <f t="shared" si="7"/>
        <v>246.5</v>
      </c>
      <c r="BW12" s="642">
        <f t="shared" si="7"/>
        <v>250.67500000000001</v>
      </c>
      <c r="BX12" s="642">
        <f t="shared" si="7"/>
        <v>259.98750000000001</v>
      </c>
      <c r="BY12" s="642">
        <f t="shared" si="7"/>
        <v>258</v>
      </c>
      <c r="BZ12" s="642">
        <f t="shared" si="7"/>
        <v>244.36</v>
      </c>
      <c r="CA12" s="642">
        <f t="shared" si="7"/>
        <v>242.3</v>
      </c>
      <c r="CB12" s="642">
        <f t="shared" si="7"/>
        <v>239.83</v>
      </c>
      <c r="CC12" s="642">
        <f t="shared" si="7"/>
        <v>235.24</v>
      </c>
      <c r="CD12" s="642">
        <f t="shared" si="7"/>
        <v>239.57</v>
      </c>
      <c r="CE12" s="642">
        <f t="shared" si="7"/>
        <v>241.5</v>
      </c>
      <c r="CF12" s="642">
        <f t="shared" si="7"/>
        <v>236.99</v>
      </c>
      <c r="CG12" s="642">
        <f t="shared" si="7"/>
        <v>236.59</v>
      </c>
      <c r="CH12" s="642">
        <f t="shared" si="7"/>
        <v>298.10000000000002</v>
      </c>
      <c r="CI12" s="642">
        <f t="shared" si="7"/>
        <v>293.69499999999999</v>
      </c>
      <c r="CJ12" s="642">
        <f t="shared" si="7"/>
        <v>291.39499999999998</v>
      </c>
    </row>
    <row r="13" spans="1:121" s="644" customFormat="1" ht="14.5" thickBot="1">
      <c r="A13" s="639" t="s">
        <v>675</v>
      </c>
      <c r="B13" s="640">
        <f>AVERAGE(B12:D12)</f>
        <v>212.95500000000001</v>
      </c>
      <c r="C13" s="640">
        <f>AVERAGE(B12:D12)</f>
        <v>212.95500000000001</v>
      </c>
      <c r="D13" s="640">
        <f>AVERAGE(B12:D12)</f>
        <v>212.95500000000001</v>
      </c>
      <c r="E13" s="640">
        <f>AVERAGE(E12:G12)</f>
        <v>207.99333333333334</v>
      </c>
      <c r="F13" s="640">
        <f>AVERAGE(E12:G12)</f>
        <v>207.99333333333334</v>
      </c>
      <c r="G13" s="640">
        <f>AVERAGE(E12:G12)</f>
        <v>207.99333333333334</v>
      </c>
      <c r="H13" s="640">
        <f>AVERAGE(H12:J12)</f>
        <v>208.02833333333334</v>
      </c>
      <c r="I13" s="640">
        <f>AVERAGE(H12:J12)</f>
        <v>208.02833333333334</v>
      </c>
      <c r="J13" s="640">
        <f>AVERAGE(H12:J12)</f>
        <v>208.02833333333334</v>
      </c>
      <c r="K13" s="640">
        <f>AVERAGE(K12:M12)</f>
        <v>210.45000000000002</v>
      </c>
      <c r="L13" s="640">
        <f>AVERAGE(K12:M12)</f>
        <v>210.45000000000002</v>
      </c>
      <c r="M13" s="640">
        <f>AVERAGE(K12:M12)</f>
        <v>210.45000000000002</v>
      </c>
      <c r="N13" s="640">
        <f>AVERAGE(N12:P12)</f>
        <v>224.41166666666666</v>
      </c>
      <c r="O13" s="640">
        <f>AVERAGE(N12:P12)</f>
        <v>224.41166666666666</v>
      </c>
      <c r="P13" s="640">
        <f>AVERAGE(N12:P12)</f>
        <v>224.41166666666666</v>
      </c>
      <c r="Q13" s="640">
        <f>AVERAGE(Q12:S12)</f>
        <v>228.16666666666666</v>
      </c>
      <c r="R13" s="640">
        <f>AVERAGE(Q12:S12)</f>
        <v>228.16666666666666</v>
      </c>
      <c r="S13" s="640">
        <f>AVERAGE(Q12:S12)</f>
        <v>228.16666666666666</v>
      </c>
      <c r="T13" s="640">
        <f>AVERAGE(T12:V12)</f>
        <v>239.97499999999999</v>
      </c>
      <c r="U13" s="640">
        <f>AVERAGE(T12:V12)</f>
        <v>239.97499999999999</v>
      </c>
      <c r="V13" s="640">
        <f>AVERAGE(T12:V12)</f>
        <v>239.97499999999999</v>
      </c>
      <c r="W13" s="640">
        <f>AVERAGE(W12:Y12)</f>
        <v>234.58750000000001</v>
      </c>
      <c r="X13" s="640">
        <f>AVERAGE(W12:Y12)</f>
        <v>234.58750000000001</v>
      </c>
      <c r="Y13" s="640">
        <f>AVERAGE(W12:Y12)</f>
        <v>234.58750000000001</v>
      </c>
      <c r="Z13" s="640">
        <f>AVERAGE(Z12:AB12)</f>
        <v>249</v>
      </c>
      <c r="AA13" s="640">
        <f>AVERAGE(Z12:AB12)</f>
        <v>249</v>
      </c>
      <c r="AB13" s="640">
        <f>AVERAGE(Z12:AB12)</f>
        <v>249</v>
      </c>
      <c r="AC13" s="640">
        <f>AVERAGE(AC12:AE12)</f>
        <v>254.12166666666667</v>
      </c>
      <c r="AD13" s="640">
        <f>AVERAGE(AC12:AE12)</f>
        <v>254.12166666666667</v>
      </c>
      <c r="AE13" s="640">
        <f>AVERAGE(AC12:AE12)</f>
        <v>254.12166666666667</v>
      </c>
      <c r="AF13" s="640">
        <f>AVERAGE(AF12:AH12)</f>
        <v>240.9383333333333</v>
      </c>
      <c r="AG13" s="640">
        <f>AVERAGE(AF12:AH12)</f>
        <v>240.9383333333333</v>
      </c>
      <c r="AH13" s="640">
        <f>AVERAGE(AF12:AH12)</f>
        <v>240.9383333333333</v>
      </c>
      <c r="AI13" s="640">
        <f>AVERAGE(AI12:AK12)</f>
        <v>237.17999999999998</v>
      </c>
      <c r="AJ13" s="640">
        <f>AVERAGE(AI12:AK12)</f>
        <v>237.17999999999998</v>
      </c>
      <c r="AK13" s="640">
        <f>AVERAGE(AI12:AK12)</f>
        <v>237.17999999999998</v>
      </c>
      <c r="AL13" s="640">
        <f>AVERAGE(AL12:AN12)</f>
        <v>197.63166666666666</v>
      </c>
      <c r="AM13" s="640">
        <f>AVERAGE(AL12:AN12)</f>
        <v>197.63166666666666</v>
      </c>
      <c r="AN13" s="640">
        <f>AVERAGE(AL12:AN12)</f>
        <v>197.63166666666666</v>
      </c>
      <c r="AO13" s="640">
        <f>AVERAGE(AO12:AQ12)</f>
        <v>203.73833333333334</v>
      </c>
      <c r="AP13" s="640">
        <f>AVERAGE(AO12:AQ12)</f>
        <v>203.73833333333334</v>
      </c>
      <c r="AQ13" s="640">
        <f>AVERAGE(AO12:AQ12)</f>
        <v>203.73833333333334</v>
      </c>
      <c r="AR13" s="640">
        <f>AVERAGE(AR12:AT12)</f>
        <v>218.63750000000002</v>
      </c>
      <c r="AS13" s="640">
        <f>AVERAGE(AR12:AT12)</f>
        <v>218.63750000000002</v>
      </c>
      <c r="AT13" s="640">
        <f>AVERAGE(AR12:AT12)</f>
        <v>218.63750000000002</v>
      </c>
      <c r="AU13" s="640">
        <f>AVERAGE(AU12:AW12)</f>
        <v>231.32083333333335</v>
      </c>
      <c r="AV13" s="640">
        <f>AVERAGE(AU12:AW12)</f>
        <v>231.32083333333335</v>
      </c>
      <c r="AW13" s="640">
        <f>AVERAGE(AU12:AW12)</f>
        <v>231.32083333333335</v>
      </c>
      <c r="AX13" s="640">
        <f>AVERAGE(AX12:AZ12)</f>
        <v>172.83500000000001</v>
      </c>
      <c r="AY13" s="640">
        <f>AVERAGE(AX12:AZ12)</f>
        <v>172.83500000000001</v>
      </c>
      <c r="AZ13" s="640">
        <f>AVERAGE(AX12:AZ12)</f>
        <v>172.83500000000001</v>
      </c>
      <c r="BA13" s="640">
        <f>AVERAGE(BA12:BC12)</f>
        <v>169.05833333333334</v>
      </c>
      <c r="BB13" s="640">
        <f>AVERAGE(BA12:BC12)</f>
        <v>169.05833333333334</v>
      </c>
      <c r="BC13" s="640">
        <f>AVERAGE(BA12:BC12)</f>
        <v>169.05833333333334</v>
      </c>
      <c r="BD13" s="640">
        <f>AVERAGE(BD12:BF12)</f>
        <v>184.3458333333333</v>
      </c>
      <c r="BE13" s="640">
        <f>AVERAGE(BD12:BF12)</f>
        <v>184.3458333333333</v>
      </c>
      <c r="BF13" s="640">
        <f>AVERAGE(BD12:BF12)</f>
        <v>184.3458333333333</v>
      </c>
      <c r="BG13" s="640">
        <f>AVERAGE(BG12:BI12)</f>
        <v>195.94583333333333</v>
      </c>
      <c r="BH13" s="640">
        <f>AVERAGE(BG12:BI12)</f>
        <v>195.94583333333333</v>
      </c>
      <c r="BI13" s="640">
        <f>AVERAGE(BG12:BI12)</f>
        <v>195.94583333333333</v>
      </c>
      <c r="BJ13" s="640">
        <f>AVERAGE(BJ12:BL12)</f>
        <v>154.76833333333335</v>
      </c>
      <c r="BK13" s="640">
        <f>AVERAGE(BJ12:BL12)</f>
        <v>154.76833333333335</v>
      </c>
      <c r="BL13" s="640">
        <f>AVERAGE(BJ12:BL12)</f>
        <v>154.76833333333335</v>
      </c>
      <c r="BM13" s="640">
        <f>AVERAGE(BM12:BO12)</f>
        <v>141.86333333333332</v>
      </c>
      <c r="BN13" s="640">
        <f>AVERAGE(BM12:BO12)</f>
        <v>141.86333333333332</v>
      </c>
      <c r="BO13" s="640">
        <f>AVERAGE(BM12:BO12)</f>
        <v>141.86333333333332</v>
      </c>
      <c r="BP13" s="640">
        <f>AVERAGE(BP12:BR12)</f>
        <v>132.97499999999999</v>
      </c>
      <c r="BQ13" s="640">
        <f>AVERAGE(BP12:BR12)</f>
        <v>132.97499999999999</v>
      </c>
      <c r="BR13" s="640">
        <f>AVERAGE(BP12:BR12)</f>
        <v>132.97499999999999</v>
      </c>
      <c r="BS13" s="640">
        <f>AVERAGE(BS12:BU12)</f>
        <v>132.50166666666667</v>
      </c>
      <c r="BT13" s="640">
        <f>AVERAGE(BS12:BU12)</f>
        <v>132.50166666666667</v>
      </c>
      <c r="BU13" s="640">
        <f>AVERAGE(BS12:BU12)</f>
        <v>132.50166666666667</v>
      </c>
      <c r="BV13" s="640">
        <f>AVERAGE(BV12:BX12)</f>
        <v>252.38750000000002</v>
      </c>
      <c r="BW13" s="640">
        <f>AVERAGE(BV12:BX12)</f>
        <v>252.38750000000002</v>
      </c>
      <c r="BX13" s="640">
        <f>AVERAGE(BV12:BX12)</f>
        <v>252.38750000000002</v>
      </c>
      <c r="BY13" s="640">
        <f>AVERAGE(BY12:CA12)</f>
        <v>248.22000000000003</v>
      </c>
      <c r="BZ13" s="640">
        <f>AVERAGE(BY12:CA12)</f>
        <v>248.22000000000003</v>
      </c>
      <c r="CA13" s="640">
        <f>AVERAGE(BY12:CA12)</f>
        <v>248.22000000000003</v>
      </c>
      <c r="CB13" s="640">
        <f>AVERAGE(CB12:CD12)</f>
        <v>238.21333333333337</v>
      </c>
      <c r="CC13" s="640">
        <f>AVERAGE(CB12:CD12)</f>
        <v>238.21333333333337</v>
      </c>
      <c r="CD13" s="640">
        <f>AVERAGE(CB12:CD12)</f>
        <v>238.21333333333337</v>
      </c>
      <c r="CE13" s="640">
        <f>AVERAGE(CE12:CG12)</f>
        <v>238.36</v>
      </c>
      <c r="CF13" s="640">
        <f>AVERAGE(CE12:CG12)</f>
        <v>238.36</v>
      </c>
      <c r="CG13" s="640">
        <f>AVERAGE(CE12:CG12)</f>
        <v>238.36</v>
      </c>
      <c r="CH13" s="640">
        <f>AVERAGE(CH12:CJ12)</f>
        <v>294.3966666666667</v>
      </c>
      <c r="CI13" s="640">
        <f>AVERAGE(CH12:CJ12)</f>
        <v>294.3966666666667</v>
      </c>
      <c r="CJ13" s="640">
        <f>AVERAGE(CH12:CJ12)</f>
        <v>294.3966666666667</v>
      </c>
      <c r="CK13" s="640" t="e">
        <f>AVERAGE(CK12:CM12)</f>
        <v>#DIV/0!</v>
      </c>
      <c r="CL13" s="640" t="e">
        <f>AVERAGE(CK12:CM12)</f>
        <v>#DIV/0!</v>
      </c>
      <c r="CM13" s="640" t="e">
        <f>AVERAGE(CK12:CM12)</f>
        <v>#DIV/0!</v>
      </c>
      <c r="CN13" s="640" t="e">
        <f>AVERAGE(CN12:CP12)</f>
        <v>#DIV/0!</v>
      </c>
      <c r="CO13" s="640" t="e">
        <f>AVERAGE(CN12:CP12)</f>
        <v>#DIV/0!</v>
      </c>
      <c r="CP13" s="640" t="e">
        <f>AVERAGE(CN12:CP12)</f>
        <v>#DIV/0!</v>
      </c>
      <c r="CQ13" s="640" t="e">
        <f>AVERAGE(CQ12:CS12)</f>
        <v>#DIV/0!</v>
      </c>
      <c r="CR13" s="640" t="e">
        <f>AVERAGE(CQ12:CS12)</f>
        <v>#DIV/0!</v>
      </c>
      <c r="CS13" s="640" t="e">
        <f>AVERAGE(CQ12:CS12)</f>
        <v>#DIV/0!</v>
      </c>
      <c r="CT13" s="640" t="e">
        <f>AVERAGE(CT12:CV12)</f>
        <v>#DIV/0!</v>
      </c>
      <c r="CU13" s="640" t="e">
        <f>AVERAGE(CT12:CV12)</f>
        <v>#DIV/0!</v>
      </c>
      <c r="CV13" s="640" t="e">
        <f>AVERAGE(CT12:CV12)</f>
        <v>#DIV/0!</v>
      </c>
      <c r="CW13" s="640" t="e">
        <f>AVERAGE(CW12:CY12)</f>
        <v>#DIV/0!</v>
      </c>
      <c r="CX13" s="640" t="e">
        <f>AVERAGE(CW12:CY12)</f>
        <v>#DIV/0!</v>
      </c>
      <c r="CY13" s="640" t="e">
        <f>AVERAGE(CW12:CY12)</f>
        <v>#DIV/0!</v>
      </c>
      <c r="CZ13" s="640" t="e">
        <f>AVERAGE(CZ12:DB12)</f>
        <v>#DIV/0!</v>
      </c>
      <c r="DA13" s="640" t="e">
        <f>AVERAGE(CZ12:DB12)</f>
        <v>#DIV/0!</v>
      </c>
      <c r="DB13" s="640" t="e">
        <f>AVERAGE(CZ12:DB12)</f>
        <v>#DIV/0!</v>
      </c>
      <c r="DC13" s="640" t="e">
        <f>AVERAGE(DC12:DE12)</f>
        <v>#DIV/0!</v>
      </c>
      <c r="DD13" s="640" t="e">
        <f>AVERAGE(DC12:DE12)</f>
        <v>#DIV/0!</v>
      </c>
      <c r="DE13" s="640" t="e">
        <f>AVERAGE(DC12:DE12)</f>
        <v>#DIV/0!</v>
      </c>
      <c r="DF13" s="640" t="e">
        <f>AVERAGE(DF12:DH12)</f>
        <v>#DIV/0!</v>
      </c>
      <c r="DG13" s="640" t="e">
        <f>AVERAGE(DF12:DH12)</f>
        <v>#DIV/0!</v>
      </c>
      <c r="DH13" s="640" t="e">
        <f>AVERAGE(DF12:DH12)</f>
        <v>#DIV/0!</v>
      </c>
      <c r="DI13" s="640" t="e">
        <f>AVERAGE(DI12:DK12)</f>
        <v>#DIV/0!</v>
      </c>
      <c r="DJ13" s="640" t="e">
        <f>AVERAGE(DI12:DK12)</f>
        <v>#DIV/0!</v>
      </c>
      <c r="DK13" s="640" t="e">
        <f>AVERAGE(DI12:DK12)</f>
        <v>#DIV/0!</v>
      </c>
      <c r="DL13" s="640" t="e">
        <f>AVERAGE(DL12:DN12)</f>
        <v>#DIV/0!</v>
      </c>
      <c r="DM13" s="640" t="e">
        <f>AVERAGE(DL12:DN12)</f>
        <v>#DIV/0!</v>
      </c>
      <c r="DN13" s="640" t="e">
        <f>AVERAGE(DL12:DN12)</f>
        <v>#DIV/0!</v>
      </c>
      <c r="DO13" s="640" t="e">
        <f>AVERAGE(DO12:DQ12)</f>
        <v>#DIV/0!</v>
      </c>
      <c r="DP13" s="640" t="e">
        <f>AVERAGE(DO12:DQ12)</f>
        <v>#DIV/0!</v>
      </c>
      <c r="DQ13" s="640" t="e">
        <f>AVERAGE(DO12:DQ12)</f>
        <v>#DIV/0!</v>
      </c>
    </row>
    <row r="14" spans="1:121" s="633" customFormat="1" ht="14.5" thickTop="1">
      <c r="A14" s="1" t="s">
        <v>677</v>
      </c>
      <c r="Y14" s="634">
        <f>AVERAGE(B13:M13)</f>
        <v>209.85666666666665</v>
      </c>
      <c r="AK14" s="634">
        <f>AVERAGE(Z13:AK13)</f>
        <v>245.30999999999995</v>
      </c>
      <c r="AW14" s="634">
        <f>AVERAGE(AL13:AW13)</f>
        <v>212.83208333333334</v>
      </c>
      <c r="BI14" s="634">
        <f>AVERAGE(AX13:BI13)</f>
        <v>180.54624999999999</v>
      </c>
      <c r="BU14" s="634">
        <f>AVERAGE(BJ13:BU13)</f>
        <v>140.52708333333331</v>
      </c>
      <c r="CG14" s="634">
        <f>AVERAGE(BV13:CG13)</f>
        <v>244.29520833333336</v>
      </c>
      <c r="CS14" s="634">
        <f>IFERROR(AVERAGE(CH13:CS13),CH13)</f>
        <v>294.3966666666667</v>
      </c>
    </row>
    <row r="15" spans="1:121" s="633" customFormat="1">
      <c r="A15" s="1"/>
    </row>
    <row r="16" spans="1:121" s="633" customFormat="1">
      <c r="A16" s="1"/>
    </row>
    <row r="17" spans="1:1" s="633" customFormat="1">
      <c r="A17" s="1"/>
    </row>
    <row r="18" spans="1:1" s="633" customFormat="1">
      <c r="A18" s="1"/>
    </row>
    <row r="19" spans="1:1" s="633" customFormat="1">
      <c r="A19" s="1"/>
    </row>
    <row r="20" spans="1:1" s="633" customFormat="1">
      <c r="A20" s="1"/>
    </row>
    <row r="21" spans="1:1" s="633" customFormat="1">
      <c r="A21" s="1"/>
    </row>
    <row r="22" spans="1:1" s="633" customFormat="1">
      <c r="A22" s="1"/>
    </row>
    <row r="23" spans="1:1" s="633" customFormat="1">
      <c r="A23" s="1"/>
    </row>
    <row r="24" spans="1:1" s="633" customFormat="1">
      <c r="A24" s="1"/>
    </row>
    <row r="25" spans="1:1" s="633" customFormat="1">
      <c r="A25" s="1"/>
    </row>
    <row r="26" spans="1:1" s="633" customFormat="1">
      <c r="A26" s="1"/>
    </row>
    <row r="27" spans="1:1" s="633" customFormat="1">
      <c r="A27" s="1"/>
    </row>
    <row r="28" spans="1:1" s="633" customFormat="1">
      <c r="A28" s="1"/>
    </row>
    <row r="29" spans="1:1" s="633" customFormat="1">
      <c r="A29" s="1"/>
    </row>
    <row r="30" spans="1:1" s="633" customFormat="1">
      <c r="A30" s="1"/>
    </row>
    <row r="31" spans="1:1" s="633" customFormat="1">
      <c r="A31" s="1"/>
    </row>
    <row r="32" spans="1:1" s="633" customFormat="1">
      <c r="A32" s="1"/>
    </row>
    <row r="33" spans="1:1" s="633" customFormat="1">
      <c r="A33" s="1"/>
    </row>
    <row r="34" spans="1:1" s="633" customFormat="1">
      <c r="A34" s="1"/>
    </row>
    <row r="35" spans="1:1" s="633" customFormat="1">
      <c r="A35" s="1"/>
    </row>
    <row r="36" spans="1:1" s="633" customFormat="1">
      <c r="A36" s="1"/>
    </row>
    <row r="37" spans="1:1" s="633" customFormat="1">
      <c r="A37" s="1"/>
    </row>
    <row r="38" spans="1:1" s="633" customFormat="1">
      <c r="A38" s="1"/>
    </row>
    <row r="39" spans="1:1" s="633" customFormat="1">
      <c r="A39" s="1"/>
    </row>
    <row r="40" spans="1:1" s="633" customFormat="1">
      <c r="A40" s="1"/>
    </row>
    <row r="41" spans="1:1" s="633" customFormat="1">
      <c r="A41" s="1"/>
    </row>
    <row r="42" spans="1:1" s="633" customFormat="1">
      <c r="A42" s="1"/>
    </row>
    <row r="43" spans="1:1" s="633" customFormat="1">
      <c r="A43" s="1"/>
    </row>
    <row r="44" spans="1:1" s="633" customFormat="1">
      <c r="A44" s="1"/>
    </row>
    <row r="45" spans="1:1" s="633" customFormat="1">
      <c r="A45" s="1"/>
    </row>
    <row r="46" spans="1:1" s="633" customFormat="1">
      <c r="A46" s="1"/>
    </row>
    <row r="47" spans="1:1" s="633" customFormat="1">
      <c r="A47" s="1"/>
    </row>
    <row r="48" spans="1:1" s="633" customFormat="1">
      <c r="A48" s="1"/>
    </row>
    <row r="49" spans="1:1" s="633" customFormat="1">
      <c r="A49" s="1"/>
    </row>
    <row r="50" spans="1:1" s="633" customFormat="1">
      <c r="A50" s="1"/>
    </row>
    <row r="51" spans="1:1" s="633" customFormat="1">
      <c r="A51" s="1"/>
    </row>
    <row r="52" spans="1:1" s="633" customFormat="1">
      <c r="A52" s="1"/>
    </row>
    <row r="53" spans="1:1" s="633" customFormat="1">
      <c r="A53" s="1"/>
    </row>
    <row r="54" spans="1:1" s="633" customFormat="1">
      <c r="A54" s="1"/>
    </row>
    <row r="55" spans="1:1" s="633" customFormat="1">
      <c r="A55" s="1"/>
    </row>
    <row r="56" spans="1:1" s="633" customFormat="1">
      <c r="A56" s="1"/>
    </row>
    <row r="57" spans="1:1" s="633" customFormat="1">
      <c r="A57" s="1"/>
    </row>
    <row r="58" spans="1:1" s="633" customFormat="1">
      <c r="A58" s="1"/>
    </row>
    <row r="59" spans="1:1" s="633" customFormat="1">
      <c r="A59" s="1"/>
    </row>
    <row r="60" spans="1:1" s="633" customFormat="1">
      <c r="A60" s="1"/>
    </row>
    <row r="61" spans="1:1" s="633" customFormat="1">
      <c r="A61" s="1"/>
    </row>
    <row r="62" spans="1:1" s="633" customFormat="1">
      <c r="A62" s="1"/>
    </row>
    <row r="63" spans="1:1" s="633" customFormat="1">
      <c r="A63" s="1"/>
    </row>
    <row r="64" spans="1:1" s="633" customFormat="1">
      <c r="A64" s="1"/>
    </row>
    <row r="65" spans="1:1" s="633" customFormat="1">
      <c r="A65" s="1"/>
    </row>
    <row r="66" spans="1:1" s="633" customFormat="1">
      <c r="A66" s="1"/>
    </row>
    <row r="67" spans="1:1" s="633" customFormat="1">
      <c r="A67" s="1"/>
    </row>
    <row r="68" spans="1:1" s="633" customFormat="1">
      <c r="A68" s="1"/>
    </row>
    <row r="69" spans="1:1" s="633" customFormat="1">
      <c r="A69" s="1"/>
    </row>
    <row r="70" spans="1:1" s="633" customFormat="1">
      <c r="A70" s="1"/>
    </row>
    <row r="71" spans="1:1" s="633" customFormat="1">
      <c r="A71" s="1"/>
    </row>
    <row r="72" spans="1:1" s="633" customFormat="1">
      <c r="A72" s="1"/>
    </row>
    <row r="73" spans="1:1" s="633" customFormat="1">
      <c r="A73" s="1"/>
    </row>
    <row r="74" spans="1:1" s="633" customFormat="1">
      <c r="A74" s="1"/>
    </row>
    <row r="75" spans="1:1" s="633" customFormat="1">
      <c r="A75" s="1"/>
    </row>
    <row r="76" spans="1:1" s="633" customFormat="1">
      <c r="A76" s="1"/>
    </row>
    <row r="77" spans="1:1" s="633" customFormat="1">
      <c r="A77" s="1"/>
    </row>
    <row r="78" spans="1:1" s="633" customFormat="1">
      <c r="A78" s="1"/>
    </row>
    <row r="79" spans="1:1" s="633" customFormat="1">
      <c r="A79" s="1"/>
    </row>
    <row r="80" spans="1:1" s="633" customFormat="1">
      <c r="A80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2:O21"/>
  <sheetViews>
    <sheetView zoomScale="60" zoomScaleNormal="60" workbookViewId="0">
      <selection activeCell="E3" sqref="E3"/>
    </sheetView>
  </sheetViews>
  <sheetFormatPr defaultColWidth="8.58203125" defaultRowHeight="14"/>
  <cols>
    <col min="1" max="1" width="11.83203125" style="797" bestFit="1" customWidth="1"/>
    <col min="2" max="2" width="27.25" style="797" bestFit="1" customWidth="1"/>
    <col min="3" max="4" width="32.33203125" style="797" bestFit="1" customWidth="1"/>
    <col min="5" max="5" width="9.75" style="797" bestFit="1" customWidth="1"/>
    <col min="6" max="7" width="8.58203125" style="797"/>
    <col min="8" max="8" width="20.58203125" style="797" bestFit="1" customWidth="1"/>
    <col min="9" max="9" width="8.58203125" style="797"/>
    <col min="10" max="10" width="13.25" style="797" bestFit="1" customWidth="1"/>
    <col min="11" max="16384" width="8.58203125" style="797"/>
  </cols>
  <sheetData>
    <row r="2" spans="2:15" ht="15.5">
      <c r="B2" s="901"/>
      <c r="C2" s="901"/>
      <c r="D2" s="907" t="s">
        <v>852</v>
      </c>
      <c r="E2" s="928"/>
      <c r="F2" s="854"/>
      <c r="G2" s="854"/>
      <c r="H2" s="907" t="s">
        <v>829</v>
      </c>
      <c r="I2" s="908"/>
      <c r="J2" s="909"/>
      <c r="K2" s="909"/>
      <c r="L2" s="910"/>
      <c r="M2" s="854"/>
      <c r="N2" s="854"/>
      <c r="O2" s="854"/>
    </row>
    <row r="3" spans="2:15" ht="15.5">
      <c r="B3" s="902" t="s">
        <v>618</v>
      </c>
      <c r="C3" s="903"/>
      <c r="D3" s="921" t="s">
        <v>622</v>
      </c>
      <c r="E3" s="922">
        <v>4.1304545042184522</v>
      </c>
      <c r="F3" s="904"/>
      <c r="G3" s="854"/>
      <c r="H3" s="911"/>
      <c r="I3" s="904"/>
      <c r="J3" s="904"/>
      <c r="K3" s="904"/>
      <c r="L3" s="912"/>
      <c r="M3" s="854"/>
      <c r="N3" s="854"/>
      <c r="O3" s="854"/>
    </row>
    <row r="4" spans="2:15" ht="15.5">
      <c r="B4" s="862" t="s">
        <v>618</v>
      </c>
      <c r="C4" s="903"/>
      <c r="D4" s="924" t="s">
        <v>624</v>
      </c>
      <c r="E4" s="925">
        <v>20</v>
      </c>
      <c r="F4" s="904"/>
      <c r="G4" s="854"/>
      <c r="H4" s="913" t="s">
        <v>830</v>
      </c>
      <c r="I4" s="904"/>
      <c r="J4" s="914" t="s">
        <v>831</v>
      </c>
      <c r="K4" s="904"/>
      <c r="L4" s="912"/>
      <c r="M4" s="854"/>
      <c r="N4" s="854"/>
      <c r="O4" s="854"/>
    </row>
    <row r="5" spans="2:15" ht="15.5">
      <c r="B5" s="902" t="s">
        <v>618</v>
      </c>
      <c r="C5" s="854"/>
      <c r="D5" s="921" t="s">
        <v>663</v>
      </c>
      <c r="E5" s="922">
        <v>1.3621518642837704</v>
      </c>
      <c r="F5" s="904"/>
      <c r="G5" s="854"/>
      <c r="H5" s="915" t="s">
        <v>565</v>
      </c>
      <c r="I5" s="904"/>
      <c r="J5" s="916">
        <v>0</v>
      </c>
      <c r="K5" s="904"/>
      <c r="L5" s="912"/>
      <c r="M5" s="854"/>
      <c r="N5" s="854"/>
      <c r="O5" s="854"/>
    </row>
    <row r="6" spans="2:15" ht="15.5">
      <c r="B6" s="862" t="s">
        <v>687</v>
      </c>
      <c r="C6" s="854"/>
      <c r="D6" s="926" t="s">
        <v>688</v>
      </c>
      <c r="E6" s="927">
        <v>1755.95</v>
      </c>
      <c r="F6" s="904"/>
      <c r="G6" s="854"/>
      <c r="H6" s="915" t="s">
        <v>848</v>
      </c>
      <c r="I6" s="904"/>
      <c r="J6" s="916" t="s">
        <v>346</v>
      </c>
      <c r="K6" s="904"/>
      <c r="L6" s="912"/>
      <c r="M6" s="854"/>
      <c r="N6" s="854"/>
      <c r="O6" s="854"/>
    </row>
    <row r="7" spans="2:15" ht="15.5">
      <c r="B7" s="902"/>
      <c r="C7" s="903"/>
      <c r="D7" s="921" t="s">
        <v>271</v>
      </c>
      <c r="E7" s="922">
        <v>1.2858000000000001</v>
      </c>
      <c r="F7" s="904"/>
      <c r="G7" s="854"/>
      <c r="H7" s="915" t="s">
        <v>832</v>
      </c>
      <c r="I7" s="904"/>
      <c r="J7" s="917">
        <v>0.05</v>
      </c>
      <c r="K7" s="904"/>
      <c r="L7" s="912"/>
      <c r="M7" s="854"/>
      <c r="N7" s="854"/>
      <c r="O7" s="854"/>
    </row>
    <row r="8" spans="2:15" ht="15.5">
      <c r="B8" s="902" t="s">
        <v>618</v>
      </c>
      <c r="C8" s="903"/>
      <c r="D8" s="924" t="s">
        <v>704</v>
      </c>
      <c r="E8" s="925">
        <v>0.96763585230880889</v>
      </c>
      <c r="F8" s="904"/>
      <c r="G8" s="854"/>
      <c r="H8" s="915" t="s">
        <v>833</v>
      </c>
      <c r="I8" s="904"/>
      <c r="J8" s="917">
        <v>-0.05</v>
      </c>
      <c r="K8" s="904"/>
      <c r="L8" s="912"/>
      <c r="M8" s="854"/>
      <c r="N8" s="854"/>
      <c r="O8" s="854"/>
    </row>
    <row r="9" spans="2:15" ht="15.5">
      <c r="B9" s="902" t="s">
        <v>687</v>
      </c>
      <c r="C9" s="903"/>
      <c r="D9" s="921" t="s">
        <v>587</v>
      </c>
      <c r="E9" s="922">
        <v>22.638400000000001</v>
      </c>
      <c r="F9" s="904"/>
      <c r="G9" s="854"/>
      <c r="H9" s="918"/>
      <c r="I9" s="919"/>
      <c r="J9" s="919"/>
      <c r="K9" s="919"/>
      <c r="L9" s="920"/>
      <c r="M9" s="854"/>
      <c r="N9" s="854"/>
      <c r="O9" s="854"/>
    </row>
    <row r="10" spans="2:15" ht="15.5">
      <c r="B10" s="862" t="s">
        <v>838</v>
      </c>
      <c r="C10" s="854"/>
      <c r="D10" s="926" t="s">
        <v>837</v>
      </c>
      <c r="E10" s="927">
        <v>349.33</v>
      </c>
      <c r="F10" s="904"/>
      <c r="G10" s="854"/>
      <c r="H10" s="854"/>
      <c r="I10" s="854"/>
      <c r="J10" s="854"/>
      <c r="K10" s="854"/>
      <c r="L10" s="854"/>
      <c r="M10" s="854"/>
      <c r="N10" s="854"/>
      <c r="O10" s="854"/>
    </row>
    <row r="11" spans="2:15" ht="15.5">
      <c r="B11" s="862" t="s">
        <v>843</v>
      </c>
      <c r="C11" s="855"/>
      <c r="D11" s="923" t="s">
        <v>770</v>
      </c>
      <c r="E11" s="1103">
        <v>70.45</v>
      </c>
      <c r="F11" s="904"/>
      <c r="G11" s="854"/>
      <c r="H11" s="854"/>
      <c r="I11" s="854"/>
      <c r="J11" s="854"/>
      <c r="K11" s="854"/>
      <c r="L11" s="854"/>
      <c r="M11" s="854"/>
      <c r="N11" s="854"/>
      <c r="O11" s="854"/>
    </row>
    <row r="12" spans="2:15" ht="15.5">
      <c r="B12" s="904"/>
      <c r="C12" s="904"/>
      <c r="D12" s="904"/>
      <c r="E12" s="904"/>
      <c r="F12" s="904"/>
      <c r="G12" s="854"/>
      <c r="H12" s="854"/>
      <c r="I12" s="854"/>
      <c r="J12" s="854"/>
      <c r="K12" s="854"/>
      <c r="L12" s="854"/>
      <c r="M12" s="854"/>
      <c r="N12" s="854"/>
      <c r="O12" s="854"/>
    </row>
    <row r="13" spans="2:15" ht="15.5">
      <c r="B13" s="904"/>
      <c r="C13" s="904"/>
      <c r="D13" s="904"/>
      <c r="E13" s="904"/>
      <c r="F13" s="904"/>
      <c r="G13" s="854"/>
      <c r="H13" s="854"/>
      <c r="I13" s="854"/>
      <c r="J13" s="854"/>
      <c r="K13" s="854"/>
      <c r="L13" s="854"/>
      <c r="M13" s="854"/>
      <c r="N13" s="854"/>
      <c r="O13" s="854"/>
    </row>
    <row r="14" spans="2:15" ht="15.5">
      <c r="B14" s="905"/>
      <c r="C14" s="906"/>
      <c r="D14" s="904"/>
      <c r="E14" s="904"/>
      <c r="F14" s="904"/>
      <c r="G14" s="854"/>
      <c r="H14" s="907" t="s">
        <v>897</v>
      </c>
      <c r="I14" s="908"/>
      <c r="J14" s="909"/>
      <c r="K14" s="909"/>
      <c r="L14" s="910"/>
      <c r="M14" s="854"/>
      <c r="N14" s="854"/>
      <c r="O14" s="854"/>
    </row>
    <row r="15" spans="2:15" ht="15.5">
      <c r="B15" s="854"/>
      <c r="C15" s="854"/>
      <c r="D15" s="854"/>
      <c r="E15" s="854"/>
      <c r="F15" s="854"/>
      <c r="G15" s="854"/>
      <c r="H15" s="911" t="s">
        <v>898</v>
      </c>
      <c r="I15" s="904"/>
      <c r="J15" s="1095">
        <v>0.03</v>
      </c>
      <c r="K15" s="904"/>
      <c r="L15" s="912"/>
      <c r="M15" s="854"/>
      <c r="N15" s="854"/>
      <c r="O15" s="854"/>
    </row>
    <row r="16" spans="2:15" ht="15.5">
      <c r="H16" s="1099" t="s">
        <v>901</v>
      </c>
      <c r="J16" s="1096">
        <v>0.05</v>
      </c>
      <c r="K16" s="904"/>
      <c r="L16" s="912"/>
    </row>
    <row r="17" spans="8:12" ht="15.5">
      <c r="H17" s="1093" t="s">
        <v>899</v>
      </c>
      <c r="I17" s="904"/>
      <c r="J17" s="1094">
        <f ca="1">Model!AL1581*(1+'Assumption Inputs'!$J$15)</f>
        <v>2400.5144800116395</v>
      </c>
      <c r="K17" s="904"/>
      <c r="L17" s="912"/>
    </row>
    <row r="18" spans="8:12" ht="15.5">
      <c r="H18" s="911" t="s">
        <v>900</v>
      </c>
      <c r="I18" s="904"/>
      <c r="J18" s="1098">
        <f ca="1">J17/(J16-J15)</f>
        <v>120025.72400058195</v>
      </c>
      <c r="K18" s="904"/>
      <c r="L18" s="912"/>
    </row>
    <row r="19" spans="8:12" ht="15.5">
      <c r="H19" s="911" t="s">
        <v>902</v>
      </c>
      <c r="I19" s="904"/>
      <c r="J19" s="1098">
        <f ca="1">J18/((1+J16)^Model!$AL$1583)</f>
        <v>77369.651866271583</v>
      </c>
      <c r="K19" s="904"/>
      <c r="L19" s="912"/>
    </row>
    <row r="20" spans="8:12" ht="15.5">
      <c r="H20" s="911" t="s">
        <v>544</v>
      </c>
      <c r="I20" s="904"/>
      <c r="J20" s="1100">
        <f ca="1">J19+SUM(Model!U1584:AL1584)</f>
        <v>85711.015419794625</v>
      </c>
      <c r="K20" s="904"/>
      <c r="L20" s="912"/>
    </row>
    <row r="21" spans="8:12" ht="15.5">
      <c r="H21" s="918"/>
      <c r="I21" s="919"/>
      <c r="J21" s="919"/>
      <c r="K21" s="919"/>
      <c r="L21" s="920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B1:AE51"/>
  <sheetViews>
    <sheetView zoomScale="80" zoomScaleNormal="80" workbookViewId="0">
      <selection activeCell="F38" sqref="F38"/>
    </sheetView>
  </sheetViews>
  <sheetFormatPr defaultRowHeight="14"/>
  <cols>
    <col min="2" max="2" width="25.75" bestFit="1" customWidth="1"/>
    <col min="3" max="3" width="14" bestFit="1" customWidth="1"/>
    <col min="4" max="4" width="15.75" bestFit="1" customWidth="1"/>
    <col min="5" max="31" width="15.08203125" bestFit="1" customWidth="1"/>
  </cols>
  <sheetData>
    <row r="1" spans="2:31">
      <c r="B1" t="s">
        <v>567</v>
      </c>
      <c r="C1">
        <v>0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</row>
    <row r="2" spans="2:31">
      <c r="B2" t="s">
        <v>568</v>
      </c>
      <c r="D2" s="3">
        <v>800000000</v>
      </c>
      <c r="E2" s="3">
        <v>800000000</v>
      </c>
      <c r="F2" s="3">
        <v>800000000</v>
      </c>
      <c r="G2" s="3">
        <v>800000000</v>
      </c>
      <c r="H2" s="3">
        <v>800000000</v>
      </c>
      <c r="I2" s="3">
        <v>800000000</v>
      </c>
      <c r="J2" s="3">
        <v>800000000</v>
      </c>
      <c r="K2" s="3">
        <v>800000000</v>
      </c>
      <c r="L2" s="3">
        <v>800000000</v>
      </c>
      <c r="M2" s="3">
        <v>800000000</v>
      </c>
      <c r="N2" s="3">
        <v>800000000</v>
      </c>
      <c r="O2" s="3">
        <v>800000000</v>
      </c>
      <c r="P2" s="3">
        <v>800000000</v>
      </c>
      <c r="Q2" s="3">
        <v>800000000</v>
      </c>
      <c r="R2" s="3">
        <v>800000000</v>
      </c>
      <c r="S2" s="3">
        <v>800000000</v>
      </c>
      <c r="T2" s="3">
        <v>800000000</v>
      </c>
      <c r="U2" s="3">
        <v>800000000</v>
      </c>
      <c r="V2" s="3">
        <v>800000000</v>
      </c>
      <c r="W2" s="3">
        <v>800000000</v>
      </c>
      <c r="X2" s="3">
        <v>800000000</v>
      </c>
      <c r="Y2" s="3">
        <v>800000000</v>
      </c>
      <c r="Z2" s="3">
        <v>800000000</v>
      </c>
      <c r="AA2" s="3">
        <v>800000000</v>
      </c>
      <c r="AB2" s="3">
        <v>800000000</v>
      </c>
      <c r="AC2" s="3"/>
      <c r="AD2" s="3"/>
      <c r="AE2" s="3"/>
    </row>
    <row r="3" spans="2:31">
      <c r="B3" t="s">
        <v>569</v>
      </c>
      <c r="D3" s="549">
        <f>D2*(0.7)</f>
        <v>560000000</v>
      </c>
      <c r="E3" s="549">
        <f t="shared" ref="E3:AB3" si="0">E2*(0.7)</f>
        <v>560000000</v>
      </c>
      <c r="F3" s="549">
        <f t="shared" si="0"/>
        <v>560000000</v>
      </c>
      <c r="G3" s="549">
        <f t="shared" si="0"/>
        <v>560000000</v>
      </c>
      <c r="H3" s="549">
        <f t="shared" si="0"/>
        <v>560000000</v>
      </c>
      <c r="I3" s="549">
        <f t="shared" si="0"/>
        <v>560000000</v>
      </c>
      <c r="J3" s="549">
        <f t="shared" si="0"/>
        <v>560000000</v>
      </c>
      <c r="K3" s="549">
        <f t="shared" si="0"/>
        <v>560000000</v>
      </c>
      <c r="L3" s="549">
        <f t="shared" si="0"/>
        <v>560000000</v>
      </c>
      <c r="M3" s="549">
        <f t="shared" si="0"/>
        <v>560000000</v>
      </c>
      <c r="N3" s="549">
        <f t="shared" si="0"/>
        <v>560000000</v>
      </c>
      <c r="O3" s="549">
        <f t="shared" si="0"/>
        <v>560000000</v>
      </c>
      <c r="P3" s="549">
        <f t="shared" si="0"/>
        <v>560000000</v>
      </c>
      <c r="Q3" s="549">
        <f t="shared" si="0"/>
        <v>560000000</v>
      </c>
      <c r="R3" s="549">
        <f t="shared" si="0"/>
        <v>560000000</v>
      </c>
      <c r="S3" s="549">
        <f t="shared" si="0"/>
        <v>560000000</v>
      </c>
      <c r="T3" s="549">
        <f t="shared" si="0"/>
        <v>560000000</v>
      </c>
      <c r="U3" s="549">
        <f t="shared" si="0"/>
        <v>560000000</v>
      </c>
      <c r="V3" s="549">
        <f t="shared" si="0"/>
        <v>560000000</v>
      </c>
      <c r="W3" s="549">
        <f t="shared" si="0"/>
        <v>560000000</v>
      </c>
      <c r="X3" s="549">
        <f t="shared" si="0"/>
        <v>560000000</v>
      </c>
      <c r="Y3" s="549">
        <f t="shared" si="0"/>
        <v>560000000</v>
      </c>
      <c r="Z3" s="549">
        <f t="shared" si="0"/>
        <v>560000000</v>
      </c>
      <c r="AA3" s="549">
        <f t="shared" si="0"/>
        <v>560000000</v>
      </c>
      <c r="AB3" s="549">
        <f t="shared" si="0"/>
        <v>560000000</v>
      </c>
      <c r="AC3" s="549"/>
      <c r="AD3" s="549"/>
      <c r="AE3" s="549"/>
    </row>
    <row r="5" spans="2:31">
      <c r="B5" s="548">
        <f>NPV(0.08,D3:AB3)</f>
        <v>5977874665.6096001</v>
      </c>
      <c r="C5" s="548"/>
    </row>
    <row r="6" spans="2:31">
      <c r="B6" s="3">
        <v>-4700000000</v>
      </c>
      <c r="C6" s="3"/>
    </row>
    <row r="7" spans="2:31">
      <c r="B7" s="548">
        <f>B5+B6</f>
        <v>1277874665.6096001</v>
      </c>
      <c r="C7" s="548"/>
    </row>
    <row r="8" spans="2:31">
      <c r="B8" s="548"/>
      <c r="C8" s="548"/>
    </row>
    <row r="9" spans="2:31">
      <c r="B9" s="548" t="s">
        <v>573</v>
      </c>
      <c r="C9" s="548"/>
    </row>
    <row r="10" spans="2:31">
      <c r="B10" s="548" t="s">
        <v>574</v>
      </c>
      <c r="C10" s="548"/>
      <c r="D10" s="546">
        <v>3</v>
      </c>
    </row>
    <row r="11" spans="2:31">
      <c r="B11" s="548" t="s">
        <v>575</v>
      </c>
      <c r="C11" s="548"/>
      <c r="D11" s="546">
        <f>D10*2204.6</f>
        <v>6613.7999999999993</v>
      </c>
    </row>
    <row r="12" spans="2:31">
      <c r="B12" s="548"/>
      <c r="C12" s="548"/>
      <c r="D12" s="546"/>
    </row>
    <row r="13" spans="2:31">
      <c r="B13" s="548" t="s">
        <v>576</v>
      </c>
      <c r="C13" s="548"/>
      <c r="D13" s="546">
        <v>1.29</v>
      </c>
    </row>
    <row r="14" spans="2:31">
      <c r="B14" s="548" t="s">
        <v>577</v>
      </c>
      <c r="C14" s="548"/>
      <c r="D14" s="546">
        <f>D13*2204.6</f>
        <v>2843.9339999999997</v>
      </c>
    </row>
    <row r="15" spans="2:31">
      <c r="B15" s="548"/>
      <c r="C15" s="548"/>
      <c r="D15" s="546"/>
    </row>
    <row r="16" spans="2:31">
      <c r="B16" s="548" t="s">
        <v>580</v>
      </c>
      <c r="C16" s="548"/>
      <c r="D16" s="546">
        <v>1.4</v>
      </c>
    </row>
    <row r="17" spans="2:31">
      <c r="B17" s="548" t="s">
        <v>581</v>
      </c>
      <c r="C17" s="548"/>
      <c r="D17" s="546">
        <f>D16*2204.6</f>
        <v>3086.4399999999996</v>
      </c>
    </row>
    <row r="18" spans="2:31">
      <c r="B18" s="548"/>
      <c r="C18" s="548"/>
      <c r="D18" s="546"/>
    </row>
    <row r="19" spans="2:31">
      <c r="B19" s="548"/>
      <c r="C19" s="548"/>
      <c r="D19" s="546"/>
    </row>
    <row r="20" spans="2:31">
      <c r="B20" s="548"/>
      <c r="C20" s="548"/>
      <c r="D20" s="546"/>
    </row>
    <row r="21" spans="2:31">
      <c r="B21" s="548"/>
      <c r="C21" s="548"/>
      <c r="D21" s="546"/>
    </row>
    <row r="22" spans="2:31">
      <c r="B22" s="548" t="s">
        <v>578</v>
      </c>
      <c r="C22" s="548"/>
      <c r="D22" s="546">
        <v>1.47</v>
      </c>
    </row>
    <row r="23" spans="2:31">
      <c r="B23" s="548" t="s">
        <v>579</v>
      </c>
      <c r="C23" s="548"/>
      <c r="D23" s="546">
        <f>D22*2204.6</f>
        <v>3240.7619999999997</v>
      </c>
    </row>
    <row r="25" spans="2:31">
      <c r="B25" s="548"/>
      <c r="C25" s="548"/>
      <c r="D25" s="546"/>
    </row>
    <row r="26" spans="2:31">
      <c r="B26" s="548" t="s">
        <v>582</v>
      </c>
      <c r="C26" s="548"/>
      <c r="D26" s="546">
        <v>1.53</v>
      </c>
    </row>
    <row r="27" spans="2:31">
      <c r="B27" s="548" t="s">
        <v>583</v>
      </c>
      <c r="C27" s="548"/>
      <c r="D27" s="546">
        <f>D26*2204.6</f>
        <v>3373.038</v>
      </c>
    </row>
    <row r="28" spans="2:31">
      <c r="B28" s="548"/>
      <c r="C28" s="548"/>
      <c r="D28" s="546"/>
    </row>
    <row r="29" spans="2:31">
      <c r="B29" s="548"/>
      <c r="C29" s="548"/>
      <c r="D29" s="546"/>
    </row>
    <row r="31" spans="2:31">
      <c r="B31" t="s">
        <v>572</v>
      </c>
    </row>
    <row r="32" spans="2:31">
      <c r="B32" t="s">
        <v>571</v>
      </c>
      <c r="D32" s="3">
        <v>286000</v>
      </c>
      <c r="E32" s="3">
        <v>286000</v>
      </c>
      <c r="F32" s="3">
        <v>286000</v>
      </c>
      <c r="G32" s="3">
        <v>286000</v>
      </c>
      <c r="H32" s="3">
        <v>286000</v>
      </c>
      <c r="I32" s="3">
        <v>228000</v>
      </c>
      <c r="J32" s="3">
        <v>228000</v>
      </c>
      <c r="K32" s="3">
        <v>228000</v>
      </c>
      <c r="L32" s="3">
        <v>228000</v>
      </c>
      <c r="M32" s="3">
        <v>228000</v>
      </c>
      <c r="N32" s="3">
        <v>228000</v>
      </c>
      <c r="O32" s="3">
        <v>228000</v>
      </c>
      <c r="P32" s="3">
        <v>228000</v>
      </c>
      <c r="Q32" s="3">
        <v>228000</v>
      </c>
      <c r="R32" s="3">
        <v>228000</v>
      </c>
      <c r="S32" s="3">
        <v>228000</v>
      </c>
      <c r="T32" s="3">
        <v>228000</v>
      </c>
      <c r="U32" s="3">
        <v>228000</v>
      </c>
      <c r="V32" s="3">
        <v>228000</v>
      </c>
      <c r="W32" s="3">
        <v>228000</v>
      </c>
      <c r="X32" s="3">
        <v>228000</v>
      </c>
      <c r="Y32" s="3">
        <v>228000</v>
      </c>
      <c r="Z32" s="3">
        <v>228000</v>
      </c>
      <c r="AA32" s="3">
        <v>228000</v>
      </c>
      <c r="AB32" s="3">
        <v>228000</v>
      </c>
      <c r="AC32" s="3">
        <v>228000</v>
      </c>
      <c r="AD32" s="3">
        <v>228000</v>
      </c>
      <c r="AE32" s="3">
        <v>228000</v>
      </c>
    </row>
    <row r="33" spans="2:31">
      <c r="B33" t="s">
        <v>570</v>
      </c>
      <c r="D33" s="3">
        <v>313000</v>
      </c>
      <c r="E33" s="3">
        <v>313000</v>
      </c>
      <c r="F33" s="3">
        <v>313000</v>
      </c>
      <c r="G33" s="3">
        <v>313000</v>
      </c>
      <c r="H33" s="3">
        <v>313000</v>
      </c>
      <c r="I33" s="3">
        <v>256000</v>
      </c>
      <c r="J33" s="3">
        <v>256000</v>
      </c>
      <c r="K33" s="3">
        <v>256000</v>
      </c>
      <c r="L33" s="3">
        <v>256000</v>
      </c>
      <c r="M33" s="3">
        <v>256000</v>
      </c>
      <c r="N33" s="3">
        <v>256000</v>
      </c>
      <c r="O33" s="3">
        <v>256000</v>
      </c>
      <c r="P33" s="3">
        <v>256000</v>
      </c>
      <c r="Q33" s="3">
        <v>256000</v>
      </c>
      <c r="R33" s="3">
        <v>256000</v>
      </c>
      <c r="S33" s="3">
        <v>256000</v>
      </c>
      <c r="T33" s="3">
        <v>256000</v>
      </c>
      <c r="U33" s="3">
        <v>256000</v>
      </c>
      <c r="V33" s="3">
        <v>256000</v>
      </c>
      <c r="W33" s="3">
        <v>256000</v>
      </c>
      <c r="X33" s="3">
        <v>256000</v>
      </c>
      <c r="Y33" s="3">
        <v>256000</v>
      </c>
      <c r="Z33" s="3">
        <v>256000</v>
      </c>
      <c r="AA33" s="3">
        <v>256000</v>
      </c>
      <c r="AB33" s="3">
        <v>256000</v>
      </c>
      <c r="AC33" s="3">
        <v>256000</v>
      </c>
      <c r="AD33" s="3">
        <v>256000</v>
      </c>
      <c r="AE33" s="3">
        <v>256000</v>
      </c>
    </row>
    <row r="34" spans="2:31"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</row>
    <row r="35" spans="2:31"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</row>
    <row r="37" spans="2:31">
      <c r="B37" t="s">
        <v>104</v>
      </c>
      <c r="D37" s="548">
        <f>D33*$D$11</f>
        <v>2070119399.9999998</v>
      </c>
      <c r="E37" s="548">
        <f t="shared" ref="E37:AE37" si="1">E33*$D$11</f>
        <v>2070119399.9999998</v>
      </c>
      <c r="F37" s="548">
        <f t="shared" si="1"/>
        <v>2070119399.9999998</v>
      </c>
      <c r="G37" s="548">
        <f t="shared" si="1"/>
        <v>2070119399.9999998</v>
      </c>
      <c r="H37" s="548">
        <f t="shared" si="1"/>
        <v>2070119399.9999998</v>
      </c>
      <c r="I37" s="548">
        <f t="shared" si="1"/>
        <v>1693132799.9999998</v>
      </c>
      <c r="J37" s="548">
        <f t="shared" si="1"/>
        <v>1693132799.9999998</v>
      </c>
      <c r="K37" s="548">
        <f t="shared" si="1"/>
        <v>1693132799.9999998</v>
      </c>
      <c r="L37" s="548">
        <f t="shared" si="1"/>
        <v>1693132799.9999998</v>
      </c>
      <c r="M37" s="548">
        <f t="shared" si="1"/>
        <v>1693132799.9999998</v>
      </c>
      <c r="N37" s="548">
        <f t="shared" si="1"/>
        <v>1693132799.9999998</v>
      </c>
      <c r="O37" s="548">
        <f t="shared" si="1"/>
        <v>1693132799.9999998</v>
      </c>
      <c r="P37" s="548">
        <f t="shared" si="1"/>
        <v>1693132799.9999998</v>
      </c>
      <c r="Q37" s="548">
        <f t="shared" si="1"/>
        <v>1693132799.9999998</v>
      </c>
      <c r="R37" s="548">
        <f t="shared" si="1"/>
        <v>1693132799.9999998</v>
      </c>
      <c r="S37" s="548">
        <f t="shared" si="1"/>
        <v>1693132799.9999998</v>
      </c>
      <c r="T37" s="548">
        <f t="shared" si="1"/>
        <v>1693132799.9999998</v>
      </c>
      <c r="U37" s="548">
        <f t="shared" si="1"/>
        <v>1693132799.9999998</v>
      </c>
      <c r="V37" s="548">
        <f t="shared" si="1"/>
        <v>1693132799.9999998</v>
      </c>
      <c r="W37" s="548">
        <f t="shared" si="1"/>
        <v>1693132799.9999998</v>
      </c>
      <c r="X37" s="548">
        <f t="shared" si="1"/>
        <v>1693132799.9999998</v>
      </c>
      <c r="Y37" s="548">
        <f t="shared" si="1"/>
        <v>1693132799.9999998</v>
      </c>
      <c r="Z37" s="548">
        <f t="shared" si="1"/>
        <v>1693132799.9999998</v>
      </c>
      <c r="AA37" s="548">
        <f t="shared" si="1"/>
        <v>1693132799.9999998</v>
      </c>
      <c r="AB37" s="548">
        <f t="shared" si="1"/>
        <v>1693132799.9999998</v>
      </c>
      <c r="AC37" s="548">
        <f t="shared" si="1"/>
        <v>1693132799.9999998</v>
      </c>
      <c r="AD37" s="548">
        <f t="shared" si="1"/>
        <v>1693132799.9999998</v>
      </c>
      <c r="AE37" s="548">
        <f t="shared" si="1"/>
        <v>1693132799.9999998</v>
      </c>
    </row>
    <row r="38" spans="2:31">
      <c r="B38" t="s">
        <v>584</v>
      </c>
      <c r="D38" s="548">
        <f>-$D$14*D33</f>
        <v>-890151341.99999988</v>
      </c>
      <c r="E38" s="548">
        <f>-$D$14*E33</f>
        <v>-890151341.99999988</v>
      </c>
      <c r="F38" s="548">
        <f>-$D$14*F33</f>
        <v>-890151341.99999988</v>
      </c>
      <c r="G38" s="548">
        <f>-$D$14*G33</f>
        <v>-890151341.99999988</v>
      </c>
      <c r="H38" s="548">
        <f>-$D$14*H33</f>
        <v>-890151341.99999988</v>
      </c>
      <c r="I38" s="548">
        <f t="shared" ref="I38:AE38" si="2">-$D$23*I33</f>
        <v>-829635071.99999988</v>
      </c>
      <c r="J38" s="548">
        <f t="shared" si="2"/>
        <v>-829635071.99999988</v>
      </c>
      <c r="K38" s="548">
        <f t="shared" si="2"/>
        <v>-829635071.99999988</v>
      </c>
      <c r="L38" s="548">
        <f t="shared" si="2"/>
        <v>-829635071.99999988</v>
      </c>
      <c r="M38" s="548">
        <f t="shared" si="2"/>
        <v>-829635071.99999988</v>
      </c>
      <c r="N38" s="548">
        <f t="shared" si="2"/>
        <v>-829635071.99999988</v>
      </c>
      <c r="O38" s="548">
        <f t="shared" si="2"/>
        <v>-829635071.99999988</v>
      </c>
      <c r="P38" s="548">
        <f t="shared" si="2"/>
        <v>-829635071.99999988</v>
      </c>
      <c r="Q38" s="548">
        <f t="shared" si="2"/>
        <v>-829635071.99999988</v>
      </c>
      <c r="R38" s="548">
        <f t="shared" si="2"/>
        <v>-829635071.99999988</v>
      </c>
      <c r="S38" s="548">
        <f t="shared" si="2"/>
        <v>-829635071.99999988</v>
      </c>
      <c r="T38" s="548">
        <f t="shared" si="2"/>
        <v>-829635071.99999988</v>
      </c>
      <c r="U38" s="548">
        <f t="shared" si="2"/>
        <v>-829635071.99999988</v>
      </c>
      <c r="V38" s="548">
        <f t="shared" si="2"/>
        <v>-829635071.99999988</v>
      </c>
      <c r="W38" s="548">
        <f t="shared" si="2"/>
        <v>-829635071.99999988</v>
      </c>
      <c r="X38" s="548">
        <f t="shared" si="2"/>
        <v>-829635071.99999988</v>
      </c>
      <c r="Y38" s="548">
        <f t="shared" si="2"/>
        <v>-829635071.99999988</v>
      </c>
      <c r="Z38" s="548">
        <f t="shared" si="2"/>
        <v>-829635071.99999988</v>
      </c>
      <c r="AA38" s="548">
        <f t="shared" si="2"/>
        <v>-829635071.99999988</v>
      </c>
      <c r="AB38" s="548">
        <f t="shared" si="2"/>
        <v>-829635071.99999988</v>
      </c>
      <c r="AC38" s="548">
        <f t="shared" si="2"/>
        <v>-829635071.99999988</v>
      </c>
      <c r="AD38" s="548">
        <f t="shared" si="2"/>
        <v>-829635071.99999988</v>
      </c>
      <c r="AE38" s="548">
        <f t="shared" si="2"/>
        <v>-829635071.99999988</v>
      </c>
    </row>
    <row r="39" spans="2:31">
      <c r="B39" t="s">
        <v>228</v>
      </c>
      <c r="D39" s="548">
        <f t="shared" ref="D39:AE39" si="3">D37+D38</f>
        <v>1179968058</v>
      </c>
      <c r="E39" s="548">
        <f t="shared" si="3"/>
        <v>1179968058</v>
      </c>
      <c r="F39" s="548">
        <f t="shared" si="3"/>
        <v>1179968058</v>
      </c>
      <c r="G39" s="548">
        <f t="shared" si="3"/>
        <v>1179968058</v>
      </c>
      <c r="H39" s="548">
        <f t="shared" si="3"/>
        <v>1179968058</v>
      </c>
      <c r="I39" s="548">
        <f t="shared" si="3"/>
        <v>863497727.99999988</v>
      </c>
      <c r="J39" s="548">
        <f t="shared" si="3"/>
        <v>863497727.99999988</v>
      </c>
      <c r="K39" s="548">
        <f t="shared" si="3"/>
        <v>863497727.99999988</v>
      </c>
      <c r="L39" s="548">
        <f t="shared" si="3"/>
        <v>863497727.99999988</v>
      </c>
      <c r="M39" s="548">
        <f t="shared" si="3"/>
        <v>863497727.99999988</v>
      </c>
      <c r="N39" s="548">
        <f t="shared" si="3"/>
        <v>863497727.99999988</v>
      </c>
      <c r="O39" s="548">
        <f t="shared" si="3"/>
        <v>863497727.99999988</v>
      </c>
      <c r="P39" s="548">
        <f t="shared" si="3"/>
        <v>863497727.99999988</v>
      </c>
      <c r="Q39" s="548">
        <f t="shared" si="3"/>
        <v>863497727.99999988</v>
      </c>
      <c r="R39" s="548">
        <f t="shared" si="3"/>
        <v>863497727.99999988</v>
      </c>
      <c r="S39" s="548">
        <f t="shared" si="3"/>
        <v>863497727.99999988</v>
      </c>
      <c r="T39" s="548">
        <f t="shared" si="3"/>
        <v>863497727.99999988</v>
      </c>
      <c r="U39" s="548">
        <f t="shared" si="3"/>
        <v>863497727.99999988</v>
      </c>
      <c r="V39" s="548">
        <f t="shared" si="3"/>
        <v>863497727.99999988</v>
      </c>
      <c r="W39" s="548">
        <f t="shared" si="3"/>
        <v>863497727.99999988</v>
      </c>
      <c r="X39" s="548">
        <f t="shared" si="3"/>
        <v>863497727.99999988</v>
      </c>
      <c r="Y39" s="548">
        <f t="shared" si="3"/>
        <v>863497727.99999988</v>
      </c>
      <c r="Z39" s="548">
        <f t="shared" si="3"/>
        <v>863497727.99999988</v>
      </c>
      <c r="AA39" s="548">
        <f t="shared" si="3"/>
        <v>863497727.99999988</v>
      </c>
      <c r="AB39" s="548">
        <f t="shared" si="3"/>
        <v>863497727.99999988</v>
      </c>
      <c r="AC39" s="548">
        <f t="shared" si="3"/>
        <v>863497727.99999988</v>
      </c>
      <c r="AD39" s="548">
        <f t="shared" si="3"/>
        <v>863497727.99999988</v>
      </c>
      <c r="AE39" s="548">
        <f t="shared" si="3"/>
        <v>863497727.99999988</v>
      </c>
    </row>
    <row r="40" spans="2:31">
      <c r="B40" t="s">
        <v>585</v>
      </c>
      <c r="C40" s="3">
        <v>-4700000000</v>
      </c>
      <c r="D40" s="548">
        <f>D39*0.7</f>
        <v>825977640.5999999</v>
      </c>
      <c r="E40" s="548">
        <f t="shared" ref="E40:AE40" si="4">E39*0.7</f>
        <v>825977640.5999999</v>
      </c>
      <c r="F40" s="548">
        <f t="shared" si="4"/>
        <v>825977640.5999999</v>
      </c>
      <c r="G40" s="548">
        <f t="shared" si="4"/>
        <v>825977640.5999999</v>
      </c>
      <c r="H40" s="548">
        <f t="shared" si="4"/>
        <v>825977640.5999999</v>
      </c>
      <c r="I40" s="548">
        <f t="shared" si="4"/>
        <v>604448409.5999999</v>
      </c>
      <c r="J40" s="548">
        <f t="shared" si="4"/>
        <v>604448409.5999999</v>
      </c>
      <c r="K40" s="548">
        <f t="shared" si="4"/>
        <v>604448409.5999999</v>
      </c>
      <c r="L40" s="548">
        <f t="shared" si="4"/>
        <v>604448409.5999999</v>
      </c>
      <c r="M40" s="548">
        <f t="shared" si="4"/>
        <v>604448409.5999999</v>
      </c>
      <c r="N40" s="548">
        <f t="shared" si="4"/>
        <v>604448409.5999999</v>
      </c>
      <c r="O40" s="548">
        <f t="shared" si="4"/>
        <v>604448409.5999999</v>
      </c>
      <c r="P40" s="548">
        <f t="shared" si="4"/>
        <v>604448409.5999999</v>
      </c>
      <c r="Q40" s="548">
        <f t="shared" si="4"/>
        <v>604448409.5999999</v>
      </c>
      <c r="R40" s="548">
        <f t="shared" si="4"/>
        <v>604448409.5999999</v>
      </c>
      <c r="S40" s="548">
        <f t="shared" si="4"/>
        <v>604448409.5999999</v>
      </c>
      <c r="T40" s="548">
        <f t="shared" si="4"/>
        <v>604448409.5999999</v>
      </c>
      <c r="U40" s="548">
        <f t="shared" si="4"/>
        <v>604448409.5999999</v>
      </c>
      <c r="V40" s="548">
        <f t="shared" si="4"/>
        <v>604448409.5999999</v>
      </c>
      <c r="W40" s="548">
        <f t="shared" si="4"/>
        <v>604448409.5999999</v>
      </c>
      <c r="X40" s="548">
        <f t="shared" si="4"/>
        <v>604448409.5999999</v>
      </c>
      <c r="Y40" s="548">
        <f t="shared" si="4"/>
        <v>604448409.5999999</v>
      </c>
      <c r="Z40" s="548">
        <f t="shared" si="4"/>
        <v>604448409.5999999</v>
      </c>
      <c r="AA40" s="548">
        <f t="shared" si="4"/>
        <v>604448409.5999999</v>
      </c>
      <c r="AB40" s="548">
        <f t="shared" si="4"/>
        <v>604448409.5999999</v>
      </c>
      <c r="AC40" s="548">
        <f t="shared" si="4"/>
        <v>604448409.5999999</v>
      </c>
      <c r="AD40" s="548">
        <f t="shared" si="4"/>
        <v>604448409.5999999</v>
      </c>
      <c r="AE40" s="548">
        <f t="shared" si="4"/>
        <v>604448409.5999999</v>
      </c>
    </row>
    <row r="42" spans="2:31">
      <c r="B42" s="546">
        <f>NPV(0.08,C40:AE40)</f>
        <v>2652137780.2090974</v>
      </c>
    </row>
    <row r="44" spans="2:31">
      <c r="B44" s="3"/>
    </row>
    <row r="45" spans="2:31">
      <c r="B45" s="546" t="s">
        <v>104</v>
      </c>
      <c r="D45" s="548">
        <f t="shared" ref="D45:I45" si="5">D33*$D$11</f>
        <v>2070119399.9999998</v>
      </c>
      <c r="E45" s="548">
        <f t="shared" si="5"/>
        <v>2070119399.9999998</v>
      </c>
      <c r="F45" s="548">
        <f t="shared" si="5"/>
        <v>2070119399.9999998</v>
      </c>
      <c r="G45" s="548">
        <f t="shared" si="5"/>
        <v>2070119399.9999998</v>
      </c>
      <c r="H45" s="548">
        <f t="shared" si="5"/>
        <v>2070119399.9999998</v>
      </c>
      <c r="I45" s="548">
        <f t="shared" si="5"/>
        <v>1693132799.9999998</v>
      </c>
      <c r="J45" s="548">
        <f t="shared" ref="J45:AE45" si="6">J33*$D$11</f>
        <v>1693132799.9999998</v>
      </c>
      <c r="K45" s="548">
        <f t="shared" si="6"/>
        <v>1693132799.9999998</v>
      </c>
      <c r="L45" s="548">
        <f t="shared" si="6"/>
        <v>1693132799.9999998</v>
      </c>
      <c r="M45" s="548">
        <f t="shared" si="6"/>
        <v>1693132799.9999998</v>
      </c>
      <c r="N45" s="548">
        <f t="shared" si="6"/>
        <v>1693132799.9999998</v>
      </c>
      <c r="O45" s="548">
        <f t="shared" si="6"/>
        <v>1693132799.9999998</v>
      </c>
      <c r="P45" s="548">
        <f t="shared" si="6"/>
        <v>1693132799.9999998</v>
      </c>
      <c r="Q45" s="548">
        <f t="shared" si="6"/>
        <v>1693132799.9999998</v>
      </c>
      <c r="R45" s="548">
        <f t="shared" si="6"/>
        <v>1693132799.9999998</v>
      </c>
      <c r="S45" s="548">
        <f t="shared" si="6"/>
        <v>1693132799.9999998</v>
      </c>
      <c r="T45" s="548">
        <f t="shared" si="6"/>
        <v>1693132799.9999998</v>
      </c>
      <c r="U45" s="548">
        <f t="shared" si="6"/>
        <v>1693132799.9999998</v>
      </c>
      <c r="V45" s="548">
        <f t="shared" si="6"/>
        <v>1693132799.9999998</v>
      </c>
      <c r="W45" s="548">
        <f t="shared" si="6"/>
        <v>1693132799.9999998</v>
      </c>
      <c r="X45" s="548">
        <f t="shared" si="6"/>
        <v>1693132799.9999998</v>
      </c>
      <c r="Y45" s="548">
        <f t="shared" si="6"/>
        <v>1693132799.9999998</v>
      </c>
      <c r="Z45" s="548">
        <f t="shared" si="6"/>
        <v>1693132799.9999998</v>
      </c>
      <c r="AA45" s="548">
        <f t="shared" si="6"/>
        <v>1693132799.9999998</v>
      </c>
      <c r="AB45" s="548">
        <f t="shared" si="6"/>
        <v>1693132799.9999998</v>
      </c>
      <c r="AC45" s="548">
        <f t="shared" si="6"/>
        <v>1693132799.9999998</v>
      </c>
      <c r="AD45" s="548">
        <f t="shared" si="6"/>
        <v>1693132799.9999998</v>
      </c>
      <c r="AE45" s="548">
        <f t="shared" si="6"/>
        <v>1693132799.9999998</v>
      </c>
    </row>
    <row r="46" spans="2:31">
      <c r="B46" t="s">
        <v>586</v>
      </c>
      <c r="D46" s="548">
        <f>-$D$17*D33</f>
        <v>-966055719.99999988</v>
      </c>
      <c r="E46" s="548">
        <f>-$D$17*E33</f>
        <v>-966055719.99999988</v>
      </c>
      <c r="F46" s="548">
        <f>-$D$17*F33</f>
        <v>-966055719.99999988</v>
      </c>
      <c r="G46" s="548">
        <f>-$D$17*G33</f>
        <v>-966055719.99999988</v>
      </c>
      <c r="H46" s="548">
        <f>-$D$17*H33</f>
        <v>-966055719.99999988</v>
      </c>
      <c r="I46" s="548">
        <f>-$D$27*I33</f>
        <v>-863497728</v>
      </c>
      <c r="J46" s="548">
        <f t="shared" ref="J46:AE46" si="7">-$D$27*J33</f>
        <v>-863497728</v>
      </c>
      <c r="K46" s="548">
        <f t="shared" si="7"/>
        <v>-863497728</v>
      </c>
      <c r="L46" s="548">
        <f t="shared" si="7"/>
        <v>-863497728</v>
      </c>
      <c r="M46" s="548">
        <f t="shared" si="7"/>
        <v>-863497728</v>
      </c>
      <c r="N46" s="548">
        <f t="shared" si="7"/>
        <v>-863497728</v>
      </c>
      <c r="O46" s="548">
        <f t="shared" si="7"/>
        <v>-863497728</v>
      </c>
      <c r="P46" s="548">
        <f t="shared" si="7"/>
        <v>-863497728</v>
      </c>
      <c r="Q46" s="548">
        <f t="shared" si="7"/>
        <v>-863497728</v>
      </c>
      <c r="R46" s="548">
        <f t="shared" si="7"/>
        <v>-863497728</v>
      </c>
      <c r="S46" s="548">
        <f t="shared" si="7"/>
        <v>-863497728</v>
      </c>
      <c r="T46" s="548">
        <f t="shared" si="7"/>
        <v>-863497728</v>
      </c>
      <c r="U46" s="548">
        <f t="shared" si="7"/>
        <v>-863497728</v>
      </c>
      <c r="V46" s="548">
        <f t="shared" si="7"/>
        <v>-863497728</v>
      </c>
      <c r="W46" s="548">
        <f t="shared" si="7"/>
        <v>-863497728</v>
      </c>
      <c r="X46" s="548">
        <f t="shared" si="7"/>
        <v>-863497728</v>
      </c>
      <c r="Y46" s="548">
        <f t="shared" si="7"/>
        <v>-863497728</v>
      </c>
      <c r="Z46" s="548">
        <f t="shared" si="7"/>
        <v>-863497728</v>
      </c>
      <c r="AA46" s="548">
        <f t="shared" si="7"/>
        <v>-863497728</v>
      </c>
      <c r="AB46" s="548">
        <f t="shared" si="7"/>
        <v>-863497728</v>
      </c>
      <c r="AC46" s="548">
        <f t="shared" si="7"/>
        <v>-863497728</v>
      </c>
      <c r="AD46" s="548">
        <f t="shared" si="7"/>
        <v>-863497728</v>
      </c>
      <c r="AE46" s="548">
        <f t="shared" si="7"/>
        <v>-863497728</v>
      </c>
    </row>
    <row r="47" spans="2:31">
      <c r="B47" t="s">
        <v>228</v>
      </c>
      <c r="D47" s="548">
        <f t="shared" ref="D47:I47" si="8">D45+D46</f>
        <v>1104063680</v>
      </c>
      <c r="E47" s="548">
        <f t="shared" si="8"/>
        <v>1104063680</v>
      </c>
      <c r="F47" s="548">
        <f t="shared" si="8"/>
        <v>1104063680</v>
      </c>
      <c r="G47" s="548">
        <f t="shared" si="8"/>
        <v>1104063680</v>
      </c>
      <c r="H47" s="548">
        <f t="shared" si="8"/>
        <v>1104063680</v>
      </c>
      <c r="I47" s="548">
        <f t="shared" si="8"/>
        <v>829635071.99999976</v>
      </c>
      <c r="J47" s="548">
        <f t="shared" ref="J47:AE47" si="9">J45+J46</f>
        <v>829635071.99999976</v>
      </c>
      <c r="K47" s="548">
        <f t="shared" si="9"/>
        <v>829635071.99999976</v>
      </c>
      <c r="L47" s="548">
        <f t="shared" si="9"/>
        <v>829635071.99999976</v>
      </c>
      <c r="M47" s="548">
        <f t="shared" si="9"/>
        <v>829635071.99999976</v>
      </c>
      <c r="N47" s="548">
        <f t="shared" si="9"/>
        <v>829635071.99999976</v>
      </c>
      <c r="O47" s="548">
        <f t="shared" si="9"/>
        <v>829635071.99999976</v>
      </c>
      <c r="P47" s="548">
        <f t="shared" si="9"/>
        <v>829635071.99999976</v>
      </c>
      <c r="Q47" s="548">
        <f t="shared" si="9"/>
        <v>829635071.99999976</v>
      </c>
      <c r="R47" s="548">
        <f t="shared" si="9"/>
        <v>829635071.99999976</v>
      </c>
      <c r="S47" s="548">
        <f t="shared" si="9"/>
        <v>829635071.99999976</v>
      </c>
      <c r="T47" s="548">
        <f t="shared" si="9"/>
        <v>829635071.99999976</v>
      </c>
      <c r="U47" s="548">
        <f t="shared" si="9"/>
        <v>829635071.99999976</v>
      </c>
      <c r="V47" s="548">
        <f t="shared" si="9"/>
        <v>829635071.99999976</v>
      </c>
      <c r="W47" s="548">
        <f t="shared" si="9"/>
        <v>829635071.99999976</v>
      </c>
      <c r="X47" s="548">
        <f t="shared" si="9"/>
        <v>829635071.99999976</v>
      </c>
      <c r="Y47" s="548">
        <f t="shared" si="9"/>
        <v>829635071.99999976</v>
      </c>
      <c r="Z47" s="548">
        <f t="shared" si="9"/>
        <v>829635071.99999976</v>
      </c>
      <c r="AA47" s="548">
        <f t="shared" si="9"/>
        <v>829635071.99999976</v>
      </c>
      <c r="AB47" s="548">
        <f t="shared" si="9"/>
        <v>829635071.99999976</v>
      </c>
      <c r="AC47" s="548">
        <f t="shared" si="9"/>
        <v>829635071.99999976</v>
      </c>
      <c r="AD47" s="548">
        <f t="shared" si="9"/>
        <v>829635071.99999976</v>
      </c>
      <c r="AE47" s="548">
        <f t="shared" si="9"/>
        <v>829635071.99999976</v>
      </c>
    </row>
    <row r="48" spans="2:31">
      <c r="B48" t="s">
        <v>585</v>
      </c>
      <c r="C48" s="3">
        <v>-4700000000</v>
      </c>
      <c r="D48" s="547">
        <f t="shared" ref="D48:I48" si="10">D47*0.7</f>
        <v>772844576</v>
      </c>
      <c r="E48" s="547">
        <f t="shared" si="10"/>
        <v>772844576</v>
      </c>
      <c r="F48" s="547">
        <f t="shared" si="10"/>
        <v>772844576</v>
      </c>
      <c r="G48" s="547">
        <f t="shared" si="10"/>
        <v>772844576</v>
      </c>
      <c r="H48" s="547">
        <f t="shared" si="10"/>
        <v>772844576</v>
      </c>
      <c r="I48" s="547">
        <f t="shared" si="10"/>
        <v>580744550.39999974</v>
      </c>
      <c r="J48" s="547">
        <f t="shared" ref="J48:AE48" si="11">J47*0.7</f>
        <v>580744550.39999974</v>
      </c>
      <c r="K48" s="547">
        <f t="shared" si="11"/>
        <v>580744550.39999974</v>
      </c>
      <c r="L48" s="547">
        <f t="shared" si="11"/>
        <v>580744550.39999974</v>
      </c>
      <c r="M48" s="547">
        <f t="shared" si="11"/>
        <v>580744550.39999974</v>
      </c>
      <c r="N48" s="547">
        <f t="shared" si="11"/>
        <v>580744550.39999974</v>
      </c>
      <c r="O48" s="547">
        <f t="shared" si="11"/>
        <v>580744550.39999974</v>
      </c>
      <c r="P48" s="547">
        <f t="shared" si="11"/>
        <v>580744550.39999974</v>
      </c>
      <c r="Q48" s="547">
        <f t="shared" si="11"/>
        <v>580744550.39999974</v>
      </c>
      <c r="R48" s="547">
        <f t="shared" si="11"/>
        <v>580744550.39999974</v>
      </c>
      <c r="S48" s="547">
        <f t="shared" si="11"/>
        <v>580744550.39999974</v>
      </c>
      <c r="T48" s="547">
        <f t="shared" si="11"/>
        <v>580744550.39999974</v>
      </c>
      <c r="U48" s="547">
        <f t="shared" si="11"/>
        <v>580744550.39999974</v>
      </c>
      <c r="V48" s="547">
        <f t="shared" si="11"/>
        <v>580744550.39999974</v>
      </c>
      <c r="W48" s="547">
        <f t="shared" si="11"/>
        <v>580744550.39999974</v>
      </c>
      <c r="X48" s="547">
        <f t="shared" si="11"/>
        <v>580744550.39999974</v>
      </c>
      <c r="Y48" s="547">
        <f t="shared" si="11"/>
        <v>580744550.39999974</v>
      </c>
      <c r="Z48" s="547">
        <f t="shared" si="11"/>
        <v>580744550.39999974</v>
      </c>
      <c r="AA48" s="547">
        <f t="shared" si="11"/>
        <v>580744550.39999974</v>
      </c>
      <c r="AB48" s="547">
        <f t="shared" si="11"/>
        <v>580744550.39999974</v>
      </c>
      <c r="AC48" s="547">
        <f t="shared" si="11"/>
        <v>580744550.39999974</v>
      </c>
      <c r="AD48" s="547">
        <f t="shared" si="11"/>
        <v>580744550.39999974</v>
      </c>
      <c r="AE48" s="547">
        <f t="shared" si="11"/>
        <v>580744550.39999974</v>
      </c>
    </row>
    <row r="49" spans="2:3">
      <c r="B49" s="550"/>
      <c r="C49" s="550"/>
    </row>
    <row r="50" spans="2:3">
      <c r="B50" s="546">
        <f>NPV(0.08,C48:AE48)</f>
        <v>2300790102.1047702</v>
      </c>
    </row>
    <row r="51" spans="2:3">
      <c r="B51" s="546"/>
      <c r="C51" s="546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2:BT672"/>
  <sheetViews>
    <sheetView topLeftCell="A36" zoomScale="60" zoomScaleNormal="60" workbookViewId="0">
      <selection activeCell="J88" sqref="J88"/>
    </sheetView>
  </sheetViews>
  <sheetFormatPr defaultColWidth="9" defaultRowHeight="17.5"/>
  <cols>
    <col min="1" max="1" width="9" style="4"/>
    <col min="2" max="2" width="9.33203125" style="4" customWidth="1"/>
    <col min="3" max="4" width="9" style="4"/>
    <col min="5" max="5" width="13.83203125" style="4" customWidth="1"/>
    <col min="6" max="6" width="23.58203125" style="4" customWidth="1"/>
    <col min="7" max="7" width="5.25" style="4" customWidth="1"/>
    <col min="8" max="8" width="10.58203125" style="4" customWidth="1"/>
    <col min="9" max="9" width="10.58203125" style="5" customWidth="1"/>
    <col min="10" max="10" width="10.58203125" style="4" customWidth="1"/>
    <col min="11" max="11" width="5" style="4" customWidth="1"/>
    <col min="12" max="14" width="10.58203125" style="4" hidden="1" customWidth="1"/>
    <col min="15" max="15" width="5" style="4" hidden="1" customWidth="1"/>
    <col min="16" max="21" width="10.58203125" style="4" customWidth="1"/>
    <col min="22" max="22" width="13.58203125" style="4" customWidth="1"/>
    <col min="23" max="24" width="9" style="4"/>
    <col min="25" max="25" width="9.33203125" style="5" customWidth="1"/>
    <col min="26" max="26" width="9" style="4"/>
    <col min="27" max="27" width="11.75" style="4" customWidth="1"/>
    <col min="28" max="30" width="10.58203125" style="4" customWidth="1"/>
    <col min="31" max="31" width="9" style="4"/>
    <col min="32" max="34" width="9.83203125" style="4" customWidth="1"/>
    <col min="35" max="36" width="9" style="4"/>
    <col min="37" max="37" width="11.83203125" style="4" customWidth="1"/>
    <col min="38" max="38" width="17.58203125" style="4" customWidth="1"/>
    <col min="39" max="39" width="17.83203125" style="4" customWidth="1"/>
    <col min="40" max="40" width="18.25" style="4" customWidth="1"/>
    <col min="41" max="41" width="18.83203125" style="4" customWidth="1"/>
    <col min="42" max="42" width="9.33203125" style="4" customWidth="1"/>
    <col min="43" max="43" width="16.25" style="4" customWidth="1"/>
    <col min="44" max="44" width="17.58203125" style="4" customWidth="1"/>
    <col min="45" max="45" width="18.83203125" style="4" customWidth="1"/>
    <col min="46" max="48" width="9.33203125" style="4" customWidth="1"/>
    <col min="49" max="51" width="9" style="4"/>
    <col min="52" max="52" width="15.5" style="4" customWidth="1"/>
    <col min="53" max="53" width="9.33203125" style="4" customWidth="1"/>
    <col min="54" max="16384" width="9" style="4"/>
  </cols>
  <sheetData>
    <row r="2" spans="2:34">
      <c r="P2" s="4" t="s">
        <v>418</v>
      </c>
      <c r="T2" s="4" t="s">
        <v>419</v>
      </c>
    </row>
    <row r="3" spans="2:34">
      <c r="B3" s="4" t="s">
        <v>420</v>
      </c>
      <c r="C3" s="4" t="s">
        <v>494</v>
      </c>
      <c r="E3" s="4" t="s">
        <v>421</v>
      </c>
      <c r="F3" s="6">
        <v>29.81</v>
      </c>
      <c r="G3" s="6"/>
      <c r="H3" s="6">
        <v>29.81</v>
      </c>
      <c r="N3" s="7"/>
      <c r="O3" s="8"/>
      <c r="P3" s="4" t="s">
        <v>422</v>
      </c>
      <c r="Q3" s="4" t="s">
        <v>423</v>
      </c>
      <c r="R3" s="4" t="s">
        <v>424</v>
      </c>
      <c r="T3" s="4" t="s">
        <v>422</v>
      </c>
      <c r="U3" s="4" t="s">
        <v>423</v>
      </c>
      <c r="V3" s="4" t="s">
        <v>424</v>
      </c>
    </row>
    <row r="4" spans="2:34">
      <c r="N4" s="7"/>
      <c r="O4" s="8"/>
    </row>
    <row r="5" spans="2:34">
      <c r="B5" s="4" t="s">
        <v>425</v>
      </c>
      <c r="C5" s="4" t="s">
        <v>426</v>
      </c>
      <c r="P5" s="4" t="s">
        <v>427</v>
      </c>
      <c r="Q5" s="4" t="s">
        <v>428</v>
      </c>
      <c r="R5" s="4" t="s">
        <v>429</v>
      </c>
      <c r="T5" s="4" t="s">
        <v>427</v>
      </c>
      <c r="U5" s="4" t="s">
        <v>428</v>
      </c>
      <c r="V5" s="4" t="s">
        <v>429</v>
      </c>
    </row>
    <row r="7" spans="2:34">
      <c r="B7" s="4" t="s">
        <v>430</v>
      </c>
      <c r="C7" s="4" t="s">
        <v>431</v>
      </c>
      <c r="T7" s="4" t="s">
        <v>432</v>
      </c>
      <c r="U7" s="4" t="s">
        <v>433</v>
      </c>
      <c r="V7" s="4" t="s">
        <v>434</v>
      </c>
    </row>
    <row r="8" spans="2:34">
      <c r="B8" s="4" t="s">
        <v>435</v>
      </c>
      <c r="C8" s="4" t="s">
        <v>436</v>
      </c>
      <c r="F8" s="9"/>
      <c r="G8" s="9"/>
    </row>
    <row r="9" spans="2:34">
      <c r="B9" s="4" t="s">
        <v>425</v>
      </c>
      <c r="C9" s="4" t="s">
        <v>437</v>
      </c>
      <c r="E9" s="10">
        <f>_xll.BDP($C$3,$B$9)</f>
        <v>524.65519999999992</v>
      </c>
      <c r="F9" s="4">
        <v>7.7</v>
      </c>
      <c r="H9" s="11">
        <f>H18/[4]Model!S785</f>
        <v>0.17900589385064389</v>
      </c>
    </row>
    <row r="10" spans="2:34">
      <c r="B10" s="4" t="s">
        <v>438</v>
      </c>
      <c r="C10" s="4" t="s">
        <v>439</v>
      </c>
      <c r="E10" s="10">
        <f>_xll.BDP($C$3,$B$10,$U$3,$V$3)</f>
        <v>12435.441279123317</v>
      </c>
      <c r="H10" s="12">
        <f>H9/F3</f>
        <v>6.0048941244764805E-3</v>
      </c>
    </row>
    <row r="11" spans="2:34" ht="8.25" customHeight="1"/>
    <row r="12" spans="2:34">
      <c r="E12" s="13">
        <f>(E9+F9)*F3</f>
        <v>15869.508511999999</v>
      </c>
    </row>
    <row r="13" spans="2:34" ht="18">
      <c r="F13" s="9"/>
      <c r="G13" s="9"/>
      <c r="H13" s="1385" t="s">
        <v>440</v>
      </c>
      <c r="I13" s="1385"/>
      <c r="J13" s="1385"/>
      <c r="L13" s="1385" t="s">
        <v>441</v>
      </c>
      <c r="M13" s="1385"/>
      <c r="N13" s="1385"/>
      <c r="P13" s="1385" t="s">
        <v>442</v>
      </c>
      <c r="Q13" s="1385"/>
      <c r="R13" s="1385"/>
      <c r="AB13" s="1385" t="s">
        <v>443</v>
      </c>
      <c r="AC13" s="1385"/>
      <c r="AD13" s="1385"/>
      <c r="AF13" s="1385" t="s">
        <v>444</v>
      </c>
      <c r="AG13" s="1385"/>
      <c r="AH13" s="1385"/>
    </row>
    <row r="14" spans="2:34" ht="18" thickBot="1">
      <c r="F14" s="9"/>
      <c r="G14" s="9"/>
      <c r="H14" s="14" t="s">
        <v>445</v>
      </c>
      <c r="I14" s="14" t="s">
        <v>446</v>
      </c>
      <c r="J14" s="14" t="s">
        <v>447</v>
      </c>
      <c r="L14" s="14" t="s">
        <v>445</v>
      </c>
      <c r="M14" s="14" t="s">
        <v>446</v>
      </c>
      <c r="N14" s="14" t="s">
        <v>447</v>
      </c>
      <c r="P14" s="14" t="s">
        <v>445</v>
      </c>
      <c r="Q14" s="14" t="s">
        <v>446</v>
      </c>
      <c r="R14" s="14" t="s">
        <v>447</v>
      </c>
      <c r="AB14" s="14" t="s">
        <v>445</v>
      </c>
      <c r="AC14" s="14" t="s">
        <v>446</v>
      </c>
      <c r="AD14" s="14" t="s">
        <v>447</v>
      </c>
      <c r="AF14" s="14" t="s">
        <v>445</v>
      </c>
      <c r="AG14" s="14" t="s">
        <v>446</v>
      </c>
      <c r="AH14" s="14" t="s">
        <v>447</v>
      </c>
    </row>
    <row r="15" spans="2:34" ht="18" thickTop="1">
      <c r="F15" s="9"/>
      <c r="G15" s="9"/>
      <c r="H15" s="15"/>
      <c r="I15" s="15"/>
      <c r="J15" s="15"/>
      <c r="L15" s="15"/>
      <c r="M15" s="15"/>
      <c r="N15" s="15"/>
      <c r="P15" s="15"/>
      <c r="Q15" s="15"/>
      <c r="R15" s="15"/>
      <c r="AB15" s="15"/>
      <c r="AC15" s="15"/>
      <c r="AD15" s="15"/>
      <c r="AF15" s="15"/>
      <c r="AG15" s="15"/>
      <c r="AH15" s="15"/>
    </row>
    <row r="16" spans="2:34">
      <c r="F16" s="9"/>
      <c r="G16" s="9"/>
      <c r="M16" s="5"/>
      <c r="Q16" s="5"/>
      <c r="AC16" s="5"/>
      <c r="AG16" s="5"/>
    </row>
    <row r="17" spans="2:34" ht="18">
      <c r="F17" s="9" t="s">
        <v>130</v>
      </c>
      <c r="G17" s="9"/>
      <c r="H17" s="16">
        <f>H48</f>
        <v>4159</v>
      </c>
      <c r="I17" s="16">
        <f t="shared" ref="H17:J18" ca="1" si="0">I48</f>
        <v>2328.79942648</v>
      </c>
      <c r="J17" s="16" t="e">
        <f ca="1">J48</f>
        <v>#VALUE!</v>
      </c>
      <c r="K17" s="5"/>
      <c r="L17" s="17">
        <f>[5]Model!$T$823</f>
        <v>23881.836092005338</v>
      </c>
      <c r="M17" s="17">
        <f>[5]Model!$W$823</f>
        <v>22869.720466994779</v>
      </c>
      <c r="N17" s="17">
        <f>[5]Model!$Z$823</f>
        <v>24248.074282585199</v>
      </c>
      <c r="O17" s="5"/>
      <c r="P17" s="17">
        <f>H17</f>
        <v>4159</v>
      </c>
      <c r="Q17" s="17">
        <f>_xll.BDP($C$3,$T$2,$T$3,$T$5)</f>
        <v>5137.8330000000005</v>
      </c>
      <c r="R17" s="17">
        <f>_xll.BDP($C$3,$T$2,$T$3,$U$5)</f>
        <v>5456.6109999999999</v>
      </c>
      <c r="U17" s="18">
        <f>M17-Q17</f>
        <v>17731.887466994776</v>
      </c>
      <c r="V17" s="19" t="s">
        <v>448</v>
      </c>
      <c r="W17" s="19"/>
      <c r="X17" s="19"/>
      <c r="Y17" s="20" t="s">
        <v>449</v>
      </c>
      <c r="AA17" s="9" t="s">
        <v>130</v>
      </c>
      <c r="AB17" s="12">
        <f t="shared" ref="AB17:AD18" si="1">(L17/H17)-1</f>
        <v>4.7422063217132333</v>
      </c>
      <c r="AC17" s="12">
        <f t="shared" ca="1" si="1"/>
        <v>8.8203908017800199</v>
      </c>
      <c r="AD17" s="12" t="e">
        <f t="shared" ca="1" si="1"/>
        <v>#VALUE!</v>
      </c>
      <c r="AE17" s="5"/>
      <c r="AF17" s="12">
        <f t="shared" ref="AF17:AH18" si="2">(P17/H17)-1</f>
        <v>0</v>
      </c>
      <c r="AG17" s="12">
        <f t="shared" ca="1" si="2"/>
        <v>0.75703323930509425</v>
      </c>
      <c r="AH17" s="12" t="e">
        <f t="shared" ca="1" si="2"/>
        <v>#VALUE!</v>
      </c>
    </row>
    <row r="18" spans="2:34">
      <c r="F18" s="9" t="s">
        <v>450</v>
      </c>
      <c r="G18" s="9"/>
      <c r="H18" s="16">
        <f t="shared" si="0"/>
        <v>905.23280520270612</v>
      </c>
      <c r="I18" s="16" t="e">
        <f t="shared" ca="1" si="0"/>
        <v>#VALUE!</v>
      </c>
      <c r="J18" s="16">
        <f t="shared" ca="1" si="0"/>
        <v>-534.14733317781065</v>
      </c>
      <c r="K18" s="5"/>
      <c r="L18" s="17">
        <f>[5]Model!$T$836</f>
        <v>8660.8360920053383</v>
      </c>
      <c r="M18" s="17">
        <f>[5]Model!$W$836</f>
        <v>8352.2903502460831</v>
      </c>
      <c r="N18" s="17">
        <f>[5]Model!$Z$836</f>
        <v>9386.0557119388977</v>
      </c>
      <c r="O18" s="5"/>
      <c r="P18" s="17">
        <f>_xll.BDP($C$3,$P$2,$T$3,$T$5)</f>
        <v>-383.30599999999998</v>
      </c>
      <c r="Q18" s="17">
        <f>_xll.BDP($C$3,$P$2,$T$3,$U$5)</f>
        <v>1038.1590000000001</v>
      </c>
      <c r="R18" s="17">
        <f>_xll.BDP($C$3,$P$2,$T$3,$V$5)</f>
        <v>2121.0320000000002</v>
      </c>
      <c r="U18" s="21">
        <f>U47*2</f>
        <v>0</v>
      </c>
      <c r="V18" s="4" t="s">
        <v>451</v>
      </c>
      <c r="Y18" s="22">
        <f>I36</f>
        <v>90</v>
      </c>
      <c r="AA18" s="9" t="s">
        <v>450</v>
      </c>
      <c r="AB18" s="12">
        <f t="shared" si="1"/>
        <v>8.5675234505735158</v>
      </c>
      <c r="AC18" s="12" t="e">
        <f t="shared" ca="1" si="1"/>
        <v>#VALUE!</v>
      </c>
      <c r="AD18" s="12">
        <f t="shared" ca="1" si="1"/>
        <v>-18.572035146367384</v>
      </c>
      <c r="AE18" s="5"/>
      <c r="AF18" s="12">
        <f t="shared" si="2"/>
        <v>-1.4234336159681789</v>
      </c>
      <c r="AG18" s="12" t="e">
        <f t="shared" ca="1" si="2"/>
        <v>#VALUE!</v>
      </c>
      <c r="AH18" s="12">
        <f t="shared" ca="1" si="2"/>
        <v>-4.3717420047484694</v>
      </c>
    </row>
    <row r="19" spans="2:34">
      <c r="F19" s="23" t="s">
        <v>452</v>
      </c>
      <c r="G19" s="23"/>
      <c r="H19" s="24">
        <f>H18/H17</f>
        <v>0.21765636095280264</v>
      </c>
      <c r="I19" s="24">
        <f ca="1">I18/I17</f>
        <v>-0.54604983270839935</v>
      </c>
      <c r="J19" s="24">
        <f ca="1">J18/J17</f>
        <v>-0.11163328238472026</v>
      </c>
      <c r="L19" s="24">
        <f>L18/L17</f>
        <v>0.36265369457521029</v>
      </c>
      <c r="M19" s="24">
        <f>M18/M17</f>
        <v>0.36521173760300119</v>
      </c>
      <c r="N19" s="24">
        <f>N18/N17</f>
        <v>0.38708458257569339</v>
      </c>
      <c r="P19" s="24">
        <f>P18/P17</f>
        <v>-9.2163019956720355E-2</v>
      </c>
      <c r="Q19" s="24">
        <f>Q18/Q17</f>
        <v>0.20206164739103041</v>
      </c>
      <c r="R19" s="24">
        <f>R18/R17</f>
        <v>0.38870866917212904</v>
      </c>
      <c r="U19" s="21">
        <f>X43*25</f>
        <v>0</v>
      </c>
      <c r="V19" s="4" t="s">
        <v>453</v>
      </c>
      <c r="Y19" s="22">
        <f>I38</f>
        <v>75</v>
      </c>
      <c r="AA19" s="9" t="s">
        <v>454</v>
      </c>
      <c r="AB19" s="12">
        <f>(L23/H23)-1</f>
        <v>-0.82585091096106034</v>
      </c>
      <c r="AC19" s="12">
        <f ca="1">(M23/I23)-1</f>
        <v>-0.95411266890359292</v>
      </c>
      <c r="AD19" s="12">
        <f ca="1">(N23/J23)-1</f>
        <v>-1.0163069329141521</v>
      </c>
      <c r="AF19" s="12">
        <f>(P23/H23)-1</f>
        <v>0</v>
      </c>
      <c r="AG19" s="12">
        <f ca="1">(Q23/I23)-1</f>
        <v>-0.47712755388239236</v>
      </c>
      <c r="AH19" s="12">
        <f ca="1">(R23/J23)-1</f>
        <v>-0.11664392042171223</v>
      </c>
    </row>
    <row r="20" spans="2:34" ht="18" thickBot="1">
      <c r="F20" s="9"/>
      <c r="G20" s="9"/>
      <c r="M20" s="5"/>
      <c r="Q20" s="5"/>
      <c r="U20" s="25">
        <v>425</v>
      </c>
      <c r="V20" s="26" t="s">
        <v>453</v>
      </c>
      <c r="W20" s="26"/>
      <c r="X20" s="26"/>
      <c r="Y20" s="27">
        <f>I39</f>
        <v>160</v>
      </c>
    </row>
    <row r="21" spans="2:34" ht="18" thickTop="1">
      <c r="F21" s="9"/>
      <c r="G21" s="9"/>
      <c r="M21" s="5"/>
      <c r="Q21" s="5"/>
      <c r="U21" s="21">
        <f>U17-U18-U19-U20</f>
        <v>17306.887466994776</v>
      </c>
    </row>
    <row r="22" spans="2:34" ht="18">
      <c r="B22" s="4">
        <f>1.57/0.71</f>
        <v>2.211267605633803</v>
      </c>
      <c r="F22" s="9" t="s">
        <v>455</v>
      </c>
      <c r="G22" s="9"/>
      <c r="H22" s="10">
        <f>_xll.BDP($C$3,$B$7,$U$3,$V$3)</f>
        <v>19078.4155641457</v>
      </c>
      <c r="I22" s="10" t="e">
        <f ca="1">H22-I18</f>
        <v>#VALUE!</v>
      </c>
      <c r="J22" s="10">
        <f ca="1">I22-J18</f>
        <v>18052.31830900058</v>
      </c>
      <c r="L22" s="10">
        <f>_xll.BDP($C$3,$B$7,$U$3,$V$3)</f>
        <v>19078.4155641457</v>
      </c>
      <c r="M22" s="10">
        <f>L22-M18</f>
        <v>10726.125213899617</v>
      </c>
      <c r="N22" s="10">
        <f>M22-N18</f>
        <v>1340.0695019607192</v>
      </c>
      <c r="P22" s="10">
        <f>_xll.BDP($C$3,$B$7,$U$3,$V$3)</f>
        <v>19078.4155641457</v>
      </c>
      <c r="Q22" s="10">
        <f>P22-Q18</f>
        <v>18040.2565641457</v>
      </c>
      <c r="R22" s="10">
        <f>Q22-R18</f>
        <v>15919.224564145701</v>
      </c>
      <c r="AB22" s="1385" t="s">
        <v>456</v>
      </c>
      <c r="AC22" s="1385"/>
      <c r="AD22" s="1385"/>
    </row>
    <row r="23" spans="2:34" ht="18" thickBot="1">
      <c r="B23" s="4">
        <v>37.86</v>
      </c>
      <c r="F23" s="9" t="s">
        <v>454</v>
      </c>
      <c r="G23" s="9"/>
      <c r="H23" s="28">
        <f>H22/H17</f>
        <v>4.5872602943365477</v>
      </c>
      <c r="I23" s="28">
        <f ca="1">I22/I17</f>
        <v>7.5224043670869642</v>
      </c>
      <c r="J23" s="28">
        <f ca="1">J22/J17</f>
        <v>3.7728158923835169</v>
      </c>
      <c r="L23" s="28">
        <f>L22/L17</f>
        <v>0.79886720144320789</v>
      </c>
      <c r="M23" s="28">
        <f>M22/M17</f>
        <v>0.46900989583057617</v>
      </c>
      <c r="N23" s="28">
        <f>N22/N17</f>
        <v>5.5264986668370111E-2</v>
      </c>
      <c r="P23" s="28">
        <f>P22/P17</f>
        <v>4.5872602943365477</v>
      </c>
      <c r="Q23" s="28">
        <f>Q22/Q17</f>
        <v>3.5112578715862695</v>
      </c>
      <c r="R23" s="28">
        <f>R22/R17</f>
        <v>2.9174197252004408</v>
      </c>
      <c r="AB23" s="14" t="s">
        <v>445</v>
      </c>
      <c r="AC23" s="14" t="s">
        <v>446</v>
      </c>
      <c r="AD23" s="14" t="s">
        <v>447</v>
      </c>
    </row>
    <row r="24" spans="2:34" ht="18" thickTop="1">
      <c r="B24" s="4">
        <f>B22/B23</f>
        <v>5.8406434380184974E-2</v>
      </c>
      <c r="F24" s="9" t="s">
        <v>457</v>
      </c>
      <c r="G24" s="9"/>
      <c r="H24" s="12">
        <f>(H18/($E$9+$F$9))/$F$3</f>
        <v>5.7042271001537248E-2</v>
      </c>
      <c r="I24" s="12" t="e">
        <f ca="1">(I18/($E$9+$F$9))/$F$3</f>
        <v>#VALUE!</v>
      </c>
      <c r="J24" s="12">
        <f ca="1">(J18/($E$9+$F$9))/$F$3</f>
        <v>-3.8213259896706007E-2</v>
      </c>
      <c r="K24" s="29"/>
      <c r="L24" s="12">
        <f>(L18/($E$9+$F$9))/$F$3</f>
        <v>0.54575326548117731</v>
      </c>
      <c r="M24" s="12">
        <f>(M18/($E$9+$F$9))/$F$3</f>
        <v>0.5263105876234514</v>
      </c>
      <c r="N24" s="12">
        <f>(N18/($E$9+$F$9))/$F$3</f>
        <v>0.59145219934451476</v>
      </c>
      <c r="O24" s="29"/>
      <c r="P24" s="12">
        <f>(P18/($E$9+$F$9))/$F$3</f>
        <v>-2.4153615073217716E-2</v>
      </c>
      <c r="Q24" s="12">
        <f>(Q18/($E$9+$F$9))/$F$3</f>
        <v>6.5418472110524317E-2</v>
      </c>
      <c r="R24" s="12">
        <f>(R18/($E$9+$F$9))/$F$3</f>
        <v>0.13365454880950761</v>
      </c>
      <c r="AB24" s="15"/>
      <c r="AC24" s="15"/>
      <c r="AD24" s="15"/>
    </row>
    <row r="25" spans="2:34">
      <c r="F25" s="9" t="s">
        <v>458</v>
      </c>
      <c r="G25" s="9"/>
      <c r="H25" s="12">
        <f>H18/H22</f>
        <v>4.7448007522381534E-2</v>
      </c>
      <c r="I25" s="12" t="e">
        <f ca="1">I18/I22</f>
        <v>#VALUE!</v>
      </c>
      <c r="J25" s="12">
        <f ca="1">J18/J22</f>
        <v>-2.9588849699791402E-2</v>
      </c>
      <c r="L25" s="12">
        <f>L18/L22</f>
        <v>0.45395992465337393</v>
      </c>
      <c r="M25" s="12">
        <f>M18/M22</f>
        <v>0.77868663507886682</v>
      </c>
      <c r="N25" s="12">
        <f>N18/N22</f>
        <v>7.0041559025152909</v>
      </c>
      <c r="P25" s="12">
        <f>P18/P22</f>
        <v>-2.0091081395687369E-2</v>
      </c>
      <c r="Q25" s="12">
        <f>Q18/Q22</f>
        <v>5.7546797979763781E-2</v>
      </c>
      <c r="R25" s="12">
        <f>R18/R22</f>
        <v>0.13323714301870737</v>
      </c>
      <c r="AC25" s="5"/>
    </row>
    <row r="26" spans="2:34">
      <c r="F26" s="9" t="s">
        <v>459</v>
      </c>
      <c r="G26" s="9"/>
      <c r="H26" s="12">
        <f>H18/$E$10</f>
        <v>7.2794586447238963E-2</v>
      </c>
      <c r="I26" s="12" t="e">
        <f ca="1">I18/$E$10</f>
        <v>#VALUE!</v>
      </c>
      <c r="J26" s="12">
        <f ca="1">J18/$E$10</f>
        <v>-4.8402702667354303E-2</v>
      </c>
      <c r="L26" s="12">
        <f>L18/$E$10</f>
        <v>0.69646391290875975</v>
      </c>
      <c r="M26" s="12">
        <f>M18/$E$10</f>
        <v>0.67165210809751896</v>
      </c>
      <c r="N26" s="12">
        <f>N18/$E$10</f>
        <v>0.75478268131073534</v>
      </c>
      <c r="P26" s="12">
        <f>P18/$E$10</f>
        <v>-3.0823674962262584E-2</v>
      </c>
      <c r="Q26" s="12">
        <f>Q18/$E$10</f>
        <v>8.3483889047256149E-2</v>
      </c>
      <c r="R26" s="12">
        <f>R18/$E$10</f>
        <v>0.17056346874966147</v>
      </c>
      <c r="AA26" s="9" t="s">
        <v>130</v>
      </c>
      <c r="AB26" s="12">
        <f t="shared" ref="AB26:AD27" si="3">(L17/P17)-1</f>
        <v>4.7422063217132333</v>
      </c>
      <c r="AC26" s="12">
        <f t="shared" si="3"/>
        <v>3.4512385799606129</v>
      </c>
      <c r="AD26" s="12">
        <f t="shared" si="3"/>
        <v>3.4437974930932773</v>
      </c>
    </row>
    <row r="27" spans="2:34">
      <c r="F27" s="9"/>
      <c r="G27" s="9"/>
      <c r="I27" s="12"/>
      <c r="J27" s="12"/>
      <c r="L27" s="12"/>
      <c r="M27" s="12"/>
      <c r="N27" s="12"/>
      <c r="P27" s="12"/>
      <c r="Q27" s="12"/>
      <c r="R27" s="12"/>
      <c r="AA27" s="9" t="s">
        <v>450</v>
      </c>
      <c r="AB27" s="12">
        <f t="shared" si="3"/>
        <v>-23.595096586031367</v>
      </c>
      <c r="AC27" s="12">
        <f t="shared" si="3"/>
        <v>7.0452901243895028</v>
      </c>
      <c r="AD27" s="12">
        <f t="shared" si="3"/>
        <v>3.4252306009239355</v>
      </c>
    </row>
    <row r="28" spans="2:34">
      <c r="F28" s="9" t="s">
        <v>460</v>
      </c>
      <c r="G28" s="9"/>
      <c r="H28" s="12"/>
      <c r="I28" s="12"/>
      <c r="J28" s="12"/>
      <c r="L28" s="12"/>
      <c r="M28" s="12"/>
      <c r="N28" s="12"/>
      <c r="P28" s="12"/>
      <c r="Q28" s="12"/>
      <c r="R28" s="12"/>
      <c r="AA28" s="9" t="s">
        <v>454</v>
      </c>
      <c r="AB28" s="12">
        <f>(L23/P23)-1</f>
        <v>-0.82585091096106034</v>
      </c>
      <c r="AC28" s="12">
        <f>(M23/Q23)-1</f>
        <v>-0.86642681540826472</v>
      </c>
      <c r="AD28" s="12">
        <f>(N23/R23)-1</f>
        <v>-0.98105689551935382</v>
      </c>
    </row>
    <row r="29" spans="2:34">
      <c r="E29" s="30">
        <v>6.6</v>
      </c>
      <c r="F29" s="9" t="s">
        <v>461</v>
      </c>
      <c r="G29" s="9"/>
      <c r="H29" s="12">
        <f>($E29/H$23)-1</f>
        <v>0.43876727643913949</v>
      </c>
      <c r="I29" s="12">
        <f ca="1">($E29/I$23)-1</f>
        <v>-0.12262094964248293</v>
      </c>
      <c r="J29" s="12">
        <f ca="1">($E29/J$23)-1</f>
        <v>0.74935649876898158</v>
      </c>
      <c r="L29" s="12">
        <f>($E29/L$23)-1</f>
        <v>7.2616985502429579</v>
      </c>
      <c r="M29" s="12">
        <f>($E29/M$23)-1</f>
        <v>13.072197748220146</v>
      </c>
      <c r="N29" s="12">
        <f>($E29/N$23)-1</f>
        <v>118.42461941780196</v>
      </c>
      <c r="P29" s="12">
        <f>($E29/P$23)-1</f>
        <v>0.43876727643913949</v>
      </c>
      <c r="Q29" s="12">
        <f>($E29/Q$23)-1</f>
        <v>0.87966826743441073</v>
      </c>
      <c r="R29" s="12">
        <f>($E29/R$23)-1</f>
        <v>1.2622730431928328</v>
      </c>
    </row>
    <row r="30" spans="2:34">
      <c r="E30" s="30">
        <v>6.2</v>
      </c>
      <c r="F30" s="9" t="s">
        <v>462</v>
      </c>
      <c r="G30" s="9"/>
      <c r="H30" s="12">
        <f t="shared" ref="H30:R31" si="4">($E30/H$23)-1</f>
        <v>0.35156925968525221</v>
      </c>
      <c r="I30" s="12">
        <f t="shared" ca="1" si="4"/>
        <v>-0.17579543754293847</v>
      </c>
      <c r="J30" s="12">
        <f t="shared" ca="1" si="4"/>
        <v>0.64333489278298273</v>
      </c>
      <c r="L30" s="12">
        <f t="shared" si="4"/>
        <v>6.7609895471979309</v>
      </c>
      <c r="M30" s="12">
        <f t="shared" si="4"/>
        <v>12.219337278631048</v>
      </c>
      <c r="N30" s="12">
        <f t="shared" si="4"/>
        <v>111.18676369551095</v>
      </c>
      <c r="P30" s="12">
        <f t="shared" si="4"/>
        <v>0.35156925968525221</v>
      </c>
      <c r="Q30" s="12">
        <f t="shared" si="4"/>
        <v>0.76574897849899193</v>
      </c>
      <c r="R30" s="12">
        <f t="shared" si="4"/>
        <v>1.125165586029631</v>
      </c>
    </row>
    <row r="31" spans="2:34">
      <c r="E31" s="30">
        <v>5.8</v>
      </c>
      <c r="F31" s="9" t="s">
        <v>463</v>
      </c>
      <c r="G31" s="9"/>
      <c r="H31" s="12">
        <f t="shared" si="4"/>
        <v>0.26437124293136494</v>
      </c>
      <c r="I31" s="12">
        <f t="shared" ca="1" si="4"/>
        <v>-0.22896992544339412</v>
      </c>
      <c r="J31" s="12">
        <f t="shared" ca="1" si="4"/>
        <v>0.53731328679698387</v>
      </c>
      <c r="L31" s="12">
        <f t="shared" si="4"/>
        <v>6.260280544152903</v>
      </c>
      <c r="M31" s="12">
        <f t="shared" si="4"/>
        <v>11.366476809041947</v>
      </c>
      <c r="N31" s="12">
        <f t="shared" si="4"/>
        <v>103.9489079732199</v>
      </c>
      <c r="P31" s="12">
        <f t="shared" si="4"/>
        <v>0.26437124293136494</v>
      </c>
      <c r="Q31" s="12">
        <f t="shared" si="4"/>
        <v>0.65182968956357312</v>
      </c>
      <c r="R31" s="12">
        <f t="shared" si="4"/>
        <v>0.98805812886642896</v>
      </c>
    </row>
    <row r="32" spans="2:34">
      <c r="B32" s="31"/>
      <c r="E32" s="30"/>
      <c r="F32" s="9"/>
      <c r="G32" s="9"/>
      <c r="M32" s="5"/>
      <c r="Q32" s="5"/>
    </row>
    <row r="33" spans="2:34" ht="18">
      <c r="E33" s="30"/>
      <c r="F33" s="32"/>
      <c r="G33" s="9"/>
      <c r="H33" s="1385" t="s">
        <v>440</v>
      </c>
      <c r="I33" s="1385"/>
      <c r="J33" s="1385"/>
      <c r="L33" s="1385" t="s">
        <v>441</v>
      </c>
      <c r="M33" s="1385"/>
      <c r="N33" s="1385"/>
      <c r="P33" s="1385" t="s">
        <v>442</v>
      </c>
      <c r="Q33" s="1385"/>
      <c r="R33" s="1385"/>
    </row>
    <row r="34" spans="2:34" ht="18.5" thickBot="1">
      <c r="E34" s="30"/>
      <c r="F34" s="33" t="s">
        <v>464</v>
      </c>
      <c r="G34" s="9"/>
      <c r="H34" s="14" t="s">
        <v>445</v>
      </c>
      <c r="I34" s="14" t="s">
        <v>446</v>
      </c>
      <c r="J34" s="14" t="s">
        <v>447</v>
      </c>
      <c r="L34" s="14" t="s">
        <v>445</v>
      </c>
      <c r="M34" s="14" t="s">
        <v>446</v>
      </c>
      <c r="N34" s="14" t="s">
        <v>447</v>
      </c>
      <c r="P34" s="14" t="s">
        <v>445</v>
      </c>
      <c r="Q34" s="14" t="s">
        <v>446</v>
      </c>
      <c r="R34" s="14" t="s">
        <v>447</v>
      </c>
    </row>
    <row r="35" spans="2:34">
      <c r="E35" s="30"/>
      <c r="F35" s="34"/>
      <c r="M35" s="5"/>
      <c r="Q35" s="5"/>
    </row>
    <row r="36" spans="2:34">
      <c r="E36" s="30"/>
      <c r="F36" s="9" t="s">
        <v>465</v>
      </c>
      <c r="G36" s="9"/>
      <c r="H36" s="17">
        <f>[4]Model!T443</f>
        <v>80.445349999999991</v>
      </c>
      <c r="I36" s="17">
        <f>[4]Model!W443</f>
        <v>90</v>
      </c>
      <c r="J36" s="17">
        <f>[4]Model!Z443</f>
        <v>75</v>
      </c>
      <c r="M36" s="17">
        <f>[5]Model!$AF$5</f>
        <v>81.47</v>
      </c>
      <c r="N36" s="17">
        <f>M36</f>
        <v>81.47</v>
      </c>
      <c r="Q36" s="5"/>
    </row>
    <row r="37" spans="2:34">
      <c r="E37" s="30"/>
      <c r="F37" s="9" t="s">
        <v>146</v>
      </c>
      <c r="G37" s="9"/>
      <c r="H37" s="17">
        <f>[4]Model!T252</f>
        <v>6161.5990423387102</v>
      </c>
      <c r="I37" s="17">
        <f>[4]Model!W252</f>
        <v>6300</v>
      </c>
      <c r="J37" s="17">
        <f>[4]Model!Z252</f>
        <v>6500</v>
      </c>
      <c r="M37" s="17">
        <f>[5]Model!$AG$5</f>
        <v>5728</v>
      </c>
      <c r="N37" s="17">
        <f>M37</f>
        <v>5728</v>
      </c>
      <c r="Q37" s="5"/>
    </row>
    <row r="38" spans="2:34">
      <c r="B38" s="35"/>
      <c r="E38" s="30"/>
      <c r="F38" s="9" t="s">
        <v>466</v>
      </c>
      <c r="G38" s="9"/>
      <c r="H38" s="17">
        <f>[4]Model!T528</f>
        <v>99.721193216232578</v>
      </c>
      <c r="I38" s="17">
        <f>[4]Model!W528</f>
        <v>75</v>
      </c>
      <c r="J38" s="17">
        <f>[4]Model!Z528</f>
        <v>75</v>
      </c>
      <c r="M38" s="17">
        <f>[5]Model!$AH$5</f>
        <v>65.600000000000009</v>
      </c>
      <c r="N38" s="17">
        <f>M38</f>
        <v>65.600000000000009</v>
      </c>
      <c r="Q38" s="5"/>
      <c r="V38" s="5"/>
    </row>
    <row r="39" spans="2:34" ht="18">
      <c r="E39" s="30"/>
      <c r="F39" s="9" t="s">
        <v>467</v>
      </c>
      <c r="G39" s="9"/>
      <c r="H39" s="17">
        <f>[4]Model!T488</f>
        <v>204.56035</v>
      </c>
      <c r="I39" s="17">
        <f>[4]Model!W488</f>
        <v>160</v>
      </c>
      <c r="J39" s="17">
        <f>[4]Model!Z488</f>
        <v>155</v>
      </c>
      <c r="M39" s="17">
        <f>[5]Model!$AI$5</f>
        <v>149</v>
      </c>
      <c r="N39" s="17">
        <f>M39</f>
        <v>149</v>
      </c>
      <c r="Q39" s="5"/>
      <c r="V39" s="5"/>
      <c r="AB39" s="1385" t="s">
        <v>443</v>
      </c>
      <c r="AC39" s="1385"/>
      <c r="AD39" s="1385"/>
      <c r="AF39" s="1385" t="s">
        <v>444</v>
      </c>
      <c r="AG39" s="1385"/>
      <c r="AH39" s="1385"/>
    </row>
    <row r="40" spans="2:34" ht="18" thickBot="1">
      <c r="E40" s="30"/>
      <c r="F40" s="9"/>
      <c r="G40" s="9"/>
      <c r="AB40" s="14" t="s">
        <v>445</v>
      </c>
      <c r="AC40" s="14" t="s">
        <v>446</v>
      </c>
      <c r="AD40" s="14" t="s">
        <v>447</v>
      </c>
      <c r="AF40" s="14" t="s">
        <v>445</v>
      </c>
      <c r="AG40" s="14" t="s">
        <v>446</v>
      </c>
      <c r="AH40" s="14" t="s">
        <v>447</v>
      </c>
    </row>
    <row r="41" spans="2:34" ht="18" thickTop="1">
      <c r="E41" s="30"/>
      <c r="F41" s="9"/>
      <c r="G41" s="9"/>
      <c r="AB41" s="15"/>
      <c r="AC41" s="15"/>
      <c r="AD41" s="15"/>
      <c r="AF41" s="15"/>
      <c r="AG41" s="15"/>
      <c r="AH41" s="15"/>
    </row>
    <row r="42" spans="2:34">
      <c r="B42" s="35"/>
      <c r="E42" s="30"/>
      <c r="F42" s="9"/>
      <c r="G42" s="9"/>
      <c r="U42" s="5"/>
      <c r="V42" s="5"/>
      <c r="W42" s="5"/>
      <c r="X42" s="5"/>
      <c r="AC42" s="5"/>
      <c r="AG42" s="5"/>
    </row>
    <row r="43" spans="2:34">
      <c r="E43" s="30"/>
      <c r="F43" s="9"/>
      <c r="G43" s="9"/>
      <c r="U43" s="5"/>
      <c r="V43" s="5"/>
      <c r="W43" s="5"/>
      <c r="X43" s="5"/>
      <c r="AA43" s="9" t="s">
        <v>130</v>
      </c>
      <c r="AB43" s="12" t="e">
        <f t="shared" ref="AB43:AD44" si="5">(H48/L48)-1</f>
        <v>#DIV/0!</v>
      </c>
      <c r="AC43" s="12">
        <f t="shared" ca="1" si="5"/>
        <v>-0.74581793168745447</v>
      </c>
      <c r="AD43" s="12" t="e">
        <f t="shared" ca="1" si="5"/>
        <v>#VALUE!</v>
      </c>
      <c r="AE43" s="5"/>
      <c r="AF43" s="12">
        <f t="shared" ref="AF43:AH44" si="6">(H48/P48)-1</f>
        <v>0</v>
      </c>
      <c r="AG43" s="12">
        <f t="shared" ca="1" si="6"/>
        <v>-0.43085880356167905</v>
      </c>
      <c r="AH43" s="12" t="e">
        <f t="shared" ca="1" si="6"/>
        <v>#VALUE!</v>
      </c>
    </row>
    <row r="44" spans="2:34" ht="18">
      <c r="E44" s="30"/>
      <c r="F44" s="36"/>
      <c r="G44" s="36"/>
      <c r="H44" s="1386" t="s">
        <v>565</v>
      </c>
      <c r="I44" s="1386"/>
      <c r="J44" s="1386"/>
      <c r="K44" s="37"/>
      <c r="L44" s="1386" t="s">
        <v>441</v>
      </c>
      <c r="M44" s="1386"/>
      <c r="N44" s="1386"/>
      <c r="O44" s="37"/>
      <c r="P44" s="1386" t="s">
        <v>442</v>
      </c>
      <c r="Q44" s="1386"/>
      <c r="R44" s="1386"/>
      <c r="U44" s="5"/>
      <c r="V44" s="5"/>
      <c r="W44" s="5"/>
      <c r="X44" s="5"/>
      <c r="AA44" s="9" t="s">
        <v>450</v>
      </c>
      <c r="AB44" s="12" t="e">
        <f t="shared" si="5"/>
        <v>#DIV/0!</v>
      </c>
      <c r="AC44" s="12" t="e">
        <f t="shared" ca="1" si="5"/>
        <v>#VALUE!</v>
      </c>
      <c r="AD44" s="12">
        <f t="shared" ca="1" si="5"/>
        <v>-1.1350975057551493</v>
      </c>
      <c r="AE44" s="5"/>
      <c r="AF44" s="12">
        <f t="shared" si="6"/>
        <v>-4.2461253554282736</v>
      </c>
      <c r="AG44" s="12" t="e">
        <f t="shared" ca="1" si="6"/>
        <v>#VALUE!</v>
      </c>
      <c r="AH44" s="12">
        <f t="shared" ca="1" si="6"/>
        <v>-0.54622255197435532</v>
      </c>
    </row>
    <row r="45" spans="2:34" ht="18">
      <c r="E45" s="30"/>
      <c r="F45" s="36"/>
      <c r="G45" s="36"/>
      <c r="H45" s="38" t="s">
        <v>468</v>
      </c>
      <c r="I45" s="38" t="s">
        <v>469</v>
      </c>
      <c r="J45" s="38" t="s">
        <v>470</v>
      </c>
      <c r="K45" s="37"/>
      <c r="L45" s="38" t="s">
        <v>468</v>
      </c>
      <c r="M45" s="38" t="s">
        <v>469</v>
      </c>
      <c r="N45" s="38" t="s">
        <v>470</v>
      </c>
      <c r="O45" s="37"/>
      <c r="P45" s="38" t="s">
        <v>468</v>
      </c>
      <c r="Q45" s="38" t="s">
        <v>469</v>
      </c>
      <c r="R45" s="38" t="s">
        <v>470</v>
      </c>
      <c r="U45" s="5"/>
      <c r="V45" s="5"/>
      <c r="W45" s="5"/>
      <c r="X45" s="5"/>
      <c r="AA45" s="9" t="s">
        <v>454</v>
      </c>
    </row>
    <row r="46" spans="2:34">
      <c r="E46" s="1132"/>
      <c r="F46" s="39"/>
      <c r="G46" s="39"/>
      <c r="H46" s="40"/>
      <c r="I46" s="40"/>
      <c r="J46" s="40"/>
      <c r="K46" s="41"/>
      <c r="L46" s="40"/>
      <c r="M46" s="40"/>
      <c r="N46" s="40"/>
      <c r="O46" s="41"/>
      <c r="P46" s="40"/>
      <c r="Q46" s="40"/>
      <c r="R46" s="40"/>
      <c r="U46" s="42"/>
      <c r="V46" s="42"/>
      <c r="W46" s="42"/>
      <c r="X46" s="42"/>
    </row>
    <row r="47" spans="2:34" hidden="1">
      <c r="E47" s="1132"/>
      <c r="F47" s="39"/>
      <c r="G47" s="39"/>
      <c r="H47" s="41"/>
      <c r="I47" s="43"/>
      <c r="J47" s="41"/>
      <c r="K47" s="41"/>
      <c r="L47" s="41"/>
      <c r="M47" s="43"/>
      <c r="N47" s="41"/>
      <c r="O47" s="41"/>
      <c r="P47" s="41"/>
      <c r="Q47" s="43"/>
      <c r="R47" s="41"/>
      <c r="U47" s="17"/>
      <c r="V47" s="17"/>
      <c r="W47" s="17"/>
      <c r="X47" s="17"/>
    </row>
    <row r="48" spans="2:34" ht="18">
      <c r="E48" s="1132"/>
      <c r="F48" s="44" t="s">
        <v>130</v>
      </c>
      <c r="G48" s="45"/>
      <c r="H48" s="52">
        <f>Model!U1319</f>
        <v>4159</v>
      </c>
      <c r="I48" s="52">
        <f ca="1">Model!Z1319</f>
        <v>2328.79942648</v>
      </c>
      <c r="J48" s="52" t="e">
        <f ca="1">Model!AE1319</f>
        <v>#VALUE!</v>
      </c>
      <c r="K48" s="47"/>
      <c r="L48" s="46"/>
      <c r="M48" s="46">
        <f>'[6]Simplied Earns by BU'!AN134</f>
        <v>9161.9343643725442</v>
      </c>
      <c r="N48" s="46">
        <f>'[6]Simplied Earns by BU'!AT128</f>
        <v>7501.9343643725442</v>
      </c>
      <c r="O48" s="47"/>
      <c r="P48" s="46">
        <f>P17</f>
        <v>4159</v>
      </c>
      <c r="Q48" s="46">
        <f>Q17</f>
        <v>5137.8330000000005</v>
      </c>
      <c r="R48" s="46">
        <f>R17</f>
        <v>5456.6109999999999</v>
      </c>
      <c r="AB48" s="1385" t="s">
        <v>456</v>
      </c>
      <c r="AC48" s="1385"/>
      <c r="AD48" s="1385"/>
    </row>
    <row r="49" spans="2:34" ht="18.5" thickBot="1">
      <c r="B49" s="35"/>
      <c r="E49" s="1132"/>
      <c r="F49" s="44" t="s">
        <v>450</v>
      </c>
      <c r="G49" s="45"/>
      <c r="H49" s="46">
        <f>Model!U1573</f>
        <v>905.23280520270612</v>
      </c>
      <c r="I49" s="46" t="e">
        <f ca="1">Model!Z1570</f>
        <v>#VALUE!</v>
      </c>
      <c r="J49" s="46">
        <f ca="1">Model!AE1570</f>
        <v>-534.14733317781065</v>
      </c>
      <c r="K49" s="47"/>
      <c r="L49" s="46"/>
      <c r="M49" s="46">
        <f>[7]Models!$Q$891</f>
        <v>3886.4904808991346</v>
      </c>
      <c r="N49" s="46">
        <f>[7]Models!$T$891</f>
        <v>3953.7912279883158</v>
      </c>
      <c r="O49" s="47"/>
      <c r="P49" s="48">
        <f>_xll.BDP($C$3,$P$2,$T$3,$T$7,$Q$3,$R$3)</f>
        <v>-278.86563397465449</v>
      </c>
      <c r="Q49" s="48">
        <f>_xll.BDP($C$3,$P$2,$T$3,$U$7,$Q$3,$R$3)</f>
        <v>-1806.3551652314238</v>
      </c>
      <c r="R49" s="48">
        <f>_xll.BDP($C$3,$P$2,$T$3,$V$7,$Q$3,$R$3)</f>
        <v>-298.57100000000003</v>
      </c>
      <c r="S49" s="49"/>
      <c r="U49" s="42"/>
      <c r="V49" s="42"/>
      <c r="W49" s="42"/>
      <c r="X49" s="42"/>
      <c r="AB49" s="14" t="s">
        <v>445</v>
      </c>
      <c r="AC49" s="14" t="s">
        <v>446</v>
      </c>
      <c r="AD49" s="14" t="s">
        <v>447</v>
      </c>
    </row>
    <row r="50" spans="2:34" ht="18.5" hidden="1" thickTop="1">
      <c r="E50" s="1132"/>
      <c r="F50" s="44"/>
      <c r="G50" s="45"/>
      <c r="H50" s="46"/>
      <c r="I50" s="46"/>
      <c r="J50" s="46"/>
      <c r="K50" s="50"/>
      <c r="L50" s="51"/>
      <c r="M50" s="51"/>
      <c r="N50" s="51"/>
      <c r="O50" s="50"/>
      <c r="P50" s="51"/>
      <c r="Q50" s="51"/>
      <c r="R50" s="51"/>
      <c r="U50" s="17"/>
      <c r="V50" s="17"/>
      <c r="W50" s="17"/>
      <c r="X50" s="17"/>
      <c r="AB50" s="15"/>
      <c r="AC50" s="15"/>
      <c r="AD50" s="15"/>
    </row>
    <row r="51" spans="2:34" ht="18.5" thickTop="1">
      <c r="E51" s="1132"/>
      <c r="F51" s="45"/>
      <c r="G51" s="45"/>
      <c r="H51" s="50"/>
      <c r="I51" s="47"/>
      <c r="J51" s="50"/>
      <c r="K51" s="50"/>
      <c r="L51" s="50"/>
      <c r="M51" s="47"/>
      <c r="N51" s="50"/>
      <c r="O51" s="50"/>
      <c r="P51" s="50"/>
      <c r="Q51" s="47"/>
      <c r="R51" s="50"/>
      <c r="AA51" s="9" t="s">
        <v>130</v>
      </c>
      <c r="AB51" s="12">
        <f>(L48/P48)-1</f>
        <v>-1</v>
      </c>
      <c r="AC51" s="12">
        <f>(M48/Q48)-1</f>
        <v>0.78322930394439516</v>
      </c>
      <c r="AD51" s="12">
        <f>(N48/R48)-1</f>
        <v>0.37483400674384604</v>
      </c>
      <c r="AF51" s="29">
        <f>AVERAGE(AF43,AB51)</f>
        <v>-0.5</v>
      </c>
      <c r="AG51" s="29">
        <f ca="1">AVERAGE(AG43,AC51)</f>
        <v>0.40412478277811542</v>
      </c>
      <c r="AH51" s="29" t="e">
        <f ca="1">AVERAGE(AH43,AD51)</f>
        <v>#VALUE!</v>
      </c>
    </row>
    <row r="52" spans="2:34" ht="18" hidden="1">
      <c r="E52" s="1132"/>
      <c r="F52" s="45"/>
      <c r="G52" s="45"/>
      <c r="H52" s="50"/>
      <c r="I52" s="47"/>
      <c r="J52" s="50"/>
      <c r="K52" s="50"/>
      <c r="L52" s="50"/>
      <c r="M52" s="47"/>
      <c r="N52" s="50"/>
      <c r="O52" s="50"/>
      <c r="P52" s="50"/>
      <c r="Q52" s="47"/>
      <c r="R52" s="50"/>
      <c r="AA52" s="9" t="s">
        <v>450</v>
      </c>
      <c r="AB52" s="12">
        <f t="shared" ref="AB52:AD53" si="7">(L48/P48)-1</f>
        <v>-1</v>
      </c>
      <c r="AC52" s="12">
        <f t="shared" si="7"/>
        <v>0.78322930394439516</v>
      </c>
      <c r="AD52" s="12">
        <f t="shared" si="7"/>
        <v>0.37483400674384604</v>
      </c>
    </row>
    <row r="53" spans="2:34" ht="18">
      <c r="E53" s="1132"/>
      <c r="F53" s="44" t="s">
        <v>455</v>
      </c>
      <c r="G53" s="45"/>
      <c r="H53" s="52">
        <v>24148.172209589997</v>
      </c>
      <c r="I53" s="52">
        <v>24148.172209589997</v>
      </c>
      <c r="J53" s="52">
        <v>24148.172209589997</v>
      </c>
      <c r="K53" s="50"/>
      <c r="L53" s="52"/>
      <c r="M53" s="52">
        <v>0</v>
      </c>
      <c r="N53" s="52">
        <v>0</v>
      </c>
      <c r="O53" s="50"/>
      <c r="P53" s="52">
        <v>19078.4155641457</v>
      </c>
      <c r="Q53" s="52">
        <v>19078.4155641457</v>
      </c>
      <c r="R53" s="52">
        <v>19078.4155641457</v>
      </c>
      <c r="AB53" s="12">
        <f>(L49/P49)-1</f>
        <v>-1</v>
      </c>
      <c r="AC53" s="12">
        <f t="shared" si="7"/>
        <v>-3.1515649611471681</v>
      </c>
      <c r="AD53" s="12">
        <f t="shared" si="7"/>
        <v>-14.242381972757956</v>
      </c>
    </row>
    <row r="54" spans="2:34" ht="18">
      <c r="E54" s="1132"/>
      <c r="F54" s="44" t="s">
        <v>454</v>
      </c>
      <c r="G54" s="45"/>
      <c r="H54" s="53">
        <f>H53/H48</f>
        <v>5.8062448207718198</v>
      </c>
      <c r="I54" s="53">
        <f ca="1">H53/I48</f>
        <v>8.991726798881464</v>
      </c>
      <c r="J54" s="53" t="e">
        <f ca="1">H53/J48</f>
        <v>#VALUE!</v>
      </c>
      <c r="K54" s="50"/>
      <c r="L54" s="53"/>
      <c r="M54" s="53">
        <f>L53/M48</f>
        <v>0</v>
      </c>
      <c r="N54" s="53">
        <f>L53/N48</f>
        <v>0</v>
      </c>
      <c r="O54" s="50"/>
      <c r="P54" s="53">
        <f>P53/P48</f>
        <v>4.5872602943365477</v>
      </c>
      <c r="Q54" s="53">
        <f>P53/Q48</f>
        <v>3.7133195189773001</v>
      </c>
      <c r="R54" s="53">
        <f>P53/R48</f>
        <v>3.4963854971786885</v>
      </c>
    </row>
    <row r="55" spans="2:34" ht="18">
      <c r="B55" s="35"/>
      <c r="C55" s="29"/>
      <c r="E55" s="1132"/>
      <c r="F55" s="44" t="s">
        <v>457</v>
      </c>
      <c r="G55" s="45"/>
      <c r="H55" s="54">
        <f>(H49/($E$9)/$F$3)</f>
        <v>5.7879440797456251E-2</v>
      </c>
      <c r="I55" s="54" t="e">
        <f ca="1">(I49/($E$9+$F$9))/$F$3</f>
        <v>#VALUE!</v>
      </c>
      <c r="J55" s="54">
        <f ca="1">(J49/($E$9+$F$9))/$F$3</f>
        <v>-3.8213259896706007E-2</v>
      </c>
      <c r="K55" s="55"/>
      <c r="L55" s="54"/>
      <c r="M55" s="54">
        <f>(M49/($E$9+$F$9))/$F$3</f>
        <v>0.24490301498375322</v>
      </c>
      <c r="N55" s="54">
        <f>(N49/($E$9+$F$9))/$F$3</f>
        <v>0.24914389913201088</v>
      </c>
      <c r="O55" s="55"/>
      <c r="P55" s="56">
        <f>(P49/$E$9)/$F$3</f>
        <v>-1.783031597983991E-2</v>
      </c>
      <c r="Q55" s="56">
        <f>(Q49/$E$9)/$F$3</f>
        <v>-0.11549606492860115</v>
      </c>
      <c r="R55" s="56">
        <f>(R49/$E$9)/$F$3</f>
        <v>-1.9090252163881313E-2</v>
      </c>
    </row>
    <row r="56" spans="2:34" ht="18">
      <c r="E56" s="1132"/>
      <c r="F56" s="44" t="s">
        <v>458</v>
      </c>
      <c r="G56" s="45"/>
      <c r="H56" s="54">
        <f>H49/H53</f>
        <v>3.7486597219279799E-2</v>
      </c>
      <c r="I56" s="54" t="e">
        <f ca="1">I49/I53</f>
        <v>#VALUE!</v>
      </c>
      <c r="J56" s="54">
        <f ca="1">J49/J53</f>
        <v>-2.5508556083017293E-2</v>
      </c>
      <c r="K56" s="50"/>
      <c r="L56" s="54"/>
      <c r="M56" s="54" t="e">
        <f>M49/M53</f>
        <v>#DIV/0!</v>
      </c>
      <c r="N56" s="54" t="e">
        <f>N49/N53</f>
        <v>#DIV/0!</v>
      </c>
      <c r="O56" s="50"/>
      <c r="P56" s="56">
        <f>P49/P53</f>
        <v>-1.4616813070092155E-2</v>
      </c>
      <c r="Q56" s="56">
        <f>Q49/Q53</f>
        <v>-9.4680565016422497E-2</v>
      </c>
      <c r="R56" s="56">
        <f>R49/R53</f>
        <v>-1.5649674837836542E-2</v>
      </c>
      <c r="AB56" s="1385" t="s">
        <v>471</v>
      </c>
      <c r="AC56" s="1385"/>
      <c r="AD56" s="1385"/>
    </row>
    <row r="57" spans="2:34" ht="18.5" hidden="1" thickBot="1">
      <c r="E57" s="1132"/>
      <c r="F57" s="44" t="s">
        <v>459</v>
      </c>
      <c r="G57" s="45"/>
      <c r="H57" s="54">
        <f>H49/$E$10</f>
        <v>7.2794586447238963E-2</v>
      </c>
      <c r="I57" s="54" t="e">
        <f ca="1">I49/$E$10</f>
        <v>#VALUE!</v>
      </c>
      <c r="J57" s="54">
        <f ca="1">J49/$E$10</f>
        <v>-4.8402702667354303E-2</v>
      </c>
      <c r="K57" s="50"/>
      <c r="L57" s="54"/>
      <c r="M57" s="54">
        <f>M49/$E$10</f>
        <v>0.31253337888570104</v>
      </c>
      <c r="N57" s="54">
        <f>N49/$E$10</f>
        <v>0.31794539005430877</v>
      </c>
      <c r="O57" s="50"/>
      <c r="P57" s="56">
        <f>P49/$E$10</f>
        <v>-2.2425069421767568E-2</v>
      </c>
      <c r="Q57" s="56">
        <f>Q49/$E$10</f>
        <v>-0.14525863012709828</v>
      </c>
      <c r="R57" s="56">
        <f>R49/$E$10</f>
        <v>-2.4009682752572887E-2</v>
      </c>
      <c r="AB57" s="14" t="s">
        <v>445</v>
      </c>
      <c r="AC57" s="14" t="s">
        <v>446</v>
      </c>
      <c r="AD57" s="14" t="s">
        <v>447</v>
      </c>
    </row>
    <row r="58" spans="2:34" ht="18">
      <c r="B58" s="35"/>
      <c r="E58" s="1132"/>
      <c r="F58" s="45"/>
      <c r="G58" s="45"/>
      <c r="H58" s="50"/>
      <c r="I58" s="47"/>
      <c r="J58" s="50"/>
      <c r="K58" s="50"/>
      <c r="L58" s="50"/>
      <c r="M58" s="50"/>
      <c r="N58" s="50"/>
      <c r="O58" s="50"/>
      <c r="P58" s="50"/>
      <c r="Q58" s="50"/>
      <c r="R58" s="50"/>
      <c r="AA58" s="9" t="s">
        <v>130</v>
      </c>
      <c r="AC58" s="12" t="e">
        <f>(M48/L48)-1</f>
        <v>#DIV/0!</v>
      </c>
      <c r="AD58" s="12">
        <f>(N48/M48)-1</f>
        <v>-0.18118444577109616</v>
      </c>
    </row>
    <row r="59" spans="2:34" ht="18">
      <c r="B59" s="35"/>
      <c r="E59" s="1132"/>
      <c r="F59" s="57" t="s">
        <v>472</v>
      </c>
      <c r="G59" s="45"/>
      <c r="H59" s="54"/>
      <c r="I59" s="54"/>
      <c r="J59" s="54"/>
      <c r="K59" s="50"/>
      <c r="L59" s="54"/>
      <c r="M59" s="54"/>
      <c r="N59" s="54"/>
      <c r="O59" s="50"/>
      <c r="P59" s="54"/>
      <c r="Q59" s="54"/>
      <c r="R59" s="54"/>
      <c r="AA59" s="9" t="s">
        <v>450</v>
      </c>
    </row>
    <row r="60" spans="2:34" ht="18">
      <c r="E60" s="1132">
        <v>5.4</v>
      </c>
      <c r="F60" s="44" t="s">
        <v>473</v>
      </c>
      <c r="G60" s="45"/>
      <c r="H60" s="54">
        <f>($E60/H$54)-1</f>
        <v>-6.9966877613992451E-2</v>
      </c>
      <c r="I60" s="54">
        <f ca="1">($E60/I$54)-1</f>
        <v>-0.39944794578592635</v>
      </c>
      <c r="J60" s="54" t="e">
        <f ca="1">($E60/J$54)-1</f>
        <v>#VALUE!</v>
      </c>
      <c r="K60" s="50"/>
      <c r="L60" s="54"/>
      <c r="M60" s="54" t="e">
        <f>($E60/M$54)-1</f>
        <v>#DIV/0!</v>
      </c>
      <c r="N60" s="54" t="e">
        <f>($E60/N$54)-1</f>
        <v>#DIV/0!</v>
      </c>
      <c r="O60" s="50"/>
      <c r="P60" s="54">
        <f>($E60/P$54)-1</f>
        <v>0.17717322617747788</v>
      </c>
      <c r="Q60" s="54">
        <f>($E60/Q$54)-1</f>
        <v>0.45422444053164468</v>
      </c>
      <c r="R60" s="54">
        <f>($E60/R$54)-1</f>
        <v>0.54445212187196779</v>
      </c>
      <c r="T60" s="12"/>
      <c r="AA60" s="9" t="s">
        <v>454</v>
      </c>
    </row>
    <row r="61" spans="2:34" ht="18">
      <c r="E61" s="1132">
        <v>4.3499999999999996</v>
      </c>
      <c r="F61" s="44" t="s">
        <v>496</v>
      </c>
      <c r="G61" s="45"/>
      <c r="H61" s="54">
        <f t="shared" ref="H61:R62" si="8">($E61/H$54)-1</f>
        <v>-0.25080665141127179</v>
      </c>
      <c r="I61" s="54">
        <f t="shared" ca="1" si="8"/>
        <v>-0.51622195632755186</v>
      </c>
      <c r="J61" s="54" t="e">
        <f t="shared" ca="1" si="8"/>
        <v>#VALUE!</v>
      </c>
      <c r="K61" s="50"/>
      <c r="L61" s="54"/>
      <c r="M61" s="54" t="e">
        <f t="shared" si="8"/>
        <v>#DIV/0!</v>
      </c>
      <c r="N61" s="54" t="e">
        <f t="shared" si="8"/>
        <v>#DIV/0!</v>
      </c>
      <c r="O61" s="50"/>
      <c r="P61" s="54">
        <f t="shared" si="8"/>
        <v>-5.1721567801476298E-2</v>
      </c>
      <c r="Q61" s="54">
        <f t="shared" si="8"/>
        <v>0.17145857709493595</v>
      </c>
      <c r="R61" s="54">
        <f t="shared" si="8"/>
        <v>0.2441419870635293</v>
      </c>
      <c r="U61" s="4">
        <f>(L54/E62)-1</f>
        <v>-1</v>
      </c>
      <c r="V61" s="4">
        <f>(L54/E61)-1</f>
        <v>-1</v>
      </c>
    </row>
    <row r="62" spans="2:34" ht="18">
      <c r="E62" s="1132">
        <v>3.3</v>
      </c>
      <c r="F62" s="44" t="s">
        <v>495</v>
      </c>
      <c r="G62" s="45"/>
      <c r="H62" s="54">
        <f>($E62/H$54)-1</f>
        <v>-0.43164642520855101</v>
      </c>
      <c r="I62" s="54">
        <f t="shared" ca="1" si="8"/>
        <v>-0.63299596686917725</v>
      </c>
      <c r="J62" s="54" t="e">
        <f t="shared" ca="1" si="8"/>
        <v>#VALUE!</v>
      </c>
      <c r="K62" s="50"/>
      <c r="L62" s="54"/>
      <c r="M62" s="54" t="e">
        <f t="shared" si="8"/>
        <v>#DIV/0!</v>
      </c>
      <c r="N62" s="54" t="e">
        <f t="shared" si="8"/>
        <v>#DIV/0!</v>
      </c>
      <c r="O62" s="50"/>
      <c r="P62" s="54">
        <f t="shared" si="8"/>
        <v>-0.28061636178043026</v>
      </c>
      <c r="Q62" s="54">
        <f t="shared" si="8"/>
        <v>-0.11130728634177278</v>
      </c>
      <c r="R62" s="54">
        <f t="shared" si="8"/>
        <v>-5.6168147744908747E-2</v>
      </c>
    </row>
    <row r="63" spans="2:34" ht="18" hidden="1">
      <c r="E63" s="1132"/>
      <c r="F63" s="45"/>
      <c r="G63" s="45"/>
      <c r="H63" s="50"/>
      <c r="I63" s="47"/>
      <c r="J63" s="50"/>
      <c r="K63" s="50"/>
      <c r="L63" s="50"/>
      <c r="M63" s="50"/>
      <c r="N63" s="50"/>
      <c r="O63" s="50"/>
      <c r="P63" s="50"/>
      <c r="Q63" s="50"/>
      <c r="R63" s="50"/>
    </row>
    <row r="64" spans="2:34" ht="18">
      <c r="E64" s="1132"/>
      <c r="F64" s="45"/>
      <c r="G64" s="45"/>
      <c r="H64" s="50"/>
      <c r="I64" s="47"/>
      <c r="J64" s="50"/>
      <c r="K64" s="50"/>
      <c r="L64" s="50"/>
      <c r="M64" s="50"/>
      <c r="N64" s="50"/>
      <c r="O64" s="50"/>
      <c r="P64" s="50"/>
      <c r="Q64" s="50"/>
      <c r="R64" s="50"/>
    </row>
    <row r="65" spans="1:46" ht="18">
      <c r="E65" s="1132"/>
      <c r="F65" s="58"/>
      <c r="G65" s="59"/>
      <c r="H65" s="1386" t="s">
        <v>474</v>
      </c>
      <c r="I65" s="1386"/>
      <c r="J65" s="1386"/>
      <c r="K65" s="60"/>
      <c r="L65" s="1386" t="s">
        <v>441</v>
      </c>
      <c r="M65" s="1386"/>
      <c r="N65" s="1386"/>
      <c r="O65" s="60"/>
      <c r="P65" s="1387"/>
      <c r="Q65" s="1387"/>
      <c r="R65" s="1387"/>
    </row>
    <row r="66" spans="1:46" ht="18">
      <c r="E66" s="1132"/>
      <c r="F66" s="58"/>
      <c r="G66" s="59"/>
      <c r="H66" s="38" t="s">
        <v>468</v>
      </c>
      <c r="I66" s="38" t="s">
        <v>469</v>
      </c>
      <c r="J66" s="38" t="s">
        <v>470</v>
      </c>
      <c r="K66" s="37"/>
      <c r="L66" s="38" t="s">
        <v>468</v>
      </c>
      <c r="M66" s="38" t="s">
        <v>469</v>
      </c>
      <c r="N66" s="38" t="s">
        <v>470</v>
      </c>
      <c r="O66" s="37"/>
      <c r="P66" s="1387"/>
      <c r="Q66" s="1387"/>
      <c r="R66" s="1387"/>
    </row>
    <row r="67" spans="1:46" ht="18">
      <c r="E67" s="1132"/>
      <c r="F67" s="61" t="s">
        <v>498</v>
      </c>
      <c r="G67" s="50"/>
      <c r="H67" s="50"/>
      <c r="I67" s="47"/>
      <c r="J67" s="50"/>
      <c r="K67" s="50"/>
      <c r="L67" s="50"/>
      <c r="M67" s="47"/>
      <c r="N67" s="50"/>
      <c r="O67" s="62"/>
      <c r="P67" s="62"/>
      <c r="Q67" s="63"/>
      <c r="R67" s="62"/>
    </row>
    <row r="68" spans="1:46" ht="18">
      <c r="F68" s="44" t="s">
        <v>171</v>
      </c>
      <c r="G68" s="45"/>
      <c r="H68" s="46"/>
      <c r="I68" s="46" t="e">
        <f>Model!#REF!</f>
        <v>#REF!</v>
      </c>
      <c r="J68" s="46" t="e">
        <f>I68</f>
        <v>#REF!</v>
      </c>
      <c r="K68" s="50"/>
      <c r="L68" s="46"/>
      <c r="M68" s="46">
        <f>[7]Models!$Q$182</f>
        <v>92.01</v>
      </c>
      <c r="N68" s="46">
        <f t="shared" ref="N68:N75" si="9">M68</f>
        <v>92.01</v>
      </c>
      <c r="O68" s="50"/>
      <c r="P68" s="50"/>
      <c r="Q68" s="47"/>
      <c r="R68" s="50"/>
    </row>
    <row r="69" spans="1:46" ht="18">
      <c r="B69" s="35"/>
      <c r="F69" s="44" t="s">
        <v>146</v>
      </c>
      <c r="G69" s="45"/>
      <c r="H69" s="46"/>
      <c r="I69" s="46" t="e">
        <f>Model!#REF!</f>
        <v>#REF!</v>
      </c>
      <c r="J69" s="46" t="e">
        <f>I69</f>
        <v>#REF!</v>
      </c>
      <c r="K69" s="50"/>
      <c r="L69" s="46"/>
      <c r="M69" s="46">
        <f>[7]Models!$Q$56</f>
        <v>5739</v>
      </c>
      <c r="N69" s="46">
        <f t="shared" si="9"/>
        <v>5739</v>
      </c>
      <c r="O69" s="50"/>
      <c r="P69" s="50"/>
      <c r="Q69" s="47"/>
      <c r="R69" s="50"/>
    </row>
    <row r="70" spans="1:46" ht="18">
      <c r="F70" s="44" t="s">
        <v>467</v>
      </c>
      <c r="G70" s="45"/>
      <c r="H70" s="46"/>
      <c r="I70" s="46" t="e">
        <f>Model!#REF!</f>
        <v>#REF!</v>
      </c>
      <c r="J70" s="46" t="e">
        <f>I70</f>
        <v>#REF!</v>
      </c>
      <c r="K70" s="50"/>
      <c r="L70" s="46"/>
      <c r="M70" s="46">
        <f>[7]Models!$Q$295</f>
        <v>158.29</v>
      </c>
      <c r="N70" s="46">
        <f t="shared" si="9"/>
        <v>158.29</v>
      </c>
      <c r="O70" s="50"/>
      <c r="P70" s="50"/>
      <c r="Q70" s="47"/>
      <c r="R70" s="50"/>
    </row>
    <row r="71" spans="1:46" ht="18">
      <c r="F71" s="73" t="s">
        <v>466</v>
      </c>
      <c r="G71" s="73"/>
      <c r="H71" s="48"/>
      <c r="I71" s="48">
        <f>[6]Models!Q352</f>
        <v>58.5</v>
      </c>
      <c r="J71" s="48">
        <f>[6]Models!T352</f>
        <v>58.5</v>
      </c>
      <c r="K71" s="74"/>
      <c r="L71" s="48"/>
      <c r="M71" s="48">
        <f>[7]Models!$Q$354</f>
        <v>78.650000000000006</v>
      </c>
      <c r="N71" s="48">
        <f t="shared" si="9"/>
        <v>78.650000000000006</v>
      </c>
      <c r="O71" s="74"/>
      <c r="P71" s="74"/>
      <c r="Q71" s="75"/>
      <c r="R71" s="74"/>
    </row>
    <row r="72" spans="1:46" ht="18" hidden="1">
      <c r="A72" s="9"/>
      <c r="F72" s="61" t="s">
        <v>498</v>
      </c>
      <c r="G72" s="50"/>
      <c r="H72" s="50"/>
      <c r="I72" s="47"/>
      <c r="J72" s="50"/>
      <c r="K72" s="74"/>
      <c r="L72" s="48"/>
      <c r="M72" s="48">
        <f>[7]Models!$AD$9</f>
        <v>12740</v>
      </c>
      <c r="N72" s="48">
        <f t="shared" si="9"/>
        <v>12740</v>
      </c>
      <c r="O72" s="74"/>
      <c r="P72" s="74"/>
      <c r="Q72" s="75"/>
      <c r="R72" s="74"/>
    </row>
    <row r="73" spans="1:46" ht="17.25" hidden="1" customHeight="1">
      <c r="A73" s="9"/>
      <c r="F73" s="44" t="s">
        <v>171</v>
      </c>
      <c r="G73" s="45"/>
      <c r="H73" s="46"/>
      <c r="I73" s="46" t="e">
        <f>Model!#REF!</f>
        <v>#REF!</v>
      </c>
      <c r="J73" s="46" t="e">
        <f>I73</f>
        <v>#REF!</v>
      </c>
      <c r="K73" s="74"/>
      <c r="L73" s="48"/>
      <c r="M73" s="48">
        <f>[7]Models!$AD$10</f>
        <v>985.1</v>
      </c>
      <c r="N73" s="48">
        <f t="shared" si="9"/>
        <v>985.1</v>
      </c>
      <c r="O73" s="74"/>
      <c r="P73" s="74"/>
      <c r="Q73" s="75"/>
      <c r="R73" s="74"/>
    </row>
    <row r="74" spans="1:46" ht="14.25" hidden="1" customHeight="1">
      <c r="A74" s="9"/>
      <c r="F74" s="44" t="s">
        <v>146</v>
      </c>
      <c r="G74" s="45"/>
      <c r="H74" s="46"/>
      <c r="I74" s="46" t="e">
        <f>Model!#REF!</f>
        <v>#REF!</v>
      </c>
      <c r="J74" s="46" t="e">
        <f>I74</f>
        <v>#REF!</v>
      </c>
      <c r="K74" s="74"/>
      <c r="L74" s="48"/>
      <c r="M74" s="48">
        <f>[7]Models!$AD$11</f>
        <v>2699.19</v>
      </c>
      <c r="N74" s="48">
        <f t="shared" si="9"/>
        <v>2699.19</v>
      </c>
      <c r="O74" s="74"/>
      <c r="P74" s="74"/>
      <c r="Q74" s="75"/>
      <c r="R74" s="74"/>
    </row>
    <row r="75" spans="1:46" ht="18" hidden="1">
      <c r="A75" s="9"/>
      <c r="F75" s="44" t="s">
        <v>467</v>
      </c>
      <c r="G75" s="45"/>
      <c r="H75" s="46"/>
      <c r="I75" s="46" t="e">
        <f>Model!#REF!</f>
        <v>#REF!</v>
      </c>
      <c r="J75" s="46" t="e">
        <f>I75</f>
        <v>#REF!</v>
      </c>
      <c r="K75" s="74"/>
      <c r="L75" s="48"/>
      <c r="M75" s="48">
        <f>[7]Models!$AD$12</f>
        <v>12700</v>
      </c>
      <c r="N75" s="48">
        <f t="shared" si="9"/>
        <v>12700</v>
      </c>
      <c r="O75" s="74"/>
      <c r="P75" s="74"/>
      <c r="Q75" s="75"/>
      <c r="R75" s="74"/>
    </row>
    <row r="76" spans="1:46" ht="18" hidden="1">
      <c r="A76" s="9"/>
      <c r="F76" s="44"/>
      <c r="G76" s="45"/>
      <c r="H76" s="46"/>
      <c r="I76" s="46"/>
      <c r="J76" s="46"/>
      <c r="K76" s="50"/>
      <c r="L76" s="46"/>
      <c r="M76" s="46"/>
      <c r="N76" s="46"/>
      <c r="O76" s="50"/>
      <c r="P76" s="50"/>
      <c r="Q76" s="47"/>
      <c r="R76" s="50"/>
      <c r="V76" s="35"/>
      <c r="W76" s="35"/>
      <c r="AL76" s="4" t="s">
        <v>475</v>
      </c>
      <c r="AM76" s="4" t="s">
        <v>476</v>
      </c>
      <c r="AN76" s="4" t="s">
        <v>477</v>
      </c>
      <c r="AO76" s="4" t="s">
        <v>478</v>
      </c>
      <c r="AP76" s="4" t="s">
        <v>479</v>
      </c>
    </row>
    <row r="77" spans="1:46">
      <c r="A77" s="9"/>
      <c r="H77" s="4">
        <v>1400</v>
      </c>
      <c r="L77" s="4">
        <v>1400</v>
      </c>
      <c r="AL77" s="29">
        <f>B38</f>
        <v>0</v>
      </c>
      <c r="AM77" s="29">
        <f>B42</f>
        <v>0</v>
      </c>
      <c r="AN77" s="29">
        <f>B49</f>
        <v>0</v>
      </c>
      <c r="AO77" s="29">
        <f>B55</f>
        <v>0</v>
      </c>
      <c r="AP77" s="29">
        <f>SUM(AL77:AO77)</f>
        <v>0</v>
      </c>
    </row>
    <row r="78" spans="1:46">
      <c r="A78" s="9"/>
      <c r="H78" s="64">
        <f>H49-H77</f>
        <v>-494.76719479729388</v>
      </c>
      <c r="L78" s="64">
        <f>L49-L77</f>
        <v>-1400</v>
      </c>
      <c r="AL78" s="4">
        <v>0</v>
      </c>
      <c r="AM78" s="29">
        <f>AL77</f>
        <v>0</v>
      </c>
      <c r="AN78" s="29">
        <f>AM77+AM78</f>
        <v>0</v>
      </c>
      <c r="AO78" s="29">
        <f>AN77+AN78</f>
        <v>0</v>
      </c>
    </row>
    <row r="79" spans="1:46">
      <c r="A79" s="9"/>
    </row>
    <row r="80" spans="1:46">
      <c r="A80" s="9"/>
      <c r="AS80" s="5"/>
      <c r="AT80" s="5"/>
    </row>
    <row r="81" spans="1:53">
      <c r="A81" s="9"/>
      <c r="AL81" s="4" t="s">
        <v>475</v>
      </c>
      <c r="AM81" s="4" t="s">
        <v>476</v>
      </c>
      <c r="AN81" s="4" t="s">
        <v>477</v>
      </c>
      <c r="AO81" s="4" t="s">
        <v>478</v>
      </c>
      <c r="AP81" s="4" t="s">
        <v>480</v>
      </c>
      <c r="AQ81" s="4" t="s">
        <v>481</v>
      </c>
      <c r="AR81" s="4" t="s">
        <v>482</v>
      </c>
      <c r="AS81" s="5" t="s">
        <v>483</v>
      </c>
      <c r="AT81" s="4" t="s">
        <v>481</v>
      </c>
      <c r="AU81" s="4" t="s">
        <v>482</v>
      </c>
      <c r="AV81" s="5" t="s">
        <v>484</v>
      </c>
      <c r="AZ81" s="4" t="s">
        <v>485</v>
      </c>
      <c r="BA81" s="12">
        <f>(AZ83/$H$3)-1</f>
        <v>0</v>
      </c>
    </row>
    <row r="82" spans="1:53">
      <c r="A82" s="9"/>
      <c r="AL82" s="35">
        <f>AL78</f>
        <v>0</v>
      </c>
      <c r="AM82" s="35">
        <f>AM78</f>
        <v>0</v>
      </c>
      <c r="AN82" s="35">
        <f>AN78</f>
        <v>0</v>
      </c>
      <c r="AO82" s="35">
        <f>AO78</f>
        <v>0</v>
      </c>
      <c r="AP82" s="35">
        <f>AP78</f>
        <v>0</v>
      </c>
      <c r="AQ82" s="29">
        <f>AP83</f>
        <v>0</v>
      </c>
      <c r="AR82" s="29">
        <f>AQ82+AQ83</f>
        <v>0</v>
      </c>
      <c r="AS82" s="65">
        <v>0</v>
      </c>
      <c r="AT82" s="29">
        <f>AS83</f>
        <v>0</v>
      </c>
      <c r="AU82" s="29">
        <f>AT82+AT83</f>
        <v>6.5000000000000002E-2</v>
      </c>
      <c r="AV82" s="65">
        <v>0</v>
      </c>
    </row>
    <row r="83" spans="1:53">
      <c r="A83" s="9"/>
      <c r="AL83" s="35">
        <f>AL77</f>
        <v>0</v>
      </c>
      <c r="AM83" s="35">
        <f>AM77</f>
        <v>0</v>
      </c>
      <c r="AN83" s="35">
        <f>AN77</f>
        <v>0</v>
      </c>
      <c r="AO83" s="35">
        <f>AO77</f>
        <v>0</v>
      </c>
      <c r="AP83" s="35">
        <f>AP77</f>
        <v>0</v>
      </c>
      <c r="AQ83" s="29">
        <f>B69</f>
        <v>0</v>
      </c>
      <c r="AR83" s="35">
        <v>0</v>
      </c>
      <c r="AS83" s="42">
        <f>SUM(AR82:AR83)</f>
        <v>0</v>
      </c>
      <c r="AT83" s="29">
        <v>6.5000000000000002E-2</v>
      </c>
      <c r="AU83" s="35">
        <v>7.2999999999999995E-2</v>
      </c>
      <c r="AV83" s="42">
        <f>SUM(AU82:AU83)</f>
        <v>0.13800000000000001</v>
      </c>
      <c r="AZ83" s="66">
        <f>$H$3*(1+AQ83+AR83)</f>
        <v>29.81</v>
      </c>
      <c r="BA83" s="4" t="s">
        <v>486</v>
      </c>
    </row>
    <row r="84" spans="1:53">
      <c r="A84" s="9"/>
      <c r="AS84" s="5"/>
      <c r="AV84" s="5"/>
    </row>
    <row r="85" spans="1:53">
      <c r="AL85" s="4" t="str">
        <f>AL81</f>
        <v>Special Dividend*</v>
      </c>
      <c r="AM85" s="4" t="str">
        <f t="shared" ref="AM85:AR87" si="10">AM81</f>
        <v>Interim Dividend**</v>
      </c>
      <c r="AN85" s="4" t="str">
        <f t="shared" si="10"/>
        <v>Earnings Revision</v>
      </c>
      <c r="AO85" s="4" t="str">
        <f t="shared" si="10"/>
        <v>Multiple Expansion</v>
      </c>
      <c r="AP85" s="4" t="str">
        <f t="shared" si="10"/>
        <v>TSR (%) - May '19</v>
      </c>
      <c r="AQ85" s="4" t="str">
        <f t="shared" si="10"/>
        <v>Interim Dividend***</v>
      </c>
      <c r="AR85" s="4" t="str">
        <f t="shared" si="10"/>
        <v>ER/Multiple Expansion</v>
      </c>
      <c r="AS85" s="5" t="s">
        <v>483</v>
      </c>
      <c r="AT85" s="4" t="str">
        <f>AT81</f>
        <v>Interim Dividend***</v>
      </c>
      <c r="AU85" s="4" t="str">
        <f>AU81</f>
        <v>ER/Multiple Expansion</v>
      </c>
      <c r="AV85" s="5" t="s">
        <v>484</v>
      </c>
      <c r="AZ85" s="4" t="s">
        <v>485</v>
      </c>
      <c r="BA85" s="12">
        <f>(AZ87/$H$3)-1</f>
        <v>-1</v>
      </c>
    </row>
    <row r="86" spans="1:53">
      <c r="AF86" s="67"/>
      <c r="AL86" s="29">
        <f>AL82</f>
        <v>0</v>
      </c>
      <c r="AM86" s="29">
        <f t="shared" si="10"/>
        <v>0</v>
      </c>
      <c r="AN86" s="29">
        <f t="shared" si="10"/>
        <v>0</v>
      </c>
      <c r="AO86" s="29">
        <f t="shared" si="10"/>
        <v>0</v>
      </c>
      <c r="AP86" s="29">
        <f t="shared" si="10"/>
        <v>0</v>
      </c>
      <c r="AQ86" s="29">
        <f t="shared" si="10"/>
        <v>0</v>
      </c>
      <c r="AR86" s="29">
        <f>AQ86+AQ87</f>
        <v>0</v>
      </c>
      <c r="AS86" s="65">
        <v>0</v>
      </c>
      <c r="AT86" s="29">
        <f>AS87</f>
        <v>-1</v>
      </c>
      <c r="AU86" s="29">
        <f>AT86+AT87</f>
        <v>-0.93500000000000005</v>
      </c>
      <c r="AV86" s="65">
        <v>0</v>
      </c>
    </row>
    <row r="87" spans="1:53">
      <c r="I87" s="5">
        <v>2019</v>
      </c>
      <c r="J87" s="4">
        <v>2020</v>
      </c>
      <c r="AL87" s="29">
        <f>AL83</f>
        <v>0</v>
      </c>
      <c r="AM87" s="29">
        <f t="shared" si="10"/>
        <v>0</v>
      </c>
      <c r="AN87" s="29">
        <f t="shared" si="10"/>
        <v>0</v>
      </c>
      <c r="AO87" s="29">
        <f t="shared" si="10"/>
        <v>0</v>
      </c>
      <c r="AP87" s="29">
        <f t="shared" si="10"/>
        <v>0</v>
      </c>
      <c r="AQ87" s="29">
        <f t="shared" si="10"/>
        <v>0</v>
      </c>
      <c r="AR87" s="35">
        <f>J102</f>
        <v>-1</v>
      </c>
      <c r="AS87" s="42">
        <f>SUM(AR86:AR87)</f>
        <v>-1</v>
      </c>
      <c r="AT87" s="29">
        <f>AT83</f>
        <v>6.5000000000000002E-2</v>
      </c>
      <c r="AU87" s="35">
        <f>AU83</f>
        <v>7.2999999999999995E-2</v>
      </c>
      <c r="AV87" s="42">
        <f>SUM(AU86:AU87)</f>
        <v>-0.8620000000000001</v>
      </c>
      <c r="AZ87" s="66">
        <f>$H$3*(1+AQ87+AR87)</f>
        <v>0</v>
      </c>
    </row>
    <row r="88" spans="1:53">
      <c r="G88" s="4" t="s">
        <v>487</v>
      </c>
      <c r="I88" s="16">
        <f>H48</f>
        <v>4159</v>
      </c>
      <c r="J88" s="68">
        <f ca="1">I48</f>
        <v>2328.79942648</v>
      </c>
    </row>
    <row r="89" spans="1:53">
      <c r="G89" s="9" t="s">
        <v>488</v>
      </c>
      <c r="I89" s="17">
        <f>L48</f>
        <v>0</v>
      </c>
      <c r="J89" s="21">
        <f>M48</f>
        <v>9161.9343643725442</v>
      </c>
    </row>
    <row r="90" spans="1:53">
      <c r="G90" s="9" t="s">
        <v>442</v>
      </c>
      <c r="I90" s="17">
        <f>P48</f>
        <v>4159</v>
      </c>
      <c r="J90" s="21">
        <f>Q48</f>
        <v>5137.8330000000005</v>
      </c>
    </row>
    <row r="91" spans="1:53">
      <c r="G91" s="9"/>
      <c r="AP91" s="4" t="s">
        <v>480</v>
      </c>
      <c r="AQ91" s="4" t="s">
        <v>481</v>
      </c>
      <c r="AR91" s="4" t="s">
        <v>482</v>
      </c>
      <c r="AS91" s="5" t="s">
        <v>483</v>
      </c>
    </row>
    <row r="92" spans="1:53">
      <c r="G92" s="9"/>
      <c r="AP92" s="12">
        <v>0</v>
      </c>
      <c r="AQ92" s="65">
        <f>AP93</f>
        <v>0.15</v>
      </c>
      <c r="AR92" s="65">
        <f>AQ92+AQ93</f>
        <v>0.15</v>
      </c>
      <c r="AS92" s="5">
        <v>0</v>
      </c>
    </row>
    <row r="93" spans="1:53">
      <c r="G93" s="9"/>
      <c r="I93" s="5" t="s">
        <v>487</v>
      </c>
      <c r="J93" s="4" t="s">
        <v>489</v>
      </c>
      <c r="K93" s="4" t="s">
        <v>442</v>
      </c>
      <c r="AP93" s="12">
        <v>0.15</v>
      </c>
      <c r="AQ93" s="65">
        <f>AQ83</f>
        <v>0</v>
      </c>
      <c r="AR93" s="5">
        <v>0</v>
      </c>
      <c r="AS93" s="65">
        <f>AR92+AR93</f>
        <v>0.15</v>
      </c>
    </row>
    <row r="94" spans="1:53">
      <c r="G94" s="9"/>
      <c r="H94" s="4">
        <v>2019</v>
      </c>
      <c r="I94" s="16">
        <f>I88</f>
        <v>4159</v>
      </c>
      <c r="J94" s="21">
        <f>I89</f>
        <v>0</v>
      </c>
      <c r="K94" s="1388">
        <f>I90</f>
        <v>4159</v>
      </c>
      <c r="L94" s="1388"/>
    </row>
    <row r="95" spans="1:53">
      <c r="G95" s="9"/>
      <c r="H95" s="4">
        <v>2020</v>
      </c>
      <c r="I95" s="10">
        <f ca="1">J88</f>
        <v>2328.79942648</v>
      </c>
      <c r="J95" s="21">
        <f>J89</f>
        <v>9161.9343643725442</v>
      </c>
      <c r="K95" s="1388">
        <f>J90</f>
        <v>5137.8330000000005</v>
      </c>
      <c r="L95" s="1388"/>
      <c r="AP95" s="4" t="s">
        <v>490</v>
      </c>
      <c r="AQ95" s="4" t="s">
        <v>481</v>
      </c>
      <c r="AR95" s="4" t="s">
        <v>482</v>
      </c>
      <c r="AS95" s="5" t="s">
        <v>483</v>
      </c>
    </row>
    <row r="96" spans="1:53">
      <c r="G96" s="9"/>
      <c r="AP96" s="29">
        <f>AP92</f>
        <v>0</v>
      </c>
      <c r="AQ96" s="29">
        <f t="shared" ref="AQ96:AS97" si="11">AQ92</f>
        <v>0.15</v>
      </c>
      <c r="AR96" s="29">
        <f t="shared" si="11"/>
        <v>0.15</v>
      </c>
      <c r="AS96" s="29">
        <f t="shared" si="11"/>
        <v>0</v>
      </c>
    </row>
    <row r="97" spans="6:45">
      <c r="G97" s="9"/>
      <c r="AP97" s="29">
        <f>AP93</f>
        <v>0.15</v>
      </c>
      <c r="AQ97" s="29">
        <f t="shared" si="11"/>
        <v>0</v>
      </c>
      <c r="AR97" s="29">
        <v>0.16</v>
      </c>
      <c r="AS97" s="29">
        <f>AR96+AR97</f>
        <v>0.31</v>
      </c>
    </row>
    <row r="98" spans="6:45">
      <c r="G98" s="9"/>
      <c r="I98" s="5" t="s">
        <v>487</v>
      </c>
      <c r="J98" s="4" t="str">
        <f>J93</f>
        <v>BI - Spot</v>
      </c>
      <c r="K98" s="4" t="s">
        <v>442</v>
      </c>
    </row>
    <row r="99" spans="6:45">
      <c r="G99" s="9"/>
      <c r="H99" s="4" t="s">
        <v>491</v>
      </c>
      <c r="I99" s="69">
        <f t="shared" ref="I99:K100" si="12">I94/1000</f>
        <v>4.1589999999999998</v>
      </c>
      <c r="J99" s="69">
        <f t="shared" si="12"/>
        <v>0</v>
      </c>
      <c r="K99" s="1389">
        <f t="shared" si="12"/>
        <v>4.1589999999999998</v>
      </c>
      <c r="L99" s="1389"/>
    </row>
    <row r="100" spans="6:45">
      <c r="G100" s="9"/>
      <c r="H100" s="4" t="s">
        <v>492</v>
      </c>
      <c r="I100" s="69">
        <f t="shared" ca="1" si="12"/>
        <v>2.3287994264799998</v>
      </c>
      <c r="J100" s="69">
        <f t="shared" si="12"/>
        <v>9.161934364372545</v>
      </c>
      <c r="K100" s="1389">
        <f t="shared" si="12"/>
        <v>5.1378330000000005</v>
      </c>
      <c r="L100" s="1389"/>
    </row>
    <row r="101" spans="6:45">
      <c r="F101" s="9"/>
      <c r="G101" s="9"/>
    </row>
    <row r="102" spans="6:45">
      <c r="F102" s="9"/>
      <c r="G102" s="9"/>
      <c r="H102" s="4" t="s">
        <v>491</v>
      </c>
      <c r="I102" s="31">
        <f>(I99/$K99)-1</f>
        <v>0</v>
      </c>
      <c r="J102" s="31">
        <f>(J99/$K99)-1</f>
        <v>-1</v>
      </c>
    </row>
    <row r="103" spans="6:45">
      <c r="F103" s="9"/>
      <c r="G103" s="9"/>
      <c r="H103" s="4" t="s">
        <v>492</v>
      </c>
      <c r="I103" s="31">
        <f ca="1">(I100/$K100)-1</f>
        <v>-0.43085880356167916</v>
      </c>
      <c r="J103" s="31">
        <f>(J100/$K100)-1</f>
        <v>0.78322930394439516</v>
      </c>
    </row>
    <row r="104" spans="6:45">
      <c r="F104" s="9"/>
      <c r="G104" s="9"/>
    </row>
    <row r="105" spans="6:45">
      <c r="F105" s="9"/>
      <c r="G105" s="9"/>
    </row>
    <row r="106" spans="6:45">
      <c r="F106" s="9"/>
      <c r="G106" s="9"/>
    </row>
    <row r="107" spans="6:45">
      <c r="F107" s="9"/>
      <c r="G107" s="9"/>
    </row>
    <row r="108" spans="6:45">
      <c r="F108" s="9"/>
      <c r="G108" s="9"/>
    </row>
    <row r="109" spans="6:45">
      <c r="F109" s="9"/>
      <c r="G109" s="9"/>
    </row>
    <row r="110" spans="6:45">
      <c r="F110" s="9"/>
      <c r="G110" s="9"/>
    </row>
    <row r="111" spans="6:45">
      <c r="F111" s="9"/>
      <c r="G111" s="9"/>
    </row>
    <row r="112" spans="6:45">
      <c r="F112" s="9"/>
      <c r="G112" s="9"/>
    </row>
    <row r="113" spans="6:62">
      <c r="F113" s="9"/>
      <c r="G113" s="9"/>
    </row>
    <row r="114" spans="6:62">
      <c r="F114" s="9"/>
      <c r="G114" s="9"/>
    </row>
    <row r="115" spans="6:62">
      <c r="F115" s="9"/>
      <c r="G115" s="9"/>
      <c r="AQ115" s="70"/>
      <c r="BJ115" s="70"/>
    </row>
    <row r="116" spans="6:62">
      <c r="F116" s="9"/>
      <c r="G116" s="9"/>
      <c r="AQ116" s="70"/>
      <c r="BJ116" s="70"/>
    </row>
    <row r="117" spans="6:62">
      <c r="F117" s="9"/>
      <c r="G117" s="9"/>
      <c r="AQ117" s="70"/>
      <c r="BJ117" s="70"/>
    </row>
    <row r="118" spans="6:62">
      <c r="F118" s="9"/>
      <c r="G118" s="9"/>
      <c r="AQ118" s="70"/>
      <c r="BJ118" s="70"/>
    </row>
    <row r="119" spans="6:62">
      <c r="F119" s="9"/>
      <c r="G119" s="9"/>
      <c r="AQ119" s="70"/>
      <c r="BJ119" s="70"/>
    </row>
    <row r="120" spans="6:62">
      <c r="F120" s="9"/>
      <c r="G120" s="9"/>
      <c r="AQ120" s="70"/>
      <c r="BJ120" s="70"/>
    </row>
    <row r="121" spans="6:62">
      <c r="F121" s="9"/>
      <c r="G121" s="9"/>
      <c r="AQ121" s="70"/>
      <c r="BJ121" s="70"/>
    </row>
    <row r="122" spans="6:62">
      <c r="F122" s="9"/>
      <c r="G122" s="9"/>
      <c r="AQ122" s="70"/>
      <c r="BJ122" s="70"/>
    </row>
    <row r="123" spans="6:62">
      <c r="F123" s="9"/>
      <c r="G123" s="9"/>
      <c r="AQ123" s="70"/>
      <c r="BJ123" s="70"/>
    </row>
    <row r="124" spans="6:62">
      <c r="F124" s="9"/>
      <c r="G124" s="9"/>
      <c r="AQ124" s="70"/>
      <c r="BJ124" s="70"/>
    </row>
    <row r="125" spans="6:62">
      <c r="F125" s="9"/>
      <c r="G125" s="9"/>
      <c r="AQ125" s="70"/>
      <c r="BJ125" s="70"/>
    </row>
    <row r="126" spans="6:62">
      <c r="F126" s="9"/>
      <c r="G126" s="9"/>
      <c r="AQ126" s="70"/>
      <c r="BJ126" s="70"/>
    </row>
    <row r="127" spans="6:62">
      <c r="F127" s="9"/>
      <c r="G127" s="9"/>
      <c r="AQ127" s="70"/>
      <c r="BJ127" s="70"/>
    </row>
    <row r="128" spans="6:62">
      <c r="F128" s="9"/>
      <c r="G128" s="9"/>
      <c r="AQ128" s="70"/>
      <c r="BJ128" s="70"/>
    </row>
    <row r="129" spans="6:72">
      <c r="F129" s="9"/>
      <c r="G129" s="9"/>
      <c r="AQ129" s="70"/>
      <c r="BJ129" s="70"/>
    </row>
    <row r="130" spans="6:72">
      <c r="F130" s="9"/>
      <c r="G130" s="9"/>
      <c r="AQ130" s="70"/>
      <c r="BJ130" s="70"/>
    </row>
    <row r="131" spans="6:72">
      <c r="F131" s="9"/>
      <c r="G131" s="9"/>
      <c r="AQ131" s="70"/>
      <c r="BJ131" s="70"/>
    </row>
    <row r="132" spans="6:72">
      <c r="F132" s="9"/>
      <c r="G132" s="9"/>
      <c r="AQ132" s="70"/>
      <c r="BJ132" s="70"/>
    </row>
    <row r="133" spans="6:72">
      <c r="F133" s="9"/>
      <c r="G133" s="9"/>
      <c r="AQ133" s="70"/>
      <c r="BJ133" s="70"/>
    </row>
    <row r="134" spans="6:72">
      <c r="F134" s="9"/>
      <c r="G134" s="9"/>
      <c r="AQ134" s="70"/>
      <c r="BJ134" s="70"/>
    </row>
    <row r="135" spans="6:72">
      <c r="F135" s="9"/>
      <c r="G135" s="9"/>
      <c r="AQ135" s="70"/>
      <c r="BJ135" s="70"/>
    </row>
    <row r="136" spans="6:72" hidden="1">
      <c r="F136" s="9"/>
      <c r="G136" s="9"/>
      <c r="AQ136" s="70"/>
    </row>
    <row r="137" spans="6:72" ht="18">
      <c r="F137" s="9"/>
      <c r="G137" s="9"/>
      <c r="AK137" s="71"/>
      <c r="AL137" s="50" t="s">
        <v>493</v>
      </c>
      <c r="AM137" s="71"/>
      <c r="AN137" s="71"/>
      <c r="AO137" s="71"/>
      <c r="AP137" s="71"/>
      <c r="AQ137" s="71"/>
      <c r="AR137" s="1390" t="s">
        <v>493</v>
      </c>
      <c r="AS137" s="1390"/>
      <c r="AT137" s="1390"/>
      <c r="AU137" s="1390"/>
      <c r="AV137" s="1390"/>
      <c r="AW137" s="1390"/>
      <c r="AX137" s="1390"/>
      <c r="AY137" s="1390"/>
      <c r="BA137" s="71"/>
      <c r="BB137" s="50" t="s">
        <v>493</v>
      </c>
      <c r="BC137" s="71"/>
      <c r="BD137" s="71"/>
      <c r="BE137" s="71"/>
      <c r="BF137" s="71"/>
      <c r="BG137" s="71"/>
      <c r="BH137" s="72"/>
      <c r="BI137" s="72"/>
      <c r="BJ137" s="72"/>
      <c r="BK137" s="71"/>
      <c r="BL137" s="50" t="s">
        <v>493</v>
      </c>
      <c r="BM137" s="72"/>
      <c r="BN137" s="72"/>
      <c r="BO137" s="71"/>
      <c r="BP137" s="71"/>
      <c r="BQ137" s="71"/>
      <c r="BR137" s="71"/>
      <c r="BS137" s="71"/>
      <c r="BT137" s="71"/>
    </row>
    <row r="138" spans="6:72">
      <c r="F138" s="9"/>
      <c r="G138" s="9"/>
      <c r="AK138" s="71"/>
      <c r="AL138" s="71"/>
      <c r="AM138" s="71"/>
      <c r="AN138" s="71"/>
      <c r="AO138" s="71"/>
      <c r="AP138" s="71"/>
      <c r="AQ138" s="71"/>
      <c r="AR138" s="71"/>
      <c r="AS138" s="71"/>
      <c r="AT138" s="71"/>
      <c r="AU138" s="71"/>
      <c r="AV138" s="71"/>
      <c r="AW138" s="71"/>
      <c r="AX138" s="71"/>
      <c r="AY138" s="71"/>
      <c r="BA138" s="71"/>
      <c r="BB138" s="71"/>
      <c r="BC138" s="71"/>
      <c r="BD138" s="71"/>
      <c r="BE138" s="71"/>
      <c r="BF138" s="71"/>
      <c r="BG138" s="71"/>
      <c r="BH138" s="71"/>
      <c r="BI138" s="71"/>
      <c r="BJ138" s="71"/>
      <c r="BK138" s="71"/>
      <c r="BL138" s="71"/>
      <c r="BM138" s="71"/>
      <c r="BN138" s="71"/>
      <c r="BO138" s="71"/>
      <c r="BP138" s="71"/>
      <c r="BQ138" s="71"/>
      <c r="BR138" s="71"/>
      <c r="BS138" s="71"/>
      <c r="BT138" s="71"/>
    </row>
    <row r="139" spans="6:72">
      <c r="F139" s="9"/>
      <c r="G139" s="9"/>
    </row>
    <row r="140" spans="6:72">
      <c r="F140" s="9"/>
      <c r="G140" s="9"/>
    </row>
    <row r="141" spans="6:72">
      <c r="F141" s="9"/>
      <c r="G141" s="9"/>
    </row>
    <row r="142" spans="6:72">
      <c r="F142" s="9"/>
      <c r="G142" s="9"/>
    </row>
    <row r="143" spans="6:72">
      <c r="F143" s="9"/>
      <c r="G143" s="9"/>
    </row>
    <row r="144" spans="6:72">
      <c r="F144" s="9"/>
      <c r="G144" s="9"/>
    </row>
    <row r="145" spans="6:7">
      <c r="F145" s="9"/>
      <c r="G145" s="9"/>
    </row>
    <row r="146" spans="6:7">
      <c r="F146" s="9"/>
      <c r="G146" s="9"/>
    </row>
    <row r="147" spans="6:7">
      <c r="F147" s="9"/>
      <c r="G147" s="9"/>
    </row>
    <row r="148" spans="6:7">
      <c r="F148" s="9"/>
      <c r="G148" s="9"/>
    </row>
    <row r="149" spans="6:7">
      <c r="F149" s="9"/>
      <c r="G149" s="9"/>
    </row>
    <row r="150" spans="6:7">
      <c r="F150" s="9"/>
      <c r="G150" s="9"/>
    </row>
    <row r="151" spans="6:7">
      <c r="F151" s="9"/>
      <c r="G151" s="9"/>
    </row>
    <row r="152" spans="6:7">
      <c r="F152" s="9"/>
      <c r="G152" s="9"/>
    </row>
    <row r="153" spans="6:7">
      <c r="F153" s="9"/>
      <c r="G153" s="9"/>
    </row>
    <row r="154" spans="6:7">
      <c r="F154" s="9"/>
      <c r="G154" s="9"/>
    </row>
    <row r="155" spans="6:7">
      <c r="F155" s="9"/>
      <c r="G155" s="9"/>
    </row>
    <row r="156" spans="6:7">
      <c r="F156" s="9"/>
      <c r="G156" s="9"/>
    </row>
    <row r="157" spans="6:7">
      <c r="F157" s="9"/>
      <c r="G157" s="9"/>
    </row>
    <row r="158" spans="6:7">
      <c r="F158" s="9"/>
      <c r="G158" s="9"/>
    </row>
    <row r="159" spans="6:7">
      <c r="F159" s="9"/>
      <c r="G159" s="9"/>
    </row>
    <row r="160" spans="6:7">
      <c r="F160" s="9"/>
      <c r="G160" s="9"/>
    </row>
    <row r="161" spans="6:7">
      <c r="F161" s="9"/>
      <c r="G161" s="9"/>
    </row>
    <row r="162" spans="6:7">
      <c r="F162" s="9"/>
      <c r="G162" s="9"/>
    </row>
    <row r="163" spans="6:7">
      <c r="F163" s="9"/>
      <c r="G163" s="9"/>
    </row>
    <row r="164" spans="6:7">
      <c r="F164" s="9"/>
      <c r="G164" s="9"/>
    </row>
    <row r="165" spans="6:7">
      <c r="F165" s="9"/>
      <c r="G165" s="9"/>
    </row>
    <row r="166" spans="6:7">
      <c r="F166" s="9"/>
      <c r="G166" s="9"/>
    </row>
    <row r="167" spans="6:7">
      <c r="F167" s="9"/>
      <c r="G167" s="9"/>
    </row>
    <row r="168" spans="6:7">
      <c r="F168" s="9"/>
      <c r="G168" s="9"/>
    </row>
    <row r="169" spans="6:7">
      <c r="F169" s="9"/>
      <c r="G169" s="9"/>
    </row>
    <row r="170" spans="6:7">
      <c r="F170" s="9"/>
      <c r="G170" s="9"/>
    </row>
    <row r="171" spans="6:7">
      <c r="F171" s="9"/>
      <c r="G171" s="9"/>
    </row>
    <row r="172" spans="6:7">
      <c r="F172" s="9"/>
      <c r="G172" s="9"/>
    </row>
    <row r="173" spans="6:7">
      <c r="F173" s="9"/>
      <c r="G173" s="9"/>
    </row>
    <row r="174" spans="6:7">
      <c r="F174" s="9"/>
      <c r="G174" s="9"/>
    </row>
    <row r="175" spans="6:7">
      <c r="F175" s="9"/>
      <c r="G175" s="9"/>
    </row>
    <row r="176" spans="6:7">
      <c r="F176" s="9"/>
      <c r="G176" s="9"/>
    </row>
    <row r="177" spans="6:7">
      <c r="F177" s="9"/>
      <c r="G177" s="9"/>
    </row>
    <row r="178" spans="6:7">
      <c r="F178" s="9"/>
      <c r="G178" s="9"/>
    </row>
    <row r="179" spans="6:7">
      <c r="F179" s="9"/>
      <c r="G179" s="9"/>
    </row>
    <row r="180" spans="6:7">
      <c r="F180" s="9"/>
      <c r="G180" s="9"/>
    </row>
    <row r="181" spans="6:7">
      <c r="F181" s="9"/>
      <c r="G181" s="9"/>
    </row>
    <row r="182" spans="6:7">
      <c r="F182" s="9"/>
      <c r="G182" s="9"/>
    </row>
    <row r="183" spans="6:7">
      <c r="F183" s="9"/>
      <c r="G183" s="9"/>
    </row>
    <row r="184" spans="6:7">
      <c r="F184" s="9"/>
      <c r="G184" s="9"/>
    </row>
    <row r="185" spans="6:7">
      <c r="F185" s="9"/>
      <c r="G185" s="9"/>
    </row>
    <row r="186" spans="6:7">
      <c r="F186" s="9"/>
      <c r="G186" s="9"/>
    </row>
    <row r="187" spans="6:7">
      <c r="F187" s="9"/>
      <c r="G187" s="9"/>
    </row>
    <row r="188" spans="6:7">
      <c r="F188" s="9"/>
      <c r="G188" s="9"/>
    </row>
    <row r="189" spans="6:7">
      <c r="F189" s="9"/>
      <c r="G189" s="9"/>
    </row>
    <row r="190" spans="6:7">
      <c r="F190" s="9"/>
      <c r="G190" s="9"/>
    </row>
    <row r="191" spans="6:7">
      <c r="F191" s="9"/>
      <c r="G191" s="9"/>
    </row>
    <row r="192" spans="6:7">
      <c r="F192" s="9"/>
      <c r="G192" s="9"/>
    </row>
    <row r="193" spans="6:7">
      <c r="F193" s="9"/>
      <c r="G193" s="9"/>
    </row>
    <row r="194" spans="6:7">
      <c r="F194" s="9"/>
      <c r="G194" s="9"/>
    </row>
    <row r="195" spans="6:7">
      <c r="F195" s="9"/>
      <c r="G195" s="9"/>
    </row>
    <row r="196" spans="6:7">
      <c r="F196" s="9"/>
      <c r="G196" s="9"/>
    </row>
    <row r="197" spans="6:7">
      <c r="F197" s="9"/>
      <c r="G197" s="9"/>
    </row>
    <row r="198" spans="6:7">
      <c r="F198" s="9"/>
      <c r="G198" s="9"/>
    </row>
    <row r="199" spans="6:7">
      <c r="F199" s="9"/>
      <c r="G199" s="9"/>
    </row>
    <row r="200" spans="6:7">
      <c r="F200" s="9"/>
      <c r="G200" s="9"/>
    </row>
    <row r="201" spans="6:7">
      <c r="F201" s="9"/>
      <c r="G201" s="9"/>
    </row>
    <row r="202" spans="6:7">
      <c r="F202" s="9"/>
      <c r="G202" s="9"/>
    </row>
    <row r="203" spans="6:7">
      <c r="F203" s="9"/>
      <c r="G203" s="9"/>
    </row>
    <row r="204" spans="6:7">
      <c r="F204" s="9"/>
      <c r="G204" s="9"/>
    </row>
    <row r="205" spans="6:7">
      <c r="F205" s="9"/>
      <c r="G205" s="9"/>
    </row>
    <row r="206" spans="6:7">
      <c r="F206" s="9"/>
      <c r="G206" s="9"/>
    </row>
    <row r="207" spans="6:7">
      <c r="F207" s="9"/>
      <c r="G207" s="9"/>
    </row>
    <row r="208" spans="6:7">
      <c r="F208" s="9"/>
      <c r="G208" s="9"/>
    </row>
    <row r="209" spans="6:7">
      <c r="F209" s="9"/>
      <c r="G209" s="9"/>
    </row>
    <row r="210" spans="6:7">
      <c r="F210" s="9"/>
      <c r="G210" s="9"/>
    </row>
    <row r="211" spans="6:7">
      <c r="F211" s="9"/>
      <c r="G211" s="9"/>
    </row>
    <row r="212" spans="6:7">
      <c r="F212" s="9"/>
      <c r="G212" s="9"/>
    </row>
    <row r="213" spans="6:7">
      <c r="F213" s="9"/>
      <c r="G213" s="9"/>
    </row>
    <row r="214" spans="6:7">
      <c r="F214" s="9"/>
      <c r="G214" s="9"/>
    </row>
    <row r="215" spans="6:7">
      <c r="F215" s="9"/>
      <c r="G215" s="9"/>
    </row>
    <row r="216" spans="6:7">
      <c r="F216" s="9"/>
      <c r="G216" s="9"/>
    </row>
    <row r="217" spans="6:7">
      <c r="F217" s="9"/>
      <c r="G217" s="9"/>
    </row>
    <row r="218" spans="6:7">
      <c r="F218" s="9"/>
      <c r="G218" s="9"/>
    </row>
    <row r="219" spans="6:7">
      <c r="F219" s="9"/>
      <c r="G219" s="9"/>
    </row>
    <row r="220" spans="6:7">
      <c r="F220" s="9"/>
      <c r="G220" s="9"/>
    </row>
    <row r="221" spans="6:7">
      <c r="F221" s="9"/>
      <c r="G221" s="9"/>
    </row>
    <row r="222" spans="6:7">
      <c r="F222" s="9"/>
      <c r="G222" s="9"/>
    </row>
    <row r="223" spans="6:7">
      <c r="F223" s="9"/>
      <c r="G223" s="9"/>
    </row>
    <row r="224" spans="6:7">
      <c r="F224" s="9"/>
      <c r="G224" s="9"/>
    </row>
    <row r="225" spans="6:7">
      <c r="F225" s="9"/>
      <c r="G225" s="9"/>
    </row>
    <row r="226" spans="6:7">
      <c r="F226" s="9"/>
      <c r="G226" s="9"/>
    </row>
    <row r="227" spans="6:7">
      <c r="F227" s="9"/>
      <c r="G227" s="9"/>
    </row>
    <row r="228" spans="6:7">
      <c r="F228" s="9"/>
      <c r="G228" s="9"/>
    </row>
    <row r="229" spans="6:7">
      <c r="F229" s="9"/>
      <c r="G229" s="9"/>
    </row>
    <row r="230" spans="6:7">
      <c r="F230" s="9"/>
      <c r="G230" s="9"/>
    </row>
    <row r="231" spans="6:7">
      <c r="F231" s="9"/>
      <c r="G231" s="9"/>
    </row>
    <row r="232" spans="6:7">
      <c r="F232" s="9"/>
      <c r="G232" s="9"/>
    </row>
    <row r="233" spans="6:7">
      <c r="F233" s="9"/>
      <c r="G233" s="9"/>
    </row>
    <row r="234" spans="6:7">
      <c r="F234" s="9"/>
      <c r="G234" s="9"/>
    </row>
    <row r="235" spans="6:7">
      <c r="F235" s="9"/>
      <c r="G235" s="9"/>
    </row>
    <row r="236" spans="6:7">
      <c r="F236" s="9"/>
      <c r="G236" s="9"/>
    </row>
    <row r="237" spans="6:7">
      <c r="F237" s="9"/>
      <c r="G237" s="9"/>
    </row>
    <row r="238" spans="6:7">
      <c r="F238" s="9"/>
      <c r="G238" s="9"/>
    </row>
    <row r="239" spans="6:7">
      <c r="F239" s="9"/>
      <c r="G239" s="9"/>
    </row>
    <row r="240" spans="6:7">
      <c r="F240" s="9"/>
      <c r="G240" s="9"/>
    </row>
    <row r="241" spans="6:7">
      <c r="F241" s="9"/>
      <c r="G241" s="9"/>
    </row>
    <row r="242" spans="6:7">
      <c r="F242" s="9"/>
      <c r="G242" s="9"/>
    </row>
    <row r="243" spans="6:7">
      <c r="F243" s="9"/>
      <c r="G243" s="9"/>
    </row>
    <row r="244" spans="6:7">
      <c r="F244" s="9"/>
      <c r="G244" s="9"/>
    </row>
    <row r="245" spans="6:7">
      <c r="F245" s="9"/>
      <c r="G245" s="9"/>
    </row>
    <row r="246" spans="6:7">
      <c r="F246" s="9"/>
      <c r="G246" s="9"/>
    </row>
    <row r="247" spans="6:7">
      <c r="F247" s="9"/>
      <c r="G247" s="9"/>
    </row>
    <row r="248" spans="6:7">
      <c r="F248" s="9"/>
      <c r="G248" s="9"/>
    </row>
    <row r="249" spans="6:7">
      <c r="F249" s="9"/>
      <c r="G249" s="9"/>
    </row>
    <row r="250" spans="6:7">
      <c r="F250" s="9"/>
      <c r="G250" s="9"/>
    </row>
    <row r="251" spans="6:7">
      <c r="F251" s="9"/>
      <c r="G251" s="9"/>
    </row>
    <row r="252" spans="6:7">
      <c r="F252" s="9"/>
      <c r="G252" s="9"/>
    </row>
    <row r="253" spans="6:7">
      <c r="F253" s="9"/>
      <c r="G253" s="9"/>
    </row>
    <row r="254" spans="6:7">
      <c r="F254" s="9"/>
      <c r="G254" s="9"/>
    </row>
    <row r="255" spans="6:7">
      <c r="F255" s="9"/>
      <c r="G255" s="9"/>
    </row>
    <row r="256" spans="6:7">
      <c r="F256" s="9"/>
      <c r="G256" s="9"/>
    </row>
    <row r="257" spans="6:7">
      <c r="F257" s="9"/>
      <c r="G257" s="9"/>
    </row>
    <row r="258" spans="6:7">
      <c r="F258" s="9"/>
      <c r="G258" s="9"/>
    </row>
    <row r="259" spans="6:7">
      <c r="F259" s="9"/>
      <c r="G259" s="9"/>
    </row>
    <row r="260" spans="6:7">
      <c r="F260" s="9"/>
      <c r="G260" s="9"/>
    </row>
    <row r="261" spans="6:7">
      <c r="F261" s="9"/>
      <c r="G261" s="9"/>
    </row>
    <row r="262" spans="6:7">
      <c r="F262" s="9"/>
      <c r="G262" s="9"/>
    </row>
    <row r="263" spans="6:7">
      <c r="F263" s="9"/>
      <c r="G263" s="9"/>
    </row>
    <row r="264" spans="6:7">
      <c r="F264" s="9"/>
      <c r="G264" s="9"/>
    </row>
    <row r="265" spans="6:7">
      <c r="F265" s="9"/>
      <c r="G265" s="9"/>
    </row>
    <row r="266" spans="6:7">
      <c r="F266" s="9"/>
      <c r="G266" s="9"/>
    </row>
    <row r="267" spans="6:7">
      <c r="F267" s="9"/>
      <c r="G267" s="9"/>
    </row>
    <row r="268" spans="6:7">
      <c r="F268" s="9"/>
      <c r="G268" s="9"/>
    </row>
    <row r="269" spans="6:7">
      <c r="F269" s="9"/>
      <c r="G269" s="9"/>
    </row>
    <row r="270" spans="6:7">
      <c r="F270" s="9"/>
      <c r="G270" s="9"/>
    </row>
    <row r="271" spans="6:7">
      <c r="F271" s="9"/>
      <c r="G271" s="9"/>
    </row>
    <row r="272" spans="6:7">
      <c r="F272" s="9"/>
      <c r="G272" s="9"/>
    </row>
    <row r="273" spans="6:7">
      <c r="F273" s="9"/>
      <c r="G273" s="9"/>
    </row>
    <row r="274" spans="6:7">
      <c r="F274" s="9"/>
      <c r="G274" s="9"/>
    </row>
    <row r="275" spans="6:7">
      <c r="F275" s="9"/>
      <c r="G275" s="9"/>
    </row>
    <row r="276" spans="6:7">
      <c r="F276" s="9"/>
      <c r="G276" s="9"/>
    </row>
    <row r="277" spans="6:7">
      <c r="F277" s="9"/>
      <c r="G277" s="9"/>
    </row>
    <row r="278" spans="6:7">
      <c r="F278" s="9"/>
      <c r="G278" s="9"/>
    </row>
    <row r="279" spans="6:7">
      <c r="F279" s="9"/>
      <c r="G279" s="9"/>
    </row>
    <row r="280" spans="6:7">
      <c r="F280" s="9"/>
      <c r="G280" s="9"/>
    </row>
    <row r="281" spans="6:7">
      <c r="F281" s="9"/>
      <c r="G281" s="9"/>
    </row>
    <row r="282" spans="6:7">
      <c r="F282" s="9"/>
      <c r="G282" s="9"/>
    </row>
    <row r="283" spans="6:7">
      <c r="F283" s="9"/>
      <c r="G283" s="9"/>
    </row>
    <row r="284" spans="6:7">
      <c r="F284" s="9"/>
      <c r="G284" s="9"/>
    </row>
    <row r="285" spans="6:7">
      <c r="F285" s="9"/>
      <c r="G285" s="9"/>
    </row>
    <row r="286" spans="6:7">
      <c r="F286" s="9"/>
      <c r="G286" s="9"/>
    </row>
    <row r="287" spans="6:7">
      <c r="F287" s="9"/>
      <c r="G287" s="9"/>
    </row>
    <row r="288" spans="6:7">
      <c r="F288" s="9"/>
      <c r="G288" s="9"/>
    </row>
    <row r="289" spans="6:7">
      <c r="F289" s="9"/>
      <c r="G289" s="9"/>
    </row>
    <row r="290" spans="6:7">
      <c r="F290" s="9"/>
      <c r="G290" s="9"/>
    </row>
    <row r="291" spans="6:7">
      <c r="F291" s="9"/>
      <c r="G291" s="9"/>
    </row>
    <row r="292" spans="6:7">
      <c r="F292" s="9"/>
      <c r="G292" s="9"/>
    </row>
    <row r="293" spans="6:7">
      <c r="F293" s="9"/>
      <c r="G293" s="9"/>
    </row>
    <row r="294" spans="6:7">
      <c r="F294" s="9"/>
      <c r="G294" s="9"/>
    </row>
    <row r="295" spans="6:7">
      <c r="F295" s="9"/>
      <c r="G295" s="9"/>
    </row>
    <row r="296" spans="6:7">
      <c r="F296" s="9"/>
      <c r="G296" s="9"/>
    </row>
    <row r="297" spans="6:7">
      <c r="F297" s="9"/>
      <c r="G297" s="9"/>
    </row>
    <row r="298" spans="6:7">
      <c r="F298" s="9"/>
      <c r="G298" s="9"/>
    </row>
    <row r="299" spans="6:7">
      <c r="F299" s="9"/>
      <c r="G299" s="9"/>
    </row>
    <row r="300" spans="6:7">
      <c r="F300" s="9"/>
      <c r="G300" s="9"/>
    </row>
    <row r="301" spans="6:7">
      <c r="F301" s="9"/>
      <c r="G301" s="9"/>
    </row>
    <row r="302" spans="6:7">
      <c r="F302" s="9"/>
      <c r="G302" s="9"/>
    </row>
    <row r="303" spans="6:7">
      <c r="F303" s="9"/>
      <c r="G303" s="9"/>
    </row>
    <row r="304" spans="6:7">
      <c r="F304" s="9"/>
      <c r="G304" s="9"/>
    </row>
    <row r="305" spans="6:7">
      <c r="F305" s="9"/>
      <c r="G305" s="9"/>
    </row>
    <row r="306" spans="6:7">
      <c r="F306" s="9"/>
      <c r="G306" s="9"/>
    </row>
    <row r="307" spans="6:7">
      <c r="F307" s="9"/>
      <c r="G307" s="9"/>
    </row>
    <row r="308" spans="6:7">
      <c r="F308" s="9"/>
      <c r="G308" s="9"/>
    </row>
    <row r="309" spans="6:7">
      <c r="F309" s="9"/>
      <c r="G309" s="9"/>
    </row>
    <row r="310" spans="6:7">
      <c r="F310" s="9"/>
      <c r="G310" s="9"/>
    </row>
    <row r="311" spans="6:7">
      <c r="F311" s="9"/>
      <c r="G311" s="9"/>
    </row>
    <row r="312" spans="6:7">
      <c r="F312" s="9"/>
      <c r="G312" s="9"/>
    </row>
    <row r="313" spans="6:7">
      <c r="F313" s="9"/>
      <c r="G313" s="9"/>
    </row>
    <row r="314" spans="6:7">
      <c r="F314" s="9"/>
      <c r="G314" s="9"/>
    </row>
    <row r="315" spans="6:7">
      <c r="F315" s="9"/>
      <c r="G315" s="9"/>
    </row>
    <row r="316" spans="6:7">
      <c r="F316" s="9"/>
      <c r="G316" s="9"/>
    </row>
    <row r="317" spans="6:7">
      <c r="F317" s="9"/>
      <c r="G317" s="9"/>
    </row>
    <row r="318" spans="6:7">
      <c r="F318" s="9"/>
      <c r="G318" s="9"/>
    </row>
    <row r="319" spans="6:7">
      <c r="F319" s="9"/>
      <c r="G319" s="9"/>
    </row>
    <row r="320" spans="6:7">
      <c r="F320" s="9"/>
      <c r="G320" s="9"/>
    </row>
    <row r="321" spans="6:7">
      <c r="F321" s="9"/>
      <c r="G321" s="9"/>
    </row>
    <row r="322" spans="6:7">
      <c r="F322" s="9"/>
      <c r="G322" s="9"/>
    </row>
    <row r="323" spans="6:7">
      <c r="F323" s="9"/>
      <c r="G323" s="9"/>
    </row>
    <row r="324" spans="6:7">
      <c r="F324" s="9"/>
      <c r="G324" s="9"/>
    </row>
    <row r="325" spans="6:7">
      <c r="F325" s="9"/>
      <c r="G325" s="9"/>
    </row>
    <row r="326" spans="6:7">
      <c r="F326" s="9"/>
      <c r="G326" s="9"/>
    </row>
    <row r="327" spans="6:7">
      <c r="F327" s="9"/>
      <c r="G327" s="9"/>
    </row>
    <row r="328" spans="6:7">
      <c r="F328" s="9"/>
      <c r="G328" s="9"/>
    </row>
    <row r="329" spans="6:7">
      <c r="F329" s="9"/>
      <c r="G329" s="9"/>
    </row>
    <row r="330" spans="6:7">
      <c r="F330" s="9"/>
      <c r="G330" s="9"/>
    </row>
    <row r="331" spans="6:7">
      <c r="F331" s="9"/>
      <c r="G331" s="9"/>
    </row>
    <row r="332" spans="6:7">
      <c r="F332" s="9"/>
      <c r="G332" s="9"/>
    </row>
    <row r="333" spans="6:7">
      <c r="F333" s="9"/>
      <c r="G333" s="9"/>
    </row>
    <row r="334" spans="6:7">
      <c r="F334" s="9"/>
      <c r="G334" s="9"/>
    </row>
    <row r="335" spans="6:7">
      <c r="F335" s="9"/>
      <c r="G335" s="9"/>
    </row>
    <row r="336" spans="6:7">
      <c r="F336" s="9"/>
      <c r="G336" s="9"/>
    </row>
    <row r="337" spans="6:7">
      <c r="F337" s="9"/>
      <c r="G337" s="9"/>
    </row>
    <row r="338" spans="6:7">
      <c r="F338" s="9"/>
      <c r="G338" s="9"/>
    </row>
    <row r="339" spans="6:7">
      <c r="F339" s="9"/>
      <c r="G339" s="9"/>
    </row>
    <row r="340" spans="6:7">
      <c r="F340" s="9"/>
      <c r="G340" s="9"/>
    </row>
    <row r="341" spans="6:7">
      <c r="F341" s="9"/>
      <c r="G341" s="9"/>
    </row>
    <row r="342" spans="6:7">
      <c r="F342" s="9"/>
      <c r="G342" s="9"/>
    </row>
    <row r="343" spans="6:7">
      <c r="F343" s="9"/>
      <c r="G343" s="9"/>
    </row>
    <row r="344" spans="6:7">
      <c r="F344" s="9"/>
      <c r="G344" s="9"/>
    </row>
    <row r="345" spans="6:7">
      <c r="F345" s="9"/>
      <c r="G345" s="9"/>
    </row>
    <row r="346" spans="6:7">
      <c r="F346" s="9"/>
      <c r="G346" s="9"/>
    </row>
    <row r="347" spans="6:7">
      <c r="F347" s="9"/>
      <c r="G347" s="9"/>
    </row>
    <row r="348" spans="6:7">
      <c r="F348" s="9"/>
      <c r="G348" s="9"/>
    </row>
    <row r="349" spans="6:7">
      <c r="F349" s="9"/>
      <c r="G349" s="9"/>
    </row>
    <row r="350" spans="6:7">
      <c r="F350" s="9"/>
      <c r="G350" s="9"/>
    </row>
    <row r="351" spans="6:7">
      <c r="F351" s="9"/>
      <c r="G351" s="9"/>
    </row>
    <row r="352" spans="6:7">
      <c r="F352" s="9"/>
      <c r="G352" s="9"/>
    </row>
    <row r="353" spans="6:7">
      <c r="F353" s="9"/>
      <c r="G353" s="9"/>
    </row>
    <row r="354" spans="6:7">
      <c r="F354" s="9"/>
      <c r="G354" s="9"/>
    </row>
    <row r="355" spans="6:7">
      <c r="F355" s="9"/>
      <c r="G355" s="9"/>
    </row>
    <row r="356" spans="6:7">
      <c r="F356" s="9"/>
      <c r="G356" s="9"/>
    </row>
    <row r="357" spans="6:7">
      <c r="F357" s="9"/>
      <c r="G357" s="9"/>
    </row>
    <row r="358" spans="6:7">
      <c r="F358" s="9"/>
      <c r="G358" s="9"/>
    </row>
    <row r="359" spans="6:7">
      <c r="F359" s="9"/>
      <c r="G359" s="9"/>
    </row>
    <row r="360" spans="6:7">
      <c r="F360" s="9"/>
      <c r="G360" s="9"/>
    </row>
    <row r="361" spans="6:7">
      <c r="F361" s="9"/>
      <c r="G361" s="9"/>
    </row>
    <row r="362" spans="6:7">
      <c r="F362" s="9"/>
      <c r="G362" s="9"/>
    </row>
    <row r="363" spans="6:7">
      <c r="F363" s="9"/>
      <c r="G363" s="9"/>
    </row>
    <row r="364" spans="6:7">
      <c r="F364" s="9"/>
      <c r="G364" s="9"/>
    </row>
    <row r="365" spans="6:7">
      <c r="F365" s="9"/>
      <c r="G365" s="9"/>
    </row>
    <row r="366" spans="6:7">
      <c r="F366" s="9"/>
      <c r="G366" s="9"/>
    </row>
    <row r="367" spans="6:7">
      <c r="F367" s="9"/>
      <c r="G367" s="9"/>
    </row>
    <row r="368" spans="6:7">
      <c r="F368" s="9"/>
      <c r="G368" s="9"/>
    </row>
    <row r="369" spans="6:7">
      <c r="F369" s="9"/>
      <c r="G369" s="9"/>
    </row>
    <row r="370" spans="6:7">
      <c r="F370" s="9"/>
      <c r="G370" s="9"/>
    </row>
    <row r="371" spans="6:7">
      <c r="F371" s="9"/>
      <c r="G371" s="9"/>
    </row>
    <row r="372" spans="6:7">
      <c r="F372" s="9"/>
      <c r="G372" s="9"/>
    </row>
    <row r="373" spans="6:7">
      <c r="F373" s="9"/>
      <c r="G373" s="9"/>
    </row>
    <row r="374" spans="6:7">
      <c r="F374" s="9"/>
      <c r="G374" s="9"/>
    </row>
    <row r="375" spans="6:7">
      <c r="F375" s="9"/>
      <c r="G375" s="9"/>
    </row>
    <row r="376" spans="6:7">
      <c r="F376" s="9"/>
      <c r="G376" s="9"/>
    </row>
    <row r="377" spans="6:7">
      <c r="F377" s="9"/>
      <c r="G377" s="9"/>
    </row>
    <row r="378" spans="6:7">
      <c r="F378" s="9"/>
      <c r="G378" s="9"/>
    </row>
    <row r="379" spans="6:7">
      <c r="F379" s="9"/>
      <c r="G379" s="9"/>
    </row>
    <row r="380" spans="6:7">
      <c r="F380" s="9"/>
      <c r="G380" s="9"/>
    </row>
    <row r="381" spans="6:7">
      <c r="F381" s="9"/>
      <c r="G381" s="9"/>
    </row>
    <row r="382" spans="6:7">
      <c r="F382" s="9"/>
      <c r="G382" s="9"/>
    </row>
    <row r="383" spans="6:7">
      <c r="F383" s="9"/>
      <c r="G383" s="9"/>
    </row>
    <row r="384" spans="6:7">
      <c r="F384" s="9"/>
      <c r="G384" s="9"/>
    </row>
    <row r="385" spans="6:7">
      <c r="F385" s="9"/>
      <c r="G385" s="9"/>
    </row>
    <row r="386" spans="6:7">
      <c r="F386" s="9"/>
      <c r="G386" s="9"/>
    </row>
    <row r="387" spans="6:7">
      <c r="F387" s="9"/>
      <c r="G387" s="9"/>
    </row>
    <row r="388" spans="6:7">
      <c r="F388" s="9"/>
      <c r="G388" s="9"/>
    </row>
    <row r="389" spans="6:7">
      <c r="F389" s="9"/>
      <c r="G389" s="9"/>
    </row>
    <row r="390" spans="6:7">
      <c r="F390" s="9"/>
      <c r="G390" s="9"/>
    </row>
    <row r="391" spans="6:7">
      <c r="F391" s="9"/>
      <c r="G391" s="9"/>
    </row>
    <row r="392" spans="6:7">
      <c r="F392" s="9"/>
      <c r="G392" s="9"/>
    </row>
    <row r="393" spans="6:7">
      <c r="F393" s="9"/>
      <c r="G393" s="9"/>
    </row>
    <row r="394" spans="6:7">
      <c r="F394" s="9"/>
      <c r="G394" s="9"/>
    </row>
    <row r="395" spans="6:7">
      <c r="F395" s="9"/>
      <c r="G395" s="9"/>
    </row>
    <row r="396" spans="6:7">
      <c r="F396" s="9"/>
      <c r="G396" s="9"/>
    </row>
    <row r="397" spans="6:7">
      <c r="F397" s="9"/>
      <c r="G397" s="9"/>
    </row>
    <row r="398" spans="6:7">
      <c r="F398" s="9"/>
      <c r="G398" s="9"/>
    </row>
    <row r="399" spans="6:7">
      <c r="F399" s="9"/>
      <c r="G399" s="9"/>
    </row>
    <row r="400" spans="6:7">
      <c r="F400" s="9"/>
      <c r="G400" s="9"/>
    </row>
    <row r="401" spans="6:7">
      <c r="F401" s="9"/>
      <c r="G401" s="9"/>
    </row>
    <row r="402" spans="6:7">
      <c r="F402" s="9"/>
      <c r="G402" s="9"/>
    </row>
    <row r="403" spans="6:7">
      <c r="F403" s="9"/>
      <c r="G403" s="9"/>
    </row>
    <row r="404" spans="6:7">
      <c r="F404" s="9"/>
      <c r="G404" s="9"/>
    </row>
    <row r="405" spans="6:7">
      <c r="F405" s="9"/>
      <c r="G405" s="9"/>
    </row>
    <row r="406" spans="6:7">
      <c r="F406" s="9"/>
      <c r="G406" s="9"/>
    </row>
    <row r="407" spans="6:7">
      <c r="F407" s="9"/>
      <c r="G407" s="9"/>
    </row>
    <row r="408" spans="6:7">
      <c r="F408" s="9"/>
      <c r="G408" s="9"/>
    </row>
    <row r="409" spans="6:7">
      <c r="F409" s="9"/>
      <c r="G409" s="9"/>
    </row>
    <row r="410" spans="6:7">
      <c r="F410" s="9"/>
      <c r="G410" s="9"/>
    </row>
    <row r="411" spans="6:7">
      <c r="F411" s="9"/>
      <c r="G411" s="9"/>
    </row>
    <row r="412" spans="6:7">
      <c r="F412" s="9"/>
      <c r="G412" s="9"/>
    </row>
    <row r="413" spans="6:7">
      <c r="F413" s="9"/>
      <c r="G413" s="9"/>
    </row>
    <row r="414" spans="6:7">
      <c r="F414" s="9"/>
      <c r="G414" s="9"/>
    </row>
    <row r="415" spans="6:7">
      <c r="F415" s="9"/>
      <c r="G415" s="9"/>
    </row>
    <row r="416" spans="6:7">
      <c r="F416" s="9"/>
      <c r="G416" s="9"/>
    </row>
    <row r="417" spans="6:7">
      <c r="F417" s="9"/>
      <c r="G417" s="9"/>
    </row>
    <row r="418" spans="6:7">
      <c r="F418" s="9"/>
      <c r="G418" s="9"/>
    </row>
    <row r="419" spans="6:7">
      <c r="F419" s="9"/>
      <c r="G419" s="9"/>
    </row>
    <row r="420" spans="6:7">
      <c r="F420" s="9"/>
      <c r="G420" s="9"/>
    </row>
    <row r="421" spans="6:7">
      <c r="F421" s="9"/>
      <c r="G421" s="9"/>
    </row>
    <row r="422" spans="6:7">
      <c r="F422" s="9"/>
      <c r="G422" s="9"/>
    </row>
    <row r="423" spans="6:7">
      <c r="F423" s="9"/>
      <c r="G423" s="9"/>
    </row>
    <row r="424" spans="6:7">
      <c r="F424" s="9"/>
      <c r="G424" s="9"/>
    </row>
    <row r="425" spans="6:7">
      <c r="F425" s="9"/>
      <c r="G425" s="9"/>
    </row>
    <row r="426" spans="6:7">
      <c r="F426" s="9"/>
      <c r="G426" s="9"/>
    </row>
    <row r="427" spans="6:7">
      <c r="F427" s="9"/>
      <c r="G427" s="9"/>
    </row>
    <row r="428" spans="6:7">
      <c r="F428" s="9"/>
      <c r="G428" s="9"/>
    </row>
    <row r="429" spans="6:7">
      <c r="F429" s="9"/>
      <c r="G429" s="9"/>
    </row>
    <row r="430" spans="6:7">
      <c r="F430" s="9"/>
      <c r="G430" s="9"/>
    </row>
    <row r="431" spans="6:7">
      <c r="F431" s="9"/>
      <c r="G431" s="9"/>
    </row>
    <row r="432" spans="6:7">
      <c r="F432" s="9"/>
      <c r="G432" s="9"/>
    </row>
    <row r="433" spans="6:7">
      <c r="F433" s="9"/>
      <c r="G433" s="9"/>
    </row>
    <row r="434" spans="6:7">
      <c r="F434" s="9"/>
      <c r="G434" s="9"/>
    </row>
    <row r="435" spans="6:7">
      <c r="F435" s="9"/>
      <c r="G435" s="9"/>
    </row>
    <row r="436" spans="6:7">
      <c r="F436" s="9"/>
      <c r="G436" s="9"/>
    </row>
    <row r="437" spans="6:7">
      <c r="F437" s="9"/>
      <c r="G437" s="9"/>
    </row>
    <row r="438" spans="6:7">
      <c r="F438" s="9"/>
      <c r="G438" s="9"/>
    </row>
    <row r="439" spans="6:7">
      <c r="F439" s="9"/>
      <c r="G439" s="9"/>
    </row>
    <row r="440" spans="6:7">
      <c r="F440" s="9"/>
      <c r="G440" s="9"/>
    </row>
    <row r="441" spans="6:7">
      <c r="F441" s="9"/>
      <c r="G441" s="9"/>
    </row>
    <row r="442" spans="6:7">
      <c r="F442" s="9"/>
      <c r="G442" s="9"/>
    </row>
    <row r="443" spans="6:7">
      <c r="F443" s="9"/>
      <c r="G443" s="9"/>
    </row>
    <row r="444" spans="6:7">
      <c r="F444" s="9"/>
      <c r="G444" s="9"/>
    </row>
    <row r="445" spans="6:7">
      <c r="F445" s="9"/>
      <c r="G445" s="9"/>
    </row>
    <row r="446" spans="6:7">
      <c r="F446" s="9"/>
      <c r="G446" s="9"/>
    </row>
    <row r="447" spans="6:7">
      <c r="F447" s="9"/>
      <c r="G447" s="9"/>
    </row>
    <row r="448" spans="6:7">
      <c r="F448" s="9"/>
      <c r="G448" s="9"/>
    </row>
    <row r="449" spans="6:7">
      <c r="F449" s="9"/>
      <c r="G449" s="9"/>
    </row>
    <row r="450" spans="6:7">
      <c r="F450" s="9"/>
      <c r="G450" s="9"/>
    </row>
    <row r="451" spans="6:7">
      <c r="F451" s="9"/>
      <c r="G451" s="9"/>
    </row>
    <row r="452" spans="6:7">
      <c r="F452" s="9"/>
      <c r="G452" s="9"/>
    </row>
    <row r="453" spans="6:7">
      <c r="F453" s="9"/>
      <c r="G453" s="9"/>
    </row>
    <row r="454" spans="6:7">
      <c r="F454" s="9"/>
      <c r="G454" s="9"/>
    </row>
    <row r="455" spans="6:7">
      <c r="F455" s="9"/>
      <c r="G455" s="9"/>
    </row>
    <row r="456" spans="6:7">
      <c r="F456" s="9"/>
      <c r="G456" s="9"/>
    </row>
    <row r="457" spans="6:7">
      <c r="F457" s="9"/>
      <c r="G457" s="9"/>
    </row>
    <row r="458" spans="6:7">
      <c r="F458" s="9"/>
      <c r="G458" s="9"/>
    </row>
    <row r="459" spans="6:7">
      <c r="F459" s="9"/>
      <c r="G459" s="9"/>
    </row>
    <row r="460" spans="6:7">
      <c r="F460" s="9"/>
      <c r="G460" s="9"/>
    </row>
    <row r="461" spans="6:7">
      <c r="F461" s="9"/>
      <c r="G461" s="9"/>
    </row>
    <row r="462" spans="6:7">
      <c r="F462" s="9"/>
      <c r="G462" s="9"/>
    </row>
    <row r="463" spans="6:7">
      <c r="F463" s="9"/>
      <c r="G463" s="9"/>
    </row>
    <row r="464" spans="6:7">
      <c r="F464" s="9"/>
      <c r="G464" s="9"/>
    </row>
    <row r="465" spans="6:7">
      <c r="F465" s="9"/>
      <c r="G465" s="9"/>
    </row>
    <row r="466" spans="6:7">
      <c r="F466" s="9"/>
      <c r="G466" s="9"/>
    </row>
    <row r="467" spans="6:7">
      <c r="F467" s="9"/>
      <c r="G467" s="9"/>
    </row>
    <row r="468" spans="6:7">
      <c r="F468" s="9"/>
      <c r="G468" s="9"/>
    </row>
    <row r="469" spans="6:7">
      <c r="F469" s="9"/>
      <c r="G469" s="9"/>
    </row>
    <row r="470" spans="6:7">
      <c r="F470" s="9"/>
      <c r="G470" s="9"/>
    </row>
    <row r="471" spans="6:7">
      <c r="F471" s="9"/>
      <c r="G471" s="9"/>
    </row>
    <row r="472" spans="6:7">
      <c r="F472" s="9"/>
      <c r="G472" s="9"/>
    </row>
    <row r="473" spans="6:7">
      <c r="F473" s="9"/>
      <c r="G473" s="9"/>
    </row>
    <row r="474" spans="6:7">
      <c r="F474" s="9"/>
      <c r="G474" s="9"/>
    </row>
    <row r="475" spans="6:7">
      <c r="F475" s="9"/>
      <c r="G475" s="9"/>
    </row>
    <row r="476" spans="6:7">
      <c r="F476" s="9"/>
      <c r="G476" s="9"/>
    </row>
    <row r="477" spans="6:7">
      <c r="F477" s="9"/>
      <c r="G477" s="9"/>
    </row>
    <row r="478" spans="6:7">
      <c r="F478" s="9"/>
      <c r="G478" s="9"/>
    </row>
    <row r="479" spans="6:7">
      <c r="F479" s="9"/>
      <c r="G479" s="9"/>
    </row>
    <row r="480" spans="6:7">
      <c r="F480" s="9"/>
      <c r="G480" s="9"/>
    </row>
    <row r="481" spans="6:7">
      <c r="F481" s="9"/>
      <c r="G481" s="9"/>
    </row>
    <row r="482" spans="6:7">
      <c r="F482" s="9"/>
      <c r="G482" s="9"/>
    </row>
    <row r="483" spans="6:7">
      <c r="F483" s="9"/>
      <c r="G483" s="9"/>
    </row>
    <row r="484" spans="6:7">
      <c r="F484" s="9"/>
      <c r="G484" s="9"/>
    </row>
    <row r="485" spans="6:7">
      <c r="F485" s="9"/>
      <c r="G485" s="9"/>
    </row>
    <row r="486" spans="6:7">
      <c r="F486" s="9"/>
      <c r="G486" s="9"/>
    </row>
    <row r="487" spans="6:7">
      <c r="F487" s="9"/>
      <c r="G487" s="9"/>
    </row>
    <row r="488" spans="6:7">
      <c r="F488" s="9"/>
      <c r="G488" s="9"/>
    </row>
    <row r="489" spans="6:7">
      <c r="F489" s="9"/>
      <c r="G489" s="9"/>
    </row>
    <row r="490" spans="6:7">
      <c r="F490" s="9"/>
      <c r="G490" s="9"/>
    </row>
    <row r="491" spans="6:7">
      <c r="F491" s="9"/>
      <c r="G491" s="9"/>
    </row>
    <row r="492" spans="6:7">
      <c r="F492" s="9"/>
      <c r="G492" s="9"/>
    </row>
    <row r="493" spans="6:7">
      <c r="F493" s="9"/>
      <c r="G493" s="9"/>
    </row>
    <row r="494" spans="6:7">
      <c r="F494" s="9"/>
      <c r="G494" s="9"/>
    </row>
    <row r="495" spans="6:7">
      <c r="F495" s="9"/>
      <c r="G495" s="9"/>
    </row>
    <row r="496" spans="6:7">
      <c r="F496" s="9"/>
      <c r="G496" s="9"/>
    </row>
    <row r="497" spans="6:7">
      <c r="F497" s="9"/>
      <c r="G497" s="9"/>
    </row>
    <row r="498" spans="6:7">
      <c r="F498" s="9"/>
      <c r="G498" s="9"/>
    </row>
    <row r="499" spans="6:7">
      <c r="F499" s="9"/>
      <c r="G499" s="9"/>
    </row>
    <row r="500" spans="6:7">
      <c r="F500" s="9"/>
      <c r="G500" s="9"/>
    </row>
    <row r="501" spans="6:7">
      <c r="F501" s="9"/>
      <c r="G501" s="9"/>
    </row>
    <row r="502" spans="6:7">
      <c r="F502" s="9"/>
      <c r="G502" s="9"/>
    </row>
    <row r="503" spans="6:7">
      <c r="F503" s="9"/>
      <c r="G503" s="9"/>
    </row>
    <row r="504" spans="6:7">
      <c r="F504" s="9"/>
      <c r="G504" s="9"/>
    </row>
    <row r="505" spans="6:7">
      <c r="F505" s="9"/>
      <c r="G505" s="9"/>
    </row>
    <row r="506" spans="6:7">
      <c r="F506" s="9"/>
      <c r="G506" s="9"/>
    </row>
    <row r="507" spans="6:7">
      <c r="F507" s="9"/>
      <c r="G507" s="9"/>
    </row>
    <row r="508" spans="6:7">
      <c r="F508" s="9"/>
      <c r="G508" s="9"/>
    </row>
    <row r="509" spans="6:7">
      <c r="F509" s="9"/>
      <c r="G509" s="9"/>
    </row>
    <row r="510" spans="6:7">
      <c r="F510" s="9"/>
      <c r="G510" s="9"/>
    </row>
    <row r="511" spans="6:7">
      <c r="F511" s="9"/>
      <c r="G511" s="9"/>
    </row>
    <row r="512" spans="6:7">
      <c r="F512" s="9"/>
      <c r="G512" s="9"/>
    </row>
    <row r="513" spans="6:7">
      <c r="F513" s="9"/>
      <c r="G513" s="9"/>
    </row>
    <row r="514" spans="6:7">
      <c r="F514" s="9"/>
      <c r="G514" s="9"/>
    </row>
    <row r="515" spans="6:7">
      <c r="F515" s="9"/>
      <c r="G515" s="9"/>
    </row>
    <row r="516" spans="6:7">
      <c r="F516" s="9"/>
      <c r="G516" s="9"/>
    </row>
    <row r="517" spans="6:7">
      <c r="F517" s="9"/>
      <c r="G517" s="9"/>
    </row>
    <row r="518" spans="6:7">
      <c r="F518" s="9"/>
      <c r="G518" s="9"/>
    </row>
    <row r="519" spans="6:7">
      <c r="F519" s="9"/>
      <c r="G519" s="9"/>
    </row>
    <row r="520" spans="6:7">
      <c r="F520" s="9"/>
      <c r="G520" s="9"/>
    </row>
    <row r="521" spans="6:7">
      <c r="F521" s="9"/>
      <c r="G521" s="9"/>
    </row>
    <row r="522" spans="6:7">
      <c r="F522" s="9"/>
      <c r="G522" s="9"/>
    </row>
    <row r="523" spans="6:7">
      <c r="F523" s="9"/>
      <c r="G523" s="9"/>
    </row>
    <row r="524" spans="6:7">
      <c r="F524" s="9"/>
      <c r="G524" s="9"/>
    </row>
    <row r="525" spans="6:7">
      <c r="F525" s="9"/>
      <c r="G525" s="9"/>
    </row>
    <row r="526" spans="6:7">
      <c r="F526" s="9"/>
      <c r="G526" s="9"/>
    </row>
    <row r="527" spans="6:7">
      <c r="F527" s="9"/>
      <c r="G527" s="9"/>
    </row>
    <row r="528" spans="6:7">
      <c r="F528" s="9"/>
      <c r="G528" s="9"/>
    </row>
    <row r="529" spans="6:7">
      <c r="F529" s="9"/>
      <c r="G529" s="9"/>
    </row>
    <row r="530" spans="6:7">
      <c r="F530" s="9"/>
      <c r="G530" s="9"/>
    </row>
    <row r="531" spans="6:7">
      <c r="F531" s="9"/>
      <c r="G531" s="9"/>
    </row>
    <row r="532" spans="6:7">
      <c r="F532" s="9"/>
      <c r="G532" s="9"/>
    </row>
    <row r="533" spans="6:7">
      <c r="F533" s="9"/>
      <c r="G533" s="9"/>
    </row>
    <row r="534" spans="6:7">
      <c r="F534" s="9"/>
      <c r="G534" s="9"/>
    </row>
    <row r="535" spans="6:7">
      <c r="F535" s="9"/>
      <c r="G535" s="9"/>
    </row>
    <row r="536" spans="6:7">
      <c r="F536" s="9"/>
      <c r="G536" s="9"/>
    </row>
    <row r="537" spans="6:7">
      <c r="F537" s="9"/>
      <c r="G537" s="9"/>
    </row>
    <row r="538" spans="6:7">
      <c r="F538" s="9"/>
      <c r="G538" s="9"/>
    </row>
    <row r="539" spans="6:7">
      <c r="F539" s="9"/>
      <c r="G539" s="9"/>
    </row>
    <row r="540" spans="6:7">
      <c r="F540" s="9"/>
      <c r="G540" s="9"/>
    </row>
    <row r="541" spans="6:7">
      <c r="F541" s="9"/>
      <c r="G541" s="9"/>
    </row>
    <row r="542" spans="6:7">
      <c r="F542" s="9"/>
      <c r="G542" s="9"/>
    </row>
    <row r="543" spans="6:7">
      <c r="F543" s="9"/>
      <c r="G543" s="9"/>
    </row>
    <row r="544" spans="6:7">
      <c r="F544" s="9"/>
      <c r="G544" s="9"/>
    </row>
    <row r="545" spans="6:7">
      <c r="F545" s="9"/>
      <c r="G545" s="9"/>
    </row>
    <row r="546" spans="6:7">
      <c r="F546" s="9"/>
      <c r="G546" s="9"/>
    </row>
    <row r="547" spans="6:7">
      <c r="F547" s="9"/>
      <c r="G547" s="9"/>
    </row>
    <row r="548" spans="6:7">
      <c r="F548" s="9"/>
      <c r="G548" s="9"/>
    </row>
    <row r="549" spans="6:7">
      <c r="F549" s="9"/>
      <c r="G549" s="9"/>
    </row>
    <row r="550" spans="6:7">
      <c r="F550" s="9"/>
      <c r="G550" s="9"/>
    </row>
    <row r="551" spans="6:7">
      <c r="F551" s="9"/>
      <c r="G551" s="9"/>
    </row>
    <row r="552" spans="6:7">
      <c r="F552" s="9"/>
      <c r="G552" s="9"/>
    </row>
    <row r="553" spans="6:7">
      <c r="F553" s="9"/>
      <c r="G553" s="9"/>
    </row>
    <row r="554" spans="6:7">
      <c r="F554" s="9"/>
      <c r="G554" s="9"/>
    </row>
    <row r="555" spans="6:7">
      <c r="F555" s="9"/>
      <c r="G555" s="9"/>
    </row>
    <row r="556" spans="6:7">
      <c r="F556" s="9"/>
      <c r="G556" s="9"/>
    </row>
    <row r="557" spans="6:7">
      <c r="F557" s="9"/>
      <c r="G557" s="9"/>
    </row>
    <row r="558" spans="6:7">
      <c r="F558" s="9"/>
      <c r="G558" s="9"/>
    </row>
    <row r="559" spans="6:7">
      <c r="F559" s="9"/>
      <c r="G559" s="9"/>
    </row>
    <row r="560" spans="6:7">
      <c r="F560" s="9"/>
      <c r="G560" s="9"/>
    </row>
    <row r="561" spans="6:7">
      <c r="F561" s="9"/>
      <c r="G561" s="9"/>
    </row>
    <row r="562" spans="6:7">
      <c r="F562" s="9"/>
      <c r="G562" s="9"/>
    </row>
    <row r="563" spans="6:7">
      <c r="F563" s="9"/>
      <c r="G563" s="9"/>
    </row>
    <row r="564" spans="6:7">
      <c r="F564" s="9"/>
      <c r="G564" s="9"/>
    </row>
    <row r="565" spans="6:7">
      <c r="F565" s="9"/>
      <c r="G565" s="9"/>
    </row>
    <row r="566" spans="6:7">
      <c r="F566" s="9"/>
      <c r="G566" s="9"/>
    </row>
    <row r="567" spans="6:7">
      <c r="F567" s="9"/>
      <c r="G567" s="9"/>
    </row>
    <row r="568" spans="6:7">
      <c r="F568" s="9"/>
      <c r="G568" s="9"/>
    </row>
    <row r="569" spans="6:7">
      <c r="F569" s="9"/>
      <c r="G569" s="9"/>
    </row>
    <row r="570" spans="6:7">
      <c r="F570" s="9"/>
      <c r="G570" s="9"/>
    </row>
    <row r="571" spans="6:7">
      <c r="F571" s="9"/>
      <c r="G571" s="9"/>
    </row>
    <row r="572" spans="6:7">
      <c r="F572" s="9"/>
      <c r="G572" s="9"/>
    </row>
    <row r="573" spans="6:7">
      <c r="F573" s="9"/>
      <c r="G573" s="9"/>
    </row>
    <row r="574" spans="6:7">
      <c r="F574" s="9"/>
      <c r="G574" s="9"/>
    </row>
    <row r="575" spans="6:7">
      <c r="F575" s="9"/>
      <c r="G575" s="9"/>
    </row>
    <row r="576" spans="6:7">
      <c r="F576" s="9"/>
      <c r="G576" s="9"/>
    </row>
    <row r="577" spans="6:7">
      <c r="F577" s="9"/>
      <c r="G577" s="9"/>
    </row>
    <row r="578" spans="6:7">
      <c r="F578" s="9"/>
      <c r="G578" s="9"/>
    </row>
    <row r="579" spans="6:7">
      <c r="F579" s="9"/>
      <c r="G579" s="9"/>
    </row>
    <row r="580" spans="6:7">
      <c r="F580" s="9"/>
      <c r="G580" s="9"/>
    </row>
    <row r="581" spans="6:7">
      <c r="F581" s="9"/>
      <c r="G581" s="9"/>
    </row>
    <row r="582" spans="6:7">
      <c r="F582" s="9"/>
      <c r="G582" s="9"/>
    </row>
    <row r="583" spans="6:7">
      <c r="F583" s="9"/>
      <c r="G583" s="9"/>
    </row>
    <row r="584" spans="6:7">
      <c r="F584" s="9"/>
      <c r="G584" s="9"/>
    </row>
    <row r="585" spans="6:7">
      <c r="F585" s="9"/>
      <c r="G585" s="9"/>
    </row>
    <row r="586" spans="6:7">
      <c r="F586" s="9"/>
      <c r="G586" s="9"/>
    </row>
    <row r="587" spans="6:7">
      <c r="F587" s="9"/>
      <c r="G587" s="9"/>
    </row>
    <row r="588" spans="6:7">
      <c r="F588" s="9"/>
      <c r="G588" s="9"/>
    </row>
    <row r="589" spans="6:7">
      <c r="F589" s="9"/>
      <c r="G589" s="9"/>
    </row>
    <row r="590" spans="6:7">
      <c r="F590" s="9"/>
      <c r="G590" s="9"/>
    </row>
    <row r="591" spans="6:7">
      <c r="F591" s="9"/>
      <c r="G591" s="9"/>
    </row>
    <row r="592" spans="6:7">
      <c r="F592" s="9"/>
      <c r="G592" s="9"/>
    </row>
    <row r="593" spans="6:7">
      <c r="F593" s="9"/>
      <c r="G593" s="9"/>
    </row>
    <row r="594" spans="6:7">
      <c r="F594" s="9"/>
      <c r="G594" s="9"/>
    </row>
    <row r="595" spans="6:7">
      <c r="F595" s="9"/>
      <c r="G595" s="9"/>
    </row>
    <row r="596" spans="6:7">
      <c r="F596" s="9"/>
      <c r="G596" s="9"/>
    </row>
    <row r="597" spans="6:7">
      <c r="F597" s="9"/>
      <c r="G597" s="9"/>
    </row>
    <row r="598" spans="6:7">
      <c r="F598" s="9"/>
      <c r="G598" s="9"/>
    </row>
    <row r="599" spans="6:7">
      <c r="F599" s="9"/>
      <c r="G599" s="9"/>
    </row>
    <row r="600" spans="6:7">
      <c r="F600" s="9"/>
      <c r="G600" s="9"/>
    </row>
    <row r="601" spans="6:7">
      <c r="F601" s="9"/>
      <c r="G601" s="9"/>
    </row>
    <row r="602" spans="6:7">
      <c r="F602" s="9"/>
      <c r="G602" s="9"/>
    </row>
    <row r="603" spans="6:7">
      <c r="F603" s="9"/>
      <c r="G603" s="9"/>
    </row>
    <row r="604" spans="6:7">
      <c r="F604" s="9"/>
      <c r="G604" s="9"/>
    </row>
    <row r="605" spans="6:7">
      <c r="F605" s="9"/>
      <c r="G605" s="9"/>
    </row>
    <row r="606" spans="6:7">
      <c r="F606" s="9"/>
      <c r="G606" s="9"/>
    </row>
    <row r="607" spans="6:7">
      <c r="F607" s="9"/>
      <c r="G607" s="9"/>
    </row>
    <row r="608" spans="6:7">
      <c r="F608" s="9"/>
      <c r="G608" s="9"/>
    </row>
    <row r="609" spans="6:7">
      <c r="F609" s="9"/>
      <c r="G609" s="9"/>
    </row>
    <row r="610" spans="6:7">
      <c r="F610" s="9"/>
      <c r="G610" s="9"/>
    </row>
    <row r="611" spans="6:7">
      <c r="F611" s="9"/>
      <c r="G611" s="9"/>
    </row>
    <row r="612" spans="6:7">
      <c r="F612" s="9"/>
      <c r="G612" s="9"/>
    </row>
    <row r="613" spans="6:7">
      <c r="F613" s="9"/>
      <c r="G613" s="9"/>
    </row>
    <row r="614" spans="6:7">
      <c r="F614" s="9"/>
      <c r="G614" s="9"/>
    </row>
    <row r="615" spans="6:7">
      <c r="F615" s="9"/>
      <c r="G615" s="9"/>
    </row>
    <row r="616" spans="6:7">
      <c r="F616" s="9"/>
      <c r="G616" s="9"/>
    </row>
    <row r="617" spans="6:7">
      <c r="F617" s="9"/>
      <c r="G617" s="9"/>
    </row>
    <row r="618" spans="6:7">
      <c r="F618" s="9"/>
      <c r="G618" s="9"/>
    </row>
    <row r="619" spans="6:7">
      <c r="F619" s="9"/>
      <c r="G619" s="9"/>
    </row>
    <row r="620" spans="6:7">
      <c r="F620" s="9"/>
      <c r="G620" s="9"/>
    </row>
    <row r="621" spans="6:7">
      <c r="F621" s="9"/>
      <c r="G621" s="9"/>
    </row>
    <row r="622" spans="6:7">
      <c r="F622" s="9"/>
      <c r="G622" s="9"/>
    </row>
    <row r="623" spans="6:7">
      <c r="F623" s="9"/>
      <c r="G623" s="9"/>
    </row>
    <row r="624" spans="6:7">
      <c r="F624" s="9"/>
      <c r="G624" s="9"/>
    </row>
    <row r="625" spans="6:7">
      <c r="F625" s="9"/>
      <c r="G625" s="9"/>
    </row>
    <row r="626" spans="6:7">
      <c r="F626" s="9"/>
      <c r="G626" s="9"/>
    </row>
    <row r="627" spans="6:7">
      <c r="F627" s="9"/>
      <c r="G627" s="9"/>
    </row>
    <row r="628" spans="6:7">
      <c r="F628" s="9"/>
      <c r="G628" s="9"/>
    </row>
    <row r="629" spans="6:7">
      <c r="F629" s="9"/>
      <c r="G629" s="9"/>
    </row>
    <row r="630" spans="6:7">
      <c r="F630" s="9"/>
      <c r="G630" s="9"/>
    </row>
    <row r="631" spans="6:7">
      <c r="F631" s="9"/>
      <c r="G631" s="9"/>
    </row>
    <row r="632" spans="6:7">
      <c r="F632" s="9"/>
      <c r="G632" s="9"/>
    </row>
    <row r="633" spans="6:7">
      <c r="F633" s="9"/>
      <c r="G633" s="9"/>
    </row>
    <row r="634" spans="6:7">
      <c r="F634" s="9"/>
      <c r="G634" s="9"/>
    </row>
    <row r="635" spans="6:7">
      <c r="F635" s="9"/>
      <c r="G635" s="9"/>
    </row>
    <row r="636" spans="6:7">
      <c r="F636" s="9"/>
      <c r="G636" s="9"/>
    </row>
    <row r="637" spans="6:7">
      <c r="F637" s="9"/>
      <c r="G637" s="9"/>
    </row>
    <row r="638" spans="6:7">
      <c r="F638" s="9"/>
      <c r="G638" s="9"/>
    </row>
    <row r="639" spans="6:7">
      <c r="F639" s="9"/>
      <c r="G639" s="9"/>
    </row>
    <row r="640" spans="6:7">
      <c r="F640" s="9"/>
      <c r="G640" s="9"/>
    </row>
    <row r="641" spans="6:7">
      <c r="F641" s="9"/>
      <c r="G641" s="9"/>
    </row>
    <row r="642" spans="6:7">
      <c r="F642" s="9"/>
      <c r="G642" s="9"/>
    </row>
    <row r="643" spans="6:7">
      <c r="F643" s="9"/>
      <c r="G643" s="9"/>
    </row>
    <row r="644" spans="6:7">
      <c r="F644" s="9"/>
      <c r="G644" s="9"/>
    </row>
    <row r="645" spans="6:7">
      <c r="F645" s="9"/>
      <c r="G645" s="9"/>
    </row>
    <row r="646" spans="6:7">
      <c r="F646" s="9"/>
      <c r="G646" s="9"/>
    </row>
    <row r="647" spans="6:7">
      <c r="F647" s="9"/>
      <c r="G647" s="9"/>
    </row>
    <row r="648" spans="6:7">
      <c r="F648" s="9"/>
      <c r="G648" s="9"/>
    </row>
    <row r="649" spans="6:7">
      <c r="F649" s="9"/>
      <c r="G649" s="9"/>
    </row>
    <row r="650" spans="6:7">
      <c r="F650" s="9"/>
      <c r="G650" s="9"/>
    </row>
    <row r="651" spans="6:7">
      <c r="F651" s="9"/>
      <c r="G651" s="9"/>
    </row>
    <row r="652" spans="6:7">
      <c r="F652" s="9"/>
      <c r="G652" s="9"/>
    </row>
    <row r="653" spans="6:7">
      <c r="F653" s="9"/>
      <c r="G653" s="9"/>
    </row>
    <row r="654" spans="6:7">
      <c r="F654" s="9"/>
      <c r="G654" s="9"/>
    </row>
    <row r="655" spans="6:7">
      <c r="F655" s="9"/>
      <c r="G655" s="9"/>
    </row>
    <row r="656" spans="6:7">
      <c r="F656" s="9"/>
      <c r="G656" s="9"/>
    </row>
    <row r="657" spans="6:7">
      <c r="F657" s="9"/>
      <c r="G657" s="9"/>
    </row>
    <row r="658" spans="6:7">
      <c r="F658" s="9"/>
      <c r="G658" s="9"/>
    </row>
    <row r="659" spans="6:7">
      <c r="F659" s="9"/>
      <c r="G659" s="9"/>
    </row>
    <row r="660" spans="6:7">
      <c r="F660" s="9"/>
      <c r="G660" s="9"/>
    </row>
    <row r="661" spans="6:7">
      <c r="F661" s="9"/>
      <c r="G661" s="9"/>
    </row>
    <row r="662" spans="6:7">
      <c r="F662" s="9"/>
      <c r="G662" s="9"/>
    </row>
    <row r="663" spans="6:7">
      <c r="F663" s="9"/>
      <c r="G663" s="9"/>
    </row>
    <row r="664" spans="6:7">
      <c r="F664" s="9"/>
      <c r="G664" s="9"/>
    </row>
    <row r="665" spans="6:7">
      <c r="F665" s="9"/>
      <c r="G665" s="9"/>
    </row>
    <row r="666" spans="6:7">
      <c r="F666" s="9"/>
      <c r="G666" s="9"/>
    </row>
    <row r="667" spans="6:7">
      <c r="F667" s="9"/>
      <c r="G667" s="9"/>
    </row>
    <row r="668" spans="6:7">
      <c r="F668" s="9"/>
      <c r="G668" s="9"/>
    </row>
    <row r="669" spans="6:7">
      <c r="F669" s="9"/>
      <c r="G669" s="9"/>
    </row>
    <row r="670" spans="6:7">
      <c r="F670" s="9"/>
      <c r="G670" s="9"/>
    </row>
    <row r="671" spans="6:7">
      <c r="F671" s="9"/>
      <c r="G671" s="9"/>
    </row>
    <row r="672" spans="6:7">
      <c r="F672" s="9"/>
      <c r="G672" s="9"/>
    </row>
  </sheetData>
  <mergeCells count="25">
    <mergeCell ref="AF39:AH39"/>
    <mergeCell ref="H44:J44"/>
    <mergeCell ref="L44:N44"/>
    <mergeCell ref="P44:R44"/>
    <mergeCell ref="H13:J13"/>
    <mergeCell ref="L13:N13"/>
    <mergeCell ref="P13:R13"/>
    <mergeCell ref="AB13:AD13"/>
    <mergeCell ref="AF13:AH13"/>
    <mergeCell ref="AB22:AD22"/>
    <mergeCell ref="P66:R66"/>
    <mergeCell ref="H33:J33"/>
    <mergeCell ref="L33:N33"/>
    <mergeCell ref="P33:R33"/>
    <mergeCell ref="AB39:AD39"/>
    <mergeCell ref="AB48:AD48"/>
    <mergeCell ref="AB56:AD56"/>
    <mergeCell ref="H65:J65"/>
    <mergeCell ref="L65:N65"/>
    <mergeCell ref="P65:R65"/>
    <mergeCell ref="K94:L94"/>
    <mergeCell ref="K95:L95"/>
    <mergeCell ref="K99:L99"/>
    <mergeCell ref="K100:L100"/>
    <mergeCell ref="AR137:AY137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N13"/>
  <sheetViews>
    <sheetView zoomScale="70" zoomScaleNormal="70" workbookViewId="0">
      <selection activeCell="Q51" sqref="Q51"/>
    </sheetView>
  </sheetViews>
  <sheetFormatPr defaultColWidth="9" defaultRowHeight="14"/>
  <cols>
    <col min="1" max="16384" width="9" style="1"/>
  </cols>
  <sheetData>
    <row r="13" spans="14:14">
      <c r="N13" s="2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F29"/>
  <sheetViews>
    <sheetView zoomScale="110" zoomScaleNormal="110" workbookViewId="0">
      <selection activeCell="J24" sqref="J24"/>
    </sheetView>
  </sheetViews>
  <sheetFormatPr defaultColWidth="8.58203125" defaultRowHeight="14"/>
  <cols>
    <col min="1" max="1" width="8.58203125" style="1"/>
    <col min="2" max="2" width="21.25" style="1" bestFit="1" customWidth="1"/>
    <col min="3" max="3" width="11.25" style="1" customWidth="1"/>
    <col min="4" max="4" width="13.25" style="1" bestFit="1" customWidth="1"/>
    <col min="5" max="16384" width="8.58203125" style="1"/>
  </cols>
  <sheetData>
    <row r="1" spans="1:6">
      <c r="A1" s="524"/>
      <c r="B1" s="524"/>
      <c r="C1" s="524"/>
      <c r="D1" s="524"/>
      <c r="E1" s="524"/>
      <c r="F1" s="524"/>
    </row>
    <row r="2" spans="1:6">
      <c r="A2" s="524"/>
      <c r="B2" s="1129" t="s">
        <v>917</v>
      </c>
      <c r="C2" s="1129" t="s">
        <v>918</v>
      </c>
      <c r="D2" s="1129" t="s">
        <v>923</v>
      </c>
      <c r="E2" s="524"/>
      <c r="F2" s="524"/>
    </row>
    <row r="3" spans="1:6">
      <c r="A3" s="524"/>
      <c r="B3" s="1128" t="s">
        <v>913</v>
      </c>
      <c r="C3" s="1128" t="s">
        <v>919</v>
      </c>
      <c r="D3" s="1128">
        <v>2058</v>
      </c>
      <c r="E3" s="524"/>
      <c r="F3" s="524"/>
    </row>
    <row r="4" spans="1:6">
      <c r="A4" s="524"/>
      <c r="B4" s="1128" t="s">
        <v>914</v>
      </c>
      <c r="C4" s="1128" t="s">
        <v>920</v>
      </c>
      <c r="D4" s="1128">
        <v>2063</v>
      </c>
      <c r="E4" s="524"/>
      <c r="F4" s="524"/>
    </row>
    <row r="5" spans="1:6">
      <c r="A5" s="524"/>
      <c r="B5" s="1128" t="s">
        <v>915</v>
      </c>
      <c r="C5" s="1128" t="s">
        <v>921</v>
      </c>
      <c r="D5" s="1128">
        <v>2048</v>
      </c>
      <c r="E5" s="524"/>
      <c r="F5" s="524"/>
    </row>
    <row r="6" spans="1:6">
      <c r="A6" s="524"/>
      <c r="B6" s="1130" t="s">
        <v>916</v>
      </c>
      <c r="C6" s="1130" t="s">
        <v>922</v>
      </c>
      <c r="D6" s="1130">
        <v>2038</v>
      </c>
      <c r="E6" s="524"/>
      <c r="F6" s="524"/>
    </row>
    <row r="7" spans="1:6">
      <c r="A7" s="524"/>
      <c r="B7" s="1131" t="s">
        <v>550</v>
      </c>
      <c r="C7" s="1131" t="s">
        <v>924</v>
      </c>
      <c r="D7" s="1131">
        <v>2051</v>
      </c>
      <c r="E7" s="524"/>
      <c r="F7" s="524"/>
    </row>
    <row r="8" spans="1:6">
      <c r="A8" s="524"/>
      <c r="B8" s="524"/>
      <c r="C8" s="524"/>
      <c r="D8" s="524"/>
      <c r="E8" s="524"/>
      <c r="F8" s="524"/>
    </row>
    <row r="9" spans="1:6">
      <c r="A9" s="524"/>
      <c r="B9" s="524"/>
      <c r="C9" s="524"/>
      <c r="D9" s="524"/>
      <c r="E9" s="524"/>
      <c r="F9" s="524"/>
    </row>
    <row r="10" spans="1:6">
      <c r="A10" s="524"/>
      <c r="B10" s="524"/>
      <c r="C10" s="524"/>
      <c r="D10" s="524"/>
      <c r="E10" s="524"/>
      <c r="F10" s="524"/>
    </row>
    <row r="11" spans="1:6">
      <c r="A11" s="524"/>
      <c r="B11" s="524"/>
      <c r="C11" s="524"/>
      <c r="D11" s="524"/>
      <c r="E11" s="524"/>
      <c r="F11" s="524"/>
    </row>
    <row r="12" spans="1:6">
      <c r="A12" s="524"/>
      <c r="B12" s="1129" t="s">
        <v>917</v>
      </c>
      <c r="C12" s="1129" t="s">
        <v>918</v>
      </c>
      <c r="D12" s="1129" t="s">
        <v>923</v>
      </c>
      <c r="E12" s="524"/>
      <c r="F12" s="524"/>
    </row>
    <row r="13" spans="1:6">
      <c r="A13" s="524"/>
      <c r="B13" s="1128" t="s">
        <v>932</v>
      </c>
      <c r="C13" s="1128" t="s">
        <v>931</v>
      </c>
      <c r="D13" s="1128">
        <v>2047</v>
      </c>
      <c r="E13" s="524"/>
      <c r="F13" s="524"/>
    </row>
    <row r="14" spans="1:6">
      <c r="A14" s="524"/>
      <c r="B14" s="1128" t="s">
        <v>927</v>
      </c>
      <c r="C14" s="1128" t="s">
        <v>930</v>
      </c>
      <c r="D14" s="1128">
        <v>2027</v>
      </c>
      <c r="E14" s="524"/>
      <c r="F14" s="524"/>
    </row>
    <row r="15" spans="1:6">
      <c r="A15" s="524"/>
      <c r="B15" s="1128" t="s">
        <v>193</v>
      </c>
      <c r="C15" s="1128" t="s">
        <v>929</v>
      </c>
      <c r="D15" s="1128">
        <v>2028</v>
      </c>
      <c r="E15" s="524"/>
      <c r="F15" s="524"/>
    </row>
    <row r="16" spans="1:6">
      <c r="A16" s="524"/>
      <c r="B16" s="1130" t="s">
        <v>194</v>
      </c>
      <c r="C16" s="1130" t="s">
        <v>928</v>
      </c>
      <c r="D16" s="1130">
        <v>2035</v>
      </c>
      <c r="E16" s="524"/>
      <c r="F16" s="524"/>
    </row>
    <row r="17" spans="1:6">
      <c r="A17" s="524"/>
      <c r="B17" s="1131" t="s">
        <v>550</v>
      </c>
      <c r="C17" s="1131" t="s">
        <v>934</v>
      </c>
      <c r="D17" s="1131">
        <v>2034</v>
      </c>
      <c r="E17" s="524"/>
      <c r="F17" s="524"/>
    </row>
    <row r="18" spans="1:6">
      <c r="A18" s="524"/>
      <c r="B18" s="1135" t="s">
        <v>933</v>
      </c>
      <c r="C18" s="524"/>
      <c r="D18" s="524"/>
      <c r="E18" s="524"/>
      <c r="F18" s="524"/>
    </row>
    <row r="19" spans="1:6">
      <c r="A19" s="524"/>
      <c r="B19" s="524"/>
      <c r="C19" s="524"/>
      <c r="D19" s="524"/>
      <c r="E19" s="524"/>
      <c r="F19" s="524"/>
    </row>
    <row r="20" spans="1:6">
      <c r="A20" s="524"/>
      <c r="B20" s="524"/>
      <c r="C20" s="524"/>
      <c r="D20" s="524"/>
      <c r="E20" s="524"/>
      <c r="F20" s="524"/>
    </row>
    <row r="21" spans="1:6">
      <c r="A21" s="524"/>
      <c r="B21" s="1129" t="s">
        <v>917</v>
      </c>
      <c r="C21" s="1129" t="s">
        <v>918</v>
      </c>
      <c r="D21" s="1129" t="s">
        <v>923</v>
      </c>
      <c r="E21" s="524"/>
      <c r="F21" s="524"/>
    </row>
    <row r="22" spans="1:6">
      <c r="A22" s="524"/>
      <c r="B22" s="1128" t="s">
        <v>365</v>
      </c>
      <c r="C22" s="1128" t="s">
        <v>947</v>
      </c>
      <c r="D22" s="1128">
        <v>2031</v>
      </c>
      <c r="E22" s="524"/>
      <c r="F22" s="524"/>
    </row>
    <row r="23" spans="1:6">
      <c r="A23" s="524"/>
      <c r="B23" s="1128"/>
      <c r="C23" s="1128"/>
      <c r="D23" s="1128"/>
      <c r="E23" s="524"/>
      <c r="F23" s="524"/>
    </row>
    <row r="24" spans="1:6">
      <c r="A24" s="524"/>
      <c r="B24" s="1128"/>
      <c r="C24" s="1128"/>
      <c r="D24" s="1128"/>
      <c r="E24" s="524"/>
      <c r="F24" s="524"/>
    </row>
    <row r="25" spans="1:6">
      <c r="A25" s="524"/>
      <c r="B25" s="1130"/>
      <c r="C25" s="1130"/>
      <c r="D25" s="1130"/>
      <c r="E25" s="524"/>
      <c r="F25" s="524"/>
    </row>
    <row r="26" spans="1:6">
      <c r="A26" s="524"/>
      <c r="B26" s="1131"/>
      <c r="C26" s="1131"/>
      <c r="D26" s="1131"/>
      <c r="E26" s="524"/>
      <c r="F26" s="524"/>
    </row>
    <row r="27" spans="1:6">
      <c r="A27" s="524"/>
      <c r="B27" s="1135"/>
      <c r="C27" s="524"/>
      <c r="D27" s="524"/>
      <c r="E27" s="524"/>
      <c r="F27" s="524"/>
    </row>
    <row r="28" spans="1:6">
      <c r="A28" s="524"/>
      <c r="B28" s="524"/>
      <c r="C28" s="524"/>
      <c r="D28" s="524"/>
      <c r="E28" s="524"/>
      <c r="F28" s="524"/>
    </row>
    <row r="29" spans="1:6">
      <c r="A29" s="524"/>
      <c r="B29" s="524"/>
      <c r="C29" s="524"/>
      <c r="D29" s="524"/>
      <c r="E29" s="524"/>
      <c r="F29" s="52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Model</vt:lpstr>
      <vt:lpstr>Coal Valuation</vt:lpstr>
      <vt:lpstr>Copper Valuation</vt:lpstr>
      <vt:lpstr>Sheet6</vt:lpstr>
      <vt:lpstr>Sheet1</vt:lpstr>
      <vt:lpstr>NAV</vt:lpstr>
      <vt:lpstr>Sheet7</vt:lpstr>
      <vt:lpstr>Debt Schedule</vt:lpstr>
      <vt:lpstr>Pricing Assumptions Y</vt:lpstr>
      <vt:lpstr>Graphs</vt:lpstr>
      <vt:lpstr>Zinc TC Escalator</vt:lpstr>
      <vt:lpstr>Assumption Inputs</vt:lpstr>
      <vt:lpstr>Sheet4</vt:lpstr>
      <vt:lpstr>Valuation</vt:lpstr>
      <vt:lpstr>One Pager Forecast Sheet</vt:lpstr>
      <vt:lpstr>Coal Asset Life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AgentUser</dc:creator>
  <cp:lastModifiedBy>Robert Kirk</cp:lastModifiedBy>
  <dcterms:created xsi:type="dcterms:W3CDTF">2019-02-20T12:05:47Z</dcterms:created>
  <dcterms:modified xsi:type="dcterms:W3CDTF">2022-06-20T03:27:57Z</dcterms:modified>
</cp:coreProperties>
</file>