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F:\Archieve\Classes\College\"/>
    </mc:Choice>
  </mc:AlternateContent>
  <xr:revisionPtr revIDLastSave="0" documentId="13_ncr:1_{B1A30627-BBF1-4044-8891-AFCDFF395C66}" xr6:coauthVersionLast="45" xr6:coauthVersionMax="45" xr10:uidLastSave="{00000000-0000-0000-0000-000000000000}"/>
  <bookViews>
    <workbookView xWindow="0" yWindow="3075" windowWidth="21600" windowHeight="11385" tabRatio="1000" firstSheet="7" activeTab="13" xr2:uid="{FE6F9DC7-152F-4A13-9ADA-BE37A97A61AF}"/>
  </bookViews>
  <sheets>
    <sheet name="Highschool" sheetId="11" r:id="rId1"/>
    <sheet name="Semester 1" sheetId="2" r:id="rId2"/>
    <sheet name="Semester 2" sheetId="7" r:id="rId3"/>
    <sheet name="Summer 2017" sheetId="12" r:id="rId4"/>
    <sheet name="Semester 3" sheetId="8" r:id="rId5"/>
    <sheet name="Semester 4" sheetId="9" r:id="rId6"/>
    <sheet name="Summer 2018" sheetId="13" r:id="rId7"/>
    <sheet name="Semester 5" sheetId="3" r:id="rId8"/>
    <sheet name="Semester 6" sheetId="4" r:id="rId9"/>
    <sheet name="Summer-Fall 2019" sheetId="14" r:id="rId10"/>
    <sheet name="Semester 7" sheetId="21" r:id="rId11"/>
    <sheet name="Summer 2020" sheetId="23" r:id="rId12"/>
    <sheet name="Semester 8" sheetId="22" r:id="rId13"/>
    <sheet name="Transcript" sheetId="15" r:id="rId14"/>
    <sheet name="Degree Audit" sheetId="18" r:id="rId15"/>
    <sheet name="Settings" sheetId="19" r:id="rId16"/>
    <sheet name="Template" sheetId="1" r:id="rId17"/>
    <sheet name="Sheet1" sheetId="24" r:id="rId18"/>
  </sheets>
  <externalReferences>
    <externalReference r:id="rId19"/>
  </externalReferences>
  <definedNames>
    <definedName name="CELL">ADDRESS(ROW(),COLUMN())</definedName>
    <definedName name="CELLV">INDIRECT(CELL)</definedName>
    <definedName name="date">OFFSET([1]Sheet1!$A$2,0,0,COUNTA([1]Sheet1!$A$2:$A$200),1)</definedName>
    <definedName name="downtwo" comment="2 below">INDIRECT(ADDRESS(ROW()+2,COLUMN()))</definedName>
    <definedName name="EtCT" comment="Down from start Earned To Assignment Count">INDIRECT(ADDRESS(ROW()+1+INDIRECT(ADDRESS(ROW()-1,COLUMN()-1)),COLUMN()))</definedName>
    <definedName name="GPAtCT" comment="GPA to Class Type">INDIRECT(ADDRESS(ROW()-3,COLUMN()+3))</definedName>
    <definedName name="GPAtGRD" comment="GPA to Grade">INDIRECT(ADDRESS(ROW()-1,COLUMN()))</definedName>
    <definedName name="GRDtCT" comment="Grade to Class Type">INDIRECT(ADDRESS(ROW()-2,COLUMN()+3))</definedName>
    <definedName name="GRDtP" comment="Grade to Percent">INDIRECT(ADDRESS(ROW(),COLUMN()+1))</definedName>
    <definedName name="LSFa">INDIRECT(ADDRESS(10,(1+(6*1))))</definedName>
    <definedName name="LSFb">INDIRECT(ADDRESS(10,(1+(6*2))))</definedName>
    <definedName name="LSFc">INDIRECT(ADDRESS(10,(1+(6*3))))</definedName>
    <definedName name="LSFd">INDIRECT(ADDRESS(10,(1+(6*4))))</definedName>
    <definedName name="LSFe">INDIRECT(ADDRESS(10,(1+(6*5))))</definedName>
    <definedName name="LSFg">INDIRECT(ADDRESS(10,(1+(6*6))))</definedName>
    <definedName name="LtCC1" comment="Lost to Assignment Category Count">INDIRECT(ADDRESS(ROW()+11+2+6*(0),COLUMN()-4))</definedName>
    <definedName name="LtCC10">INDIRECT(ADDRESS(ROW()+11+2+6*(9)+LtTC1+LtTC2+LtTC3+LtTC4+LtTC5+LtTC6+LtTC7+LtTC8+LtTC9,COLUMN()-4))</definedName>
    <definedName name="LtCC11">INDIRECT(ADDRESS(ROW()+11+2+6*(10)+LtTC1+LtTC2+LtTC3+LtTC4+LtTC5+LtTC6+LtTC7+LtTC8+LtTC9+LtTC10,COLUMN()-4))</definedName>
    <definedName name="LtCC12">INDIRECT(ADDRESS(ROW()+11+2+6*(11)+LtTC1+LtTC2+LtTC3+LtTC4+LtTC5+LtTC6+LtTC7+LtTC8+LtTC9+LtTC10+LtTC11,COLUMN()-4))</definedName>
    <definedName name="LtCC2">INDIRECT(ADDRESS(ROW()+11+2+6*(1)+LtTC1,COLUMN()-4))</definedName>
    <definedName name="LtCC3">INDIRECT(ADDRESS(ROW()+11+2+6*(2)+LtTC1+LtTC2,COLUMN()-4))</definedName>
    <definedName name="LtCC4">INDIRECT(ADDRESS(ROW()+11+2+6*(3)+LtTC1+LtTC2+LtTC3,COLUMN()-4))</definedName>
    <definedName name="LtCC5">INDIRECT(ADDRESS(ROW()+11+2+6*(4)+LtTC1+LtTC2+LtTC3+LtTC4,COLUMN()-4))</definedName>
    <definedName name="LtCC6">INDIRECT(ADDRESS(ROW()+11+2+6*(5)+LtTC1+LtTC2+LtTC3+LtTC4+LtTC5,COLUMN()-4))</definedName>
    <definedName name="LtCC7">INDIRECT(ADDRESS(ROW()+11+2+6*(6)+LtTC1+LtTC2+LtTC3+LtTC4+LtTC5+LtTC6,COLUMN()-4))</definedName>
    <definedName name="LtCC8">INDIRECT(ADDRESS(ROW()+11+2+6*(7)+LtTC1+LtTC2+LtTC3+LtTC4+LtTC5+LtTC6+LtTC7,COLUMN()-4))</definedName>
    <definedName name="LtCC9">INDIRECT(ADDRESS(ROW()+11+2+6*(8)+LtTC1+LtTC2+LtTC3+LtTC4+LtTC5+LtTC6+LtTC7+LtTC8,COLUMN()-4))</definedName>
    <definedName name="LtGRDC1">INDIRECT(ADDRESS(ROW()+11+3+6*(0),COLUMN()-1))</definedName>
    <definedName name="LtGRDC10">INDIRECT(ADDRESS(ROW()+11+3+6*(9)  +LtTC1+LtTC2+LtTC3+LtTC4+LtTC5+LtTC6+LtTC7+LtTC8+LtTC9,COLUMN()-1))</definedName>
    <definedName name="LtGRDC11">INDIRECT(ADDRESS(ROW()+11+3+6*(10)+LtTC1+LtTC2+LtTC3+LtTC4+LtTC5+LtTC6+LtTC7+LtTC8+LtTC9+LtTC10,COLUMN()-1))</definedName>
    <definedName name="LtGRDC12">INDIRECT(ADDRESS(ROW()+11+3+6*(11)+LtTC1+LtTC2+LtTC3+LtTC4+LtTC5+LtTC6+LtTC7+LtTC8+LtTC9+LtTC10+LtTC11,COLUMN()-1))</definedName>
    <definedName name="LtGRDC2">INDIRECT(ADDRESS(ROW()+11+3+6*(1)+LtTC1,COLUMN()-1))</definedName>
    <definedName name="LtGRDC3">INDIRECT(ADDRESS(ROW()+11+3+6*(2)+LtTC1+LtTC2,COLUMN()-1))</definedName>
    <definedName name="LtGRDC4">INDIRECT(ADDRESS(ROW()+11+3+6*(3)+LtTC1+LtTC2+LtTC3,COLUMN()-1))</definedName>
    <definedName name="LtGRDC5">INDIRECT(ADDRESS(ROW()+11+3+6*(4)+LtTC1+LtTC2+LtTC3+LtTC4,COLUMN()-1))</definedName>
    <definedName name="LtGRDC6">INDIRECT(ADDRESS(ROW()+11+3+6*(5)+LtTC1+LtTC2+LtTC3+LtTC4+LtTC5,COLUMN()-1))</definedName>
    <definedName name="LtGRDC7">INDIRECT(ADDRESS(ROW()+11+3+6*(6)+LtTC1+LtTC2+LtTC3+LtTC4+LtTC5+LtTC6,COLUMN()-1))</definedName>
    <definedName name="LtGRDC8">INDIRECT(ADDRESS(ROW()+11+3+6*(7)+LtTC1+LtTC2+LtTC3+LtTC4+LtTC5+LtTC6+LtTC7,COLUMN()-1))</definedName>
    <definedName name="LtGRDC9">INDIRECT(ADDRESS(ROW()+11+3+6*(8)+LtTC1+LtTC2+LtTC3+LtTC4+LtTC5+LtTC6+LtTC7+LtTC8,COLUMN()-1))</definedName>
    <definedName name="LtTC1" comment="Lost so far to Assignment Total">INDIRECT(ADDRESS(ROW()+11+2+6*(0),COLUMN()-2))</definedName>
    <definedName name="LtTC10">INDIRECT(ADDRESS(ROW()+11+2+6*(9)+LtTC1+LtTC2+LtTC3+LtTC4+LtTC5+LtTC6+LtTC7+LtTC8+LtTC9,COLUMN()-2))</definedName>
    <definedName name="LtTC11">INDIRECT(ADDRESS(ROW()+11+2+6*(10)+LtTC1+LtTC2+LtTC3+LtTC4+LtTC5+LtTC6+LtTC7+LtTC8+LtTC9+LtTC10,COLUMN()-2))</definedName>
    <definedName name="LtTC12">INDIRECT(ADDRESS(ROW()+11+2+6*(11)+LtTC1+LtTC2+LtTC3+LtTC4+LtTC5+LtTC6+LtTC7+LtTC8+LtTC9+LtTC10+LtTC11,COLUMN()-2))</definedName>
    <definedName name="LtTC2">INDIRECT(ADDRESS(ROW()+11+2+6*(1)+LtTC1,COLUMN()-2))</definedName>
    <definedName name="LtTC3">INDIRECT(ADDRESS(ROW()+11+2+6*(2)+LtTC1+LtTC2,COLUMN()-2))</definedName>
    <definedName name="LtTC4">INDIRECT(ADDRESS(ROW()+11+2+6*(3)+LtTC1+LtTC2+LtTC3,COLUMN()-2))</definedName>
    <definedName name="LtTC5">INDIRECT(ADDRESS(ROW()+11+2+6*(4)+LtTC1+LtTC2+LtTC3+LtTC4,COLUMN()-2))</definedName>
    <definedName name="LtTC6">INDIRECT(ADDRESS(ROW()+11+2+6*(5)+LtTC1+LtTC2+LtTC3+LtTC4+LtTC5,COLUMN()-2))</definedName>
    <definedName name="LtTC7">INDIRECT(ADDRESS(ROW()+11+2+6*(6)+LtTC1+LtTC2+LtTC3+LtTC4+LtTC5+LtTC6,COLUMN()-2))</definedName>
    <definedName name="LtTC8">INDIRECT(ADDRESS(ROW()+11+2+6*(7)+LtTC1+LtTC2+LtTC3+LtTC4+LtTC5+LtTC6+LtTC7,COLUMN()-2))</definedName>
    <definedName name="LtTC9">INDIRECT(ADDRESS(ROW()+11+2+6*(8)+LtTC1+LtTC2+LtTC3+LtTC4+LtTC5+LtTC6+LtTC7+LtTC8,COLUMN()-2))</definedName>
    <definedName name="LtWC1">INDIRECT(ADDRESS(ROW()+11+2+6*(0),COLUMN()))</definedName>
    <definedName name="LtWC10">INDIRECT(ADDRESS(ROW()+11+2+6*(9)+LtTC1+LtTC2+LtTC3+LtTC4+LtTC5+LtTC6+LtTC7+LtTC8+LtTC9,COLUMN()))</definedName>
    <definedName name="LtWC11">INDIRECT(ADDRESS(ROW()+11+2+6*(10)+LtTC1+LtTC2+LtTC3+LtTC4+LtTC5+LtTC6+LtTC7+LtTC8+LtTC9+LtTC10,COLUMN()))</definedName>
    <definedName name="LtWC12">INDIRECT(ADDRESS(ROW()+11+2+6*(11)+LtTC1+LtTC2+LtTC3+LtTC4+LtTC5+LtTC6+LtTC7+LtTC8+LtTC9+LtTC10+LtTC11,COLUMN()))</definedName>
    <definedName name="LtWC2">INDIRECT(ADDRESS(ROW()+11+2+6*(1)+LtTC1,COLUMN()))</definedName>
    <definedName name="LtWC3">INDIRECT(ADDRESS(ROW()+11+2+6*(2)+LtTC1+LtTC2,COLUMN()))</definedName>
    <definedName name="LtWC4">INDIRECT(ADDRESS(ROW()+11+2+6*(3)+LtTC1+LtTC2+LtTC3,COLUMN()))</definedName>
    <definedName name="LtWC5">INDIRECT(ADDRESS(ROW()+11+2+6*(4)+LtTC1+LtTC2+LtTC3+LtTC4,COLUMN()))</definedName>
    <definedName name="LtWC6">INDIRECT(ADDRESS(ROW()+11+2+6*(5)+LtTC1+LtTC2+LtTC3+LtTC4+LtTC5,COLUMN()))</definedName>
    <definedName name="LtWC7">INDIRECT(ADDRESS(ROW()+11+2+6*(6)+LtTC1+LtTC2+LtTC3+LtTC4+LtTC5+LtTC6,COLUMN()))</definedName>
    <definedName name="LtWC8">INDIRECT(ADDRESS(ROW()+11+2+6*(7)+LtTC1+LtTC2+LtTC3+LtTC4+LtTC5+LtTC6+LtTC7,COLUMN()))</definedName>
    <definedName name="LtWC9">INDIRECT(ADDRESS(ROW()+11+2+6*(8)+LtTC1+LtTC2+LtTC3+LtTC4+LtTC5+LtTC6+LtTC7+LtTC8,COLUMN()))</definedName>
    <definedName name="_xlnm.Print_Area" localSheetId="12">'Semester 8'!$A$1:$AL$77</definedName>
    <definedName name="PtGRDC1" comment="Percent to Class 1 Grade">INDIRECT(ADDRESS(ROW()+11+3+6*(0),COLUMN()+1))</definedName>
    <definedName name="PtGRDC10">INDIRECT(ADDRESS(ROW()+11+3+6*(9)+PtTC1+PtTC2+PtTC3+PtTC4+PtTC5+PtTC6+PtTC7+PtTC8+PtTC9,COLUMN()+1))</definedName>
    <definedName name="PtGRDC11">INDIRECT(ADDRESS(ROW()+11+3+6*(10)+PtTC1+PtTC2+PtTC3+PtTC4+PtTC5+PtTC6+PtTC7+PtTC8+PtTC9+PtTC10,COLUMN()+1))</definedName>
    <definedName name="PtGRDC12">INDIRECT(ADDRESS(ROW()+11+3+6*(11)+PtTC1+PtTC2+PtTC3+PtTC4+PtTC5+PtTC6+PtTC7+PtTC8+PtTC9+PtTC10+PtTC11,COLUMN()+1))</definedName>
    <definedName name="PtGRDC2" comment="Percent to Class 2 Grade">INDIRECT(ADDRESS(ROW()+11+3+6*(1)+PtTC1,COLUMN()+1))</definedName>
    <definedName name="PtGRDC3" comment="Percent to Class 3 Grade">INDIRECT(ADDRESS(ROW()+11+3+6*(2)+PtTC1+PtTC2,COLUMN()+1))</definedName>
    <definedName name="PtGRDC4" comment="Percent to Class 4 Grade">INDIRECT(ADDRESS(ROW()+11+3+6*(3)+PtTC1+PtTC2+PtTC3,COLUMN()+1))</definedName>
    <definedName name="PtGRDC5">INDIRECT(ADDRESS(ROW()+11+3+6*(4)+PtTC1+PtTC2+PtTC3+PtTC4,COLUMN()+1))</definedName>
    <definedName name="PtGRDC6">INDIRECT(ADDRESS(ROW()+11+3+6*(5)+PtTC1+PtTC2+PtTC3+PtTC4+PtTC5,COLUMN()+1))</definedName>
    <definedName name="PtGRDC7">INDIRECT(ADDRESS(ROW()+11+3+6*(6)+PtTC1+PtTC2+PtTC3+PtTC4+PtTC5+PtTC6,COLUMN()+1))</definedName>
    <definedName name="PtGRDC8">INDIRECT(ADDRESS(ROW()+11+3+6*(7)+PtTC1+PtTC2+PtTC3+PtTC4+PtTC5+PtTC6+PtTC7,COLUMN()+1))</definedName>
    <definedName name="PtGRDC9">INDIRECT(ADDRESS(ROW()+11+3+6*(8)+PtTC1+PtTC2+PtTC3+PtTC4+PtTC5+PtTC6+PtTC7+PtTC8,COLUMN()+1))</definedName>
    <definedName name="PtLA">INDIRECT(ADDRESS(ROW()+4,COLUMN()-1))</definedName>
    <definedName name="PtLAm">INDIRECT(ADDRESS(ROW()+5,COLUMN()-1))</definedName>
    <definedName name="PtLB">INDIRECT(ADDRESS(ROW()+7,COLUMN()-1))</definedName>
    <definedName name="PtLBm">INDIRECT(ADDRESS(ROW()+8,COLUMN()-1))</definedName>
    <definedName name="PtLBp">INDIRECT(ADDRESS(ROW()+6,COLUMN()-1))</definedName>
    <definedName name="PtLC">INDIRECT(ADDRESS(ROW()+10,COLUMN()-1))</definedName>
    <definedName name="PtLCm">INDIRECT(ADDRESS(ROW()+4,COLUMN()+2))</definedName>
    <definedName name="PtLCp">INDIRECT(ADDRESS(ROW()+9,COLUMN()-1))</definedName>
    <definedName name="PtLD">INDIRECT(ADDRESS(ROW()+6,COLUMN()+2))</definedName>
    <definedName name="PtLDm">INDIRECT(ADDRESS(ROW()+7,COLUMN()+2))</definedName>
    <definedName name="PtLDp">INDIRECT(ADDRESS(ROW()+5,COLUMN()+2))</definedName>
    <definedName name="PtLF">INDIRECT(ADDRESS(ROW()+8,COLUMN()+2))</definedName>
    <definedName name="PtLFail">INDIRECT(ADDRESS(ROW()+10,COLUMN()+2))</definedName>
    <definedName name="PtLPass">INDIRECT(ADDRESS(ROW()+9,COLUMN()+2))</definedName>
    <definedName name="PtNA">INDIRECT(ADDRESS(ROW()+4,COLUMN()+1))</definedName>
    <definedName name="PtNAm">INDIRECT(ADDRESS(ROW()+5,COLUMN()+1))</definedName>
    <definedName name="PtNB">INDIRECT(ADDRESS(ROW()+7,COLUMN()+1))</definedName>
    <definedName name="PtNBm">INDIRECT(ADDRESS(ROW()+8,COLUMN()+1))</definedName>
    <definedName name="PtNBp">INDIRECT(ADDRESS(ROW()+6,COLUMN()+1))</definedName>
    <definedName name="PtNC">INDIRECT(ADDRESS(ROW()+10,COLUMN()+1))</definedName>
    <definedName name="PtNCm">INDIRECT(ADDRESS(ROW()+4,COLUMN()+3))</definedName>
    <definedName name="PtNCp">INDIRECT(ADDRESS(ROW()+9,COLUMN()+1))</definedName>
    <definedName name="PtND">INDIRECT(ADDRESS(ROW()+6,COLUMN()+3))</definedName>
    <definedName name="PtNDm">INDIRECT(ADDRESS(ROW()+7,COLUMN()+3))</definedName>
    <definedName name="PtNDp">INDIRECT(ADDRESS(ROW()+5,COLUMN()+3))</definedName>
    <definedName name="PtNF">INDIRECT(ADDRESS(ROW()+8,COLUMN()+3))</definedName>
    <definedName name="PtNFail">INDIRECT(ADDRESS(ROW()+10,COLUMN()+3))</definedName>
    <definedName name="PtNPass">INDIRECT(ADDRESS(ROW()+9,COLUMN()+3))</definedName>
    <definedName name="PtTC1" comment="Grade to Count C1">INDIRECT(ADDRESS(ROW()+11+2+6*(0),COLUMN()))</definedName>
    <definedName name="PtTC10">INDIRECT(ADDRESS(ROW()+11+2+6*(9)+PtTC1+PtTC2+PtTC3+PtTC4+PtTC5+PtTC6+PtTC7+PtTC8+PtTC9,COLUMN()))</definedName>
    <definedName name="PtTC11">INDIRECT(ADDRESS(ROW()+11+2+6*(10)+PtTC1+PtTC2+PtTC3+PtTC4+PtTC5+PtTC6+PtTC7+PtTC8+PtTC9+PtTC10,COLUMN()))</definedName>
    <definedName name="PtTC12">INDIRECT(ADDRESS(ROW()+11+2+6*(11)+PtTC1+PtTC2+PtTC3+PtTC4+PtTC5+PtTC6+PtTC7+PtTC8+PtTC9+PtTC10+PtTC11,COLUMN()))</definedName>
    <definedName name="PtTC2">INDIRECT(ADDRESS(ROW()+11+2+6*(1)+PtTC1,COLUMN()))</definedName>
    <definedName name="PtTC3">INDIRECT(ADDRESS(ROW()+11+2+6*(2)+PtTC1+PtTC2,COLUMN()))</definedName>
    <definedName name="PtTC4">INDIRECT(ADDRESS(ROW()+11+2+6*(3)+PtTC1+PtTC2+PtTC3,COLUMN()))</definedName>
    <definedName name="PtTC5">INDIRECT(ADDRESS(ROW()+11+2+6*(4)+PtTC1+PtTC2+PtTC3+PtTC4,COLUMN()))</definedName>
    <definedName name="PtTC6">INDIRECT(ADDRESS(ROW()+11+2+6*(5)+PtTC1+PtTC2+PtTC3+PtTC4+PtTC5,COLUMN()))</definedName>
    <definedName name="PtTC7">INDIRECT(ADDRESS(ROW()+11+2+6*(6)+PtTC1+PtTC2+PtTC3+PtTC4+PtTC5+PtTC6,COLUMN()))</definedName>
    <definedName name="PtTC8">INDIRECT(ADDRESS(ROW()+11+2+6*(7)+PtTC1+PtTC2+PtTC3+PtTC4+PtTC5+PtTC6+PtTC7,COLUMN()))</definedName>
    <definedName name="PtTC9">INDIRECT(ADDRESS(ROW()+11+2+6*(8)+PtTC1+PtTC2+PtTC3+PtTC4+PtTC5+PtTC6+PtTC7+PtTC8,COLUMN()))</definedName>
    <definedName name="PtWC1" comment="Percent to Class one Weight">INDIRECT(ADDRESS(ROW()+11+2+6*(0),COLUMN()+2))</definedName>
    <definedName name="PtWC10">INDIRECT(ADDRESS(ROW()+11+2+6*(9)+PtTC1+PtTC2+PtTC3+PtTC4+PtTC5+PtTC6+PtTC7+PtTC8+PtTC9,COLUMN()+2))</definedName>
    <definedName name="PtWC11">INDIRECT(ADDRESS(ROW()+11+2+6*(10)+PtTC1+PtTC2+PtTC3+PtTC4+PtTC5+PtTC6+PtTC7+PtTC8+PtTC9+PtTC10,COLUMN()+2))</definedName>
    <definedName name="PtWC12">INDIRECT(ADDRESS(ROW()+11+2+6*(11)+PtTC1+PtTC2+PtTC3+PtTC4+PtTC5+PtTC6+PtTC7+PtTC8+PtTC9+PtTC10+PtTC11,COLUMN()+2))</definedName>
    <definedName name="PtWC2" comment="Percent to Class 2 Weight">INDIRECT(ADDRESS(ROW()+11+2+6*(1)+PtTC1,COLUMN()+2))</definedName>
    <definedName name="PtWC3" comment="Percent to Class 3 Weight">INDIRECT(ADDRESS(ROW()+11+2+6*(2)+PtTC1+PtTC2,COLUMN()+2))</definedName>
    <definedName name="PtWC4" comment="Percent To Class 4 Weight">INDIRECT(ADDRESS(ROW()+11+2+6*(3)+PtTC1+PtTC2+PtTC3,COLUMN()+2))</definedName>
    <definedName name="PtWC5" comment="Class 5 Weight">INDIRECT(ADDRESS(ROW()+11+2+6*(4)+PtTC1+PtTC2+PtTC3+PtTC4,COLUMN()+2))</definedName>
    <definedName name="PtWC6">INDIRECT(ADDRESS(ROW()+11+2+6*(5)+PtTC1+PtTC2+PtTC3+PtTC4+PtTC5,COLUMN()+2))</definedName>
    <definedName name="PtWC7">INDIRECT(ADDRESS(ROW()+11+2+6*(6)+PtTC1+PtTC2+PtTC3+PtTC4+PtTC5+PtTC6,COLUMN()+2))</definedName>
    <definedName name="PtWC8">INDIRECT(ADDRESS(ROW()+11+2+6*(7)+PtTC1+PtTC2+PtTC3+PtTC4+PtTC5+PtTC6+PtTC7,COLUMN()+2))</definedName>
    <definedName name="PtWC9">INDIRECT(ADDRESS(ROW()+11+2+6*(8)+PtTC1+PtTC2+PtTC3+PtTC4+PtTC5+PtTC6+PtTC7+PtTC8,COLUMN()+2))</definedName>
    <definedName name="QPtCR" comment="Quality Points to Credits">INDIRECT(ADDRESS(ROW()-3,COLUMN()-2))</definedName>
    <definedName name="QPtCT" comment="Quality Points To Class Type">INDIRECT(ADDRESS(ROW()-3,COLUMN()))</definedName>
    <definedName name="QPtGPA" comment="Quality Points to GPA">INDIRECT(ADDRESS(ROW(),COLUMN()-3))</definedName>
    <definedName name="Sales">OFFSET([1]Sheet1!$B$2,0,0,COUNT([1]Sheet1!$B$2:$B$200),1)</definedName>
    <definedName name="TtCT" comment="Total Points to Total Assignments">INDIRECT(ADDRESS(ROW()+1+INDIRECT(ADDRESS(ROW()-1,COLUMN()-2)),COLUMN()))</definedName>
    <definedName name="uptwo" comment="a block up two">INDIRECT(ADDRESS(ROW()-2,COLUMN()))</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Q20" i="3" l="1"/>
  <c r="AO20" i="3"/>
  <c r="AO19" i="3"/>
  <c r="AQ18" i="3"/>
  <c r="AO18" i="3"/>
  <c r="AO17" i="3"/>
  <c r="AQ16" i="3"/>
  <c r="AQ19" i="3" s="1"/>
  <c r="AO16" i="3"/>
  <c r="AQ15" i="3"/>
  <c r="AO15" i="3"/>
  <c r="AQ14" i="3"/>
  <c r="AO14" i="3"/>
  <c r="E14" i="3"/>
  <c r="G14" i="3"/>
  <c r="K14" i="3"/>
  <c r="M14" i="3"/>
  <c r="Q14" i="3"/>
  <c r="S14" i="3"/>
  <c r="W14" i="3"/>
  <c r="Y14" i="3"/>
  <c r="AC14" i="3"/>
  <c r="AE14" i="3"/>
  <c r="AI14" i="3"/>
  <c r="AK14" i="3"/>
  <c r="E15" i="3"/>
  <c r="G15" i="3"/>
  <c r="K15" i="3"/>
  <c r="M15" i="3"/>
  <c r="Q15" i="3"/>
  <c r="S15" i="3"/>
  <c r="W15" i="3"/>
  <c r="Y15" i="3"/>
  <c r="AC15" i="3"/>
  <c r="AE15" i="3"/>
  <c r="AI15" i="3"/>
  <c r="AK15" i="3"/>
  <c r="E16" i="3"/>
  <c r="G16" i="3"/>
  <c r="G19" i="3" s="1"/>
  <c r="K16" i="3"/>
  <c r="M16" i="3"/>
  <c r="M19" i="3" s="1"/>
  <c r="Q16" i="3"/>
  <c r="S16" i="3"/>
  <c r="S19" i="3" s="1"/>
  <c r="W16" i="3"/>
  <c r="Y16" i="3"/>
  <c r="Y19" i="3" s="1"/>
  <c r="AC16" i="3"/>
  <c r="AE16" i="3"/>
  <c r="AE19" i="3" s="1"/>
  <c r="AI16" i="3"/>
  <c r="AK16" i="3"/>
  <c r="AK19" i="3" s="1"/>
  <c r="E17" i="3"/>
  <c r="K17" i="3"/>
  <c r="Q17" i="3"/>
  <c r="W17" i="3"/>
  <c r="AC17" i="3"/>
  <c r="AI17" i="3"/>
  <c r="E18" i="3"/>
  <c r="G18" i="3"/>
  <c r="K18" i="3"/>
  <c r="M18" i="3"/>
  <c r="Q18" i="3"/>
  <c r="S18" i="3"/>
  <c r="W18" i="3"/>
  <c r="Y18" i="3"/>
  <c r="AC18" i="3"/>
  <c r="AE18" i="3"/>
  <c r="AI18" i="3"/>
  <c r="AK18" i="3"/>
  <c r="E19" i="3"/>
  <c r="K19" i="3"/>
  <c r="Q19" i="3"/>
  <c r="W19" i="3"/>
  <c r="AC19" i="3"/>
  <c r="AI19" i="3"/>
  <c r="E20" i="3"/>
  <c r="G20" i="3"/>
  <c r="M20" i="3"/>
  <c r="S20" i="3"/>
  <c r="W20" i="3"/>
  <c r="Y20" i="3"/>
  <c r="AE20" i="3"/>
  <c r="AI20" i="3"/>
  <c r="AK20" i="3"/>
  <c r="F90" i="22" l="1"/>
  <c r="F123" i="22"/>
  <c r="X34" i="22" l="1"/>
  <c r="X35" i="22"/>
  <c r="X36" i="22"/>
  <c r="X37" i="22"/>
  <c r="X38" i="22"/>
  <c r="L41" i="22" l="1"/>
  <c r="E118" i="22"/>
  <c r="E58" i="22"/>
  <c r="D118" i="22"/>
  <c r="X47" i="22" l="1"/>
  <c r="D110" i="22"/>
  <c r="D109" i="22"/>
  <c r="F109" i="22" s="1"/>
  <c r="D108" i="22"/>
  <c r="F108" i="22" s="1"/>
  <c r="D107" i="22"/>
  <c r="F107" i="22" s="1"/>
  <c r="D106" i="22"/>
  <c r="F106" i="22" s="1"/>
  <c r="D105" i="22"/>
  <c r="F105" i="22" s="1"/>
  <c r="D104" i="22"/>
  <c r="D113" i="22"/>
  <c r="F113" i="22" s="1"/>
  <c r="D112" i="22"/>
  <c r="F112" i="22" s="1"/>
  <c r="D111" i="22"/>
  <c r="F111" i="22" s="1"/>
  <c r="F110" i="22"/>
  <c r="R50" i="22" l="1"/>
  <c r="R48" i="22"/>
  <c r="R49" i="22"/>
  <c r="R46" i="22"/>
  <c r="R47" i="22"/>
  <c r="AQ20" i="7" l="1"/>
  <c r="AO20" i="7"/>
  <c r="AO19" i="7"/>
  <c r="AQ18" i="7"/>
  <c r="AO18" i="7"/>
  <c r="AO17" i="7"/>
  <c r="AQ16" i="7"/>
  <c r="AQ19" i="7" s="1"/>
  <c r="AO16" i="7"/>
  <c r="AQ15" i="7"/>
  <c r="AO15" i="7"/>
  <c r="AQ14" i="7"/>
  <c r="AO14" i="7"/>
  <c r="F122" i="22" l="1"/>
  <c r="F121" i="22"/>
  <c r="F126" i="22"/>
  <c r="F125" i="22"/>
  <c r="F124" i="22"/>
  <c r="F127" i="22"/>
  <c r="F120" i="22"/>
  <c r="F118" i="22" l="1"/>
  <c r="F86" i="22"/>
  <c r="F87" i="22"/>
  <c r="F88" i="22"/>
  <c r="F89" i="22"/>
  <c r="F84" i="22"/>
  <c r="F85" i="22"/>
  <c r="F83" i="22"/>
  <c r="D81" i="22"/>
  <c r="E81" i="22"/>
  <c r="F81" i="22" l="1"/>
  <c r="F75" i="22"/>
  <c r="F76" i="22"/>
  <c r="E51" i="22"/>
  <c r="X32" i="22" l="1"/>
  <c r="X33" i="22"/>
  <c r="R39" i="22" l="1"/>
  <c r="R45" i="22"/>
  <c r="R44" i="22"/>
  <c r="R43" i="22"/>
  <c r="R38" i="22"/>
  <c r="R42" i="22"/>
  <c r="R41" i="22"/>
  <c r="R40" i="22"/>
  <c r="R37" i="22"/>
  <c r="R36" i="22"/>
  <c r="X54" i="22" l="1"/>
  <c r="F97" i="22"/>
  <c r="F104" i="22"/>
  <c r="F74" i="22"/>
  <c r="F67" i="22"/>
  <c r="F46" i="22"/>
  <c r="F45" i="22"/>
  <c r="F44" i="22"/>
  <c r="F43" i="22"/>
  <c r="F36" i="22"/>
  <c r="F35" i="22"/>
  <c r="F34" i="22"/>
  <c r="F33" i="22"/>
  <c r="F32" i="22"/>
  <c r="F31" i="22"/>
  <c r="F30" i="22"/>
  <c r="F29" i="22"/>
  <c r="F28" i="22"/>
  <c r="F27" i="22"/>
  <c r="F26" i="22"/>
  <c r="G20" i="22"/>
  <c r="G19" i="22"/>
  <c r="E72" i="22"/>
  <c r="E65" i="22"/>
  <c r="D72" i="22"/>
  <c r="D102" i="22"/>
  <c r="W52" i="22"/>
  <c r="D95" i="22"/>
  <c r="E95" i="22"/>
  <c r="E41" i="22"/>
  <c r="D41" i="22"/>
  <c r="E24" i="22"/>
  <c r="D65" i="22"/>
  <c r="D24" i="22"/>
  <c r="E102" i="22"/>
  <c r="V52" i="22"/>
  <c r="X52" i="22" l="1"/>
  <c r="F95" i="22"/>
  <c r="F102" i="22"/>
  <c r="F65" i="22"/>
  <c r="F24" i="22"/>
  <c r="F41" i="22"/>
  <c r="F72" i="22"/>
  <c r="R80" i="22"/>
  <c r="R73" i="22"/>
  <c r="R66" i="22"/>
  <c r="R65" i="22"/>
  <c r="R64" i="22"/>
  <c r="R63" i="22"/>
  <c r="R62" i="22"/>
  <c r="R61" i="22"/>
  <c r="R60" i="22"/>
  <c r="R59" i="22"/>
  <c r="R58" i="22"/>
  <c r="R57" i="22"/>
  <c r="P71" i="22"/>
  <c r="Q78" i="22"/>
  <c r="P78" i="22"/>
  <c r="Q71" i="22"/>
  <c r="Q55" i="22"/>
  <c r="P55" i="22"/>
  <c r="D60" i="22" l="1"/>
  <c r="F60" i="22" s="1"/>
  <c r="D53" i="22"/>
  <c r="F53" i="22" s="1"/>
  <c r="R78" i="22"/>
  <c r="R71" i="22"/>
  <c r="R55" i="22"/>
  <c r="Y19" i="22"/>
  <c r="X46" i="22"/>
  <c r="X45" i="22"/>
  <c r="D51" i="22"/>
  <c r="V43" i="22"/>
  <c r="D58" i="22"/>
  <c r="W43" i="22"/>
  <c r="F58" i="22" l="1"/>
  <c r="F51" i="22"/>
  <c r="X43" i="22"/>
  <c r="L48" i="22"/>
  <c r="L58" i="22"/>
  <c r="L57" i="22"/>
  <c r="L56" i="22"/>
  <c r="L55" i="22"/>
  <c r="L40" i="22"/>
  <c r="L39" i="22"/>
  <c r="L38" i="22"/>
  <c r="L37" i="22"/>
  <c r="L36" i="22"/>
  <c r="M19" i="22"/>
  <c r="AJ35" i="22"/>
  <c r="AJ34" i="22"/>
  <c r="AJ33" i="22"/>
  <c r="AJ32" i="22"/>
  <c r="AJ31" i="22"/>
  <c r="AJ30" i="22"/>
  <c r="AJ29" i="22"/>
  <c r="AJ28" i="22"/>
  <c r="AJ27" i="22"/>
  <c r="AJ26" i="22"/>
  <c r="AK23" i="22"/>
  <c r="AK20" i="22"/>
  <c r="AI20" i="22"/>
  <c r="AK19" i="22"/>
  <c r="AI19" i="22"/>
  <c r="AK18" i="22"/>
  <c r="AI18" i="22"/>
  <c r="AI17" i="22"/>
  <c r="AK16" i="22"/>
  <c r="AI16" i="22"/>
  <c r="AK15" i="22"/>
  <c r="AI15" i="22"/>
  <c r="AK14" i="22"/>
  <c r="AI14" i="22"/>
  <c r="D8" i="24"/>
  <c r="J53" i="22"/>
  <c r="K34" i="22"/>
  <c r="AI24" i="22"/>
  <c r="K24" i="22"/>
  <c r="P24" i="22"/>
  <c r="C40" i="15"/>
  <c r="J46" i="22"/>
  <c r="K53" i="22"/>
  <c r="AC24" i="22"/>
  <c r="AH24" i="22"/>
  <c r="V24" i="22"/>
  <c r="J24" i="22"/>
  <c r="C24" i="15"/>
  <c r="W24" i="22"/>
  <c r="C38" i="15"/>
  <c r="C37" i="15"/>
  <c r="AB24" i="22"/>
  <c r="Q24" i="22"/>
  <c r="G10" i="22" a="1"/>
  <c r="C11" i="15"/>
  <c r="C22" i="15"/>
  <c r="J34" i="22"/>
  <c r="C39" i="15"/>
  <c r="K46" i="22"/>
  <c r="G10" i="22" l="1"/>
  <c r="R24" i="22"/>
  <c r="C41" i="15"/>
  <c r="C14" i="15" s="1"/>
  <c r="AJ24" i="22"/>
  <c r="L46" i="22"/>
  <c r="L53" i="22"/>
  <c r="L34" i="22"/>
  <c r="F69" i="23"/>
  <c r="F71" i="23"/>
  <c r="F72" i="23"/>
  <c r="F73" i="23"/>
  <c r="F74" i="23"/>
  <c r="F75" i="23"/>
  <c r="F76" i="23"/>
  <c r="AI10" i="22" a="1"/>
  <c r="E24" i="23"/>
  <c r="AK10" i="22" a="1"/>
  <c r="E7" i="18" a="1"/>
  <c r="AI10" i="22" l="1"/>
  <c r="AK10" i="22"/>
  <c r="AI7" i="22"/>
  <c r="E7" i="18"/>
  <c r="F61" i="23"/>
  <c r="F60" i="23"/>
  <c r="F53" i="23"/>
  <c r="F52" i="23"/>
  <c r="F51" i="23"/>
  <c r="F50" i="23"/>
  <c r="F49" i="23"/>
  <c r="F48" i="23"/>
  <c r="F47" i="23"/>
  <c r="G19" i="23"/>
  <c r="F79" i="23"/>
  <c r="F78" i="23"/>
  <c r="F40" i="23"/>
  <c r="F36" i="23"/>
  <c r="F37" i="23"/>
  <c r="F38" i="23"/>
  <c r="F39" i="23"/>
  <c r="F35" i="23"/>
  <c r="F34" i="23"/>
  <c r="F33" i="23"/>
  <c r="F32" i="23"/>
  <c r="F31" i="23"/>
  <c r="F30" i="23"/>
  <c r="F29" i="23"/>
  <c r="F28" i="23"/>
  <c r="F27" i="23"/>
  <c r="F26" i="23"/>
  <c r="D58" i="23"/>
  <c r="E58" i="23"/>
  <c r="AH10" i="22" a="1"/>
  <c r="E45" i="23"/>
  <c r="D24" i="23"/>
  <c r="D45" i="23"/>
  <c r="AH10" i="22" l="1"/>
  <c r="F24" i="23"/>
  <c r="F58" i="23"/>
  <c r="F45" i="23"/>
  <c r="D4" i="4"/>
  <c r="D3" i="4"/>
  <c r="E19" i="4"/>
  <c r="E18" i="4"/>
  <c r="E17" i="4"/>
  <c r="E16" i="4"/>
  <c r="E15" i="4"/>
  <c r="E14" i="4"/>
  <c r="F73" i="4"/>
  <c r="F66" i="4"/>
  <c r="D65" i="4"/>
  <c r="F65" i="4" s="1"/>
  <c r="F58" i="4"/>
  <c r="F57" i="4"/>
  <c r="F56" i="4"/>
  <c r="F55" i="4"/>
  <c r="F54" i="4"/>
  <c r="F47" i="4"/>
  <c r="F40" i="4"/>
  <c r="F39" i="4"/>
  <c r="F38" i="4"/>
  <c r="F37" i="4"/>
  <c r="F36" i="4"/>
  <c r="F35" i="4"/>
  <c r="F34" i="4"/>
  <c r="F33" i="4"/>
  <c r="F32" i="4"/>
  <c r="F31" i="4"/>
  <c r="F30" i="4"/>
  <c r="F29" i="4"/>
  <c r="F28" i="4"/>
  <c r="F27" i="4"/>
  <c r="F26" i="4"/>
  <c r="G20" i="4"/>
  <c r="G18" i="4"/>
  <c r="G16" i="4"/>
  <c r="G19" i="4" s="1"/>
  <c r="G15" i="4"/>
  <c r="G14" i="4"/>
  <c r="M20" i="4"/>
  <c r="K19" i="4"/>
  <c r="M18" i="4"/>
  <c r="K18" i="4"/>
  <c r="K17" i="4"/>
  <c r="M16" i="4"/>
  <c r="M19" i="4" s="1"/>
  <c r="K16" i="4"/>
  <c r="M15" i="4"/>
  <c r="K15" i="4"/>
  <c r="M14" i="4"/>
  <c r="K14" i="4"/>
  <c r="S16" i="4"/>
  <c r="S15" i="4"/>
  <c r="S14" i="4"/>
  <c r="Q19" i="4"/>
  <c r="Q18" i="4"/>
  <c r="Q17" i="4"/>
  <c r="Q16" i="4"/>
  <c r="Q15" i="4"/>
  <c r="Q14" i="4"/>
  <c r="S20" i="4"/>
  <c r="S18" i="4"/>
  <c r="S19" i="4"/>
  <c r="Y20" i="4"/>
  <c r="W19" i="4"/>
  <c r="Y18" i="4"/>
  <c r="W18" i="4"/>
  <c r="W17" i="4"/>
  <c r="Y16" i="4"/>
  <c r="Y19" i="4" s="1"/>
  <c r="W16" i="4"/>
  <c r="Y15" i="4"/>
  <c r="W15" i="4"/>
  <c r="Y14" i="4"/>
  <c r="W14" i="4"/>
  <c r="AE16" i="4"/>
  <c r="AE15" i="4"/>
  <c r="AE14" i="4"/>
  <c r="AC19" i="4"/>
  <c r="AC18" i="4"/>
  <c r="AC17" i="4"/>
  <c r="AC16" i="4"/>
  <c r="AC15" i="4"/>
  <c r="AC14" i="4"/>
  <c r="AE20" i="4"/>
  <c r="AE19" i="4"/>
  <c r="AE18" i="4"/>
  <c r="AJ65" i="4"/>
  <c r="AK20" i="4"/>
  <c r="AI20" i="4"/>
  <c r="AI19" i="4"/>
  <c r="AK18" i="4"/>
  <c r="AI18" i="4"/>
  <c r="AI17" i="4"/>
  <c r="AK16" i="4"/>
  <c r="AK19" i="4" s="1"/>
  <c r="AI16" i="4"/>
  <c r="AK15" i="4"/>
  <c r="AI15" i="4"/>
  <c r="AK14" i="4"/>
  <c r="AI14" i="4"/>
  <c r="D24" i="4"/>
  <c r="P58" i="4"/>
  <c r="E71" i="4"/>
  <c r="J40" i="4"/>
  <c r="AH44" i="4"/>
  <c r="AI55" i="4"/>
  <c r="P41" i="4"/>
  <c r="AI44" i="4"/>
  <c r="AI24" i="4"/>
  <c r="P68" i="4"/>
  <c r="K49" i="4"/>
  <c r="E63" i="4"/>
  <c r="AI63" i="4"/>
  <c r="Q68" i="4"/>
  <c r="K40" i="4"/>
  <c r="AB24" i="4"/>
  <c r="AH11" i="22" a="1"/>
  <c r="Q58" i="4"/>
  <c r="D52" i="4"/>
  <c r="Q41" i="4"/>
  <c r="W24" i="4"/>
  <c r="K24" i="4"/>
  <c r="AH63" i="4"/>
  <c r="AC24" i="4"/>
  <c r="Q24" i="4"/>
  <c r="D71" i="4"/>
  <c r="E45" i="4"/>
  <c r="E52" i="4"/>
  <c r="J24" i="4"/>
  <c r="J49" i="4"/>
  <c r="V24" i="4"/>
  <c r="D45" i="4"/>
  <c r="E24" i="4"/>
  <c r="D63" i="4"/>
  <c r="P24" i="4"/>
  <c r="AH24" i="4"/>
  <c r="AH11" i="22" l="1"/>
  <c r="F71" i="4"/>
  <c r="F63" i="4"/>
  <c r="F52" i="4"/>
  <c r="F45" i="4"/>
  <c r="F24" i="4"/>
  <c r="L49" i="4"/>
  <c r="L40" i="4"/>
  <c r="L24" i="4"/>
  <c r="R68" i="4"/>
  <c r="R58" i="4"/>
  <c r="R41" i="4"/>
  <c r="R24" i="4"/>
  <c r="X24" i="4"/>
  <c r="AD24" i="4"/>
  <c r="AJ63" i="4"/>
  <c r="AJ44" i="4"/>
  <c r="AJ24" i="4"/>
  <c r="AK11" i="22" a="1"/>
  <c r="S10" i="4" a="1"/>
  <c r="Q10" i="4" a="1"/>
  <c r="M10" i="4" a="1"/>
  <c r="G10" i="4" a="1"/>
  <c r="K10" i="4" a="1"/>
  <c r="E10" i="4" a="1"/>
  <c r="AK11" i="22" l="1"/>
  <c r="G10" i="4"/>
  <c r="E10" i="4"/>
  <c r="M10" i="4"/>
  <c r="K10" i="4"/>
  <c r="S10" i="4"/>
  <c r="Q10" i="4"/>
  <c r="P10" i="4" a="1"/>
  <c r="J10" i="4" a="1"/>
  <c r="AD11" i="15"/>
  <c r="D10" i="4" a="1"/>
  <c r="D10" i="4" l="1"/>
  <c r="J10" i="4"/>
  <c r="P10" i="4"/>
  <c r="D11" i="4" a="1"/>
  <c r="J11" i="4" a="1"/>
  <c r="P11" i="4" a="1"/>
  <c r="D11" i="4" l="1"/>
  <c r="J11" i="4"/>
  <c r="P11" i="4"/>
  <c r="G11" i="4" a="1"/>
  <c r="M11" i="4" a="1"/>
  <c r="S11" i="4" a="1"/>
  <c r="G11" i="4" l="1"/>
  <c r="M11" i="4"/>
  <c r="S11" i="4"/>
  <c r="D4" i="7" l="1"/>
  <c r="D4" i="1"/>
  <c r="D3" i="1"/>
  <c r="D4" i="22"/>
  <c r="D3" i="22"/>
  <c r="D4" i="23"/>
  <c r="D3" i="23"/>
  <c r="D4" i="21"/>
  <c r="D3" i="21"/>
  <c r="D4" i="14"/>
  <c r="D3" i="14"/>
  <c r="D4" i="3"/>
  <c r="D3" i="3"/>
  <c r="D4" i="13"/>
  <c r="D3" i="13"/>
  <c r="D4" i="9"/>
  <c r="D3" i="9"/>
  <c r="D4" i="8"/>
  <c r="D3" i="8"/>
  <c r="D4" i="12"/>
  <c r="D3" i="12"/>
  <c r="D4" i="2"/>
  <c r="D3" i="2"/>
  <c r="D4" i="11"/>
  <c r="D3" i="11"/>
  <c r="C25" i="15"/>
  <c r="C26" i="15" l="1"/>
  <c r="L35" i="3"/>
  <c r="L34" i="3"/>
  <c r="L33" i="3"/>
  <c r="L32" i="3"/>
  <c r="L31" i="3"/>
  <c r="L30" i="3"/>
  <c r="L29" i="3"/>
  <c r="L28" i="3"/>
  <c r="L27" i="3"/>
  <c r="L26" i="3"/>
  <c r="F34" i="3"/>
  <c r="F33" i="3"/>
  <c r="F32" i="3"/>
  <c r="F31" i="3"/>
  <c r="F30" i="3"/>
  <c r="F29" i="3"/>
  <c r="F28" i="3"/>
  <c r="F27" i="3"/>
  <c r="F26" i="3"/>
  <c r="R63" i="3"/>
  <c r="R62" i="3"/>
  <c r="R61" i="3"/>
  <c r="P33" i="3"/>
  <c r="K40" i="3"/>
  <c r="P24" i="3"/>
  <c r="V50" i="3"/>
  <c r="E39" i="3"/>
  <c r="Q24" i="3"/>
  <c r="Q59" i="3"/>
  <c r="Q33" i="3"/>
  <c r="P59" i="3"/>
  <c r="Q43" i="3"/>
  <c r="K55" i="3"/>
  <c r="J40" i="3"/>
  <c r="D39" i="3"/>
  <c r="J55" i="3"/>
  <c r="D24" i="3"/>
  <c r="K24" i="3"/>
  <c r="P43" i="3"/>
  <c r="E24" i="3"/>
  <c r="J24" i="3"/>
  <c r="W50" i="3"/>
  <c r="L55" i="3" l="1"/>
  <c r="L40" i="3"/>
  <c r="L24" i="3"/>
  <c r="F39" i="3"/>
  <c r="F24" i="3"/>
  <c r="R59" i="3"/>
  <c r="R43" i="3"/>
  <c r="R33" i="3"/>
  <c r="R24" i="3"/>
  <c r="X50" i="3"/>
  <c r="AE23" i="3"/>
  <c r="AI82" i="3"/>
  <c r="K10" i="3" a="1"/>
  <c r="AC24" i="3"/>
  <c r="W42" i="3"/>
  <c r="AB24" i="3"/>
  <c r="AI75" i="3"/>
  <c r="V42" i="3"/>
  <c r="AH82" i="3"/>
  <c r="AH75" i="3"/>
  <c r="W24" i="3"/>
  <c r="V24" i="3"/>
  <c r="M10" i="3" a="1"/>
  <c r="G10" i="3" a="1"/>
  <c r="G10" i="3" l="1"/>
  <c r="M10" i="3"/>
  <c r="K10" i="3"/>
  <c r="X42" i="3"/>
  <c r="X24" i="3"/>
  <c r="AD24" i="3"/>
  <c r="AJ82" i="3"/>
  <c r="AJ75" i="3"/>
  <c r="AC10" i="3" a="1"/>
  <c r="AI44" i="3"/>
  <c r="AI24" i="3"/>
  <c r="J10" i="3" a="1"/>
  <c r="AI68" i="3"/>
  <c r="AI60" i="3"/>
  <c r="AH44" i="3"/>
  <c r="AH24" i="3"/>
  <c r="AI52" i="3"/>
  <c r="AH68" i="3"/>
  <c r="AC10" i="3" l="1"/>
  <c r="J10" i="3"/>
  <c r="AJ68" i="3"/>
  <c r="AJ44" i="3"/>
  <c r="AJ24" i="3"/>
  <c r="AJ39" i="3"/>
  <c r="AQ23" i="3"/>
  <c r="J11" i="3" a="1"/>
  <c r="AQ11" i="3" a="1"/>
  <c r="P7" i="15"/>
  <c r="AO24" i="3"/>
  <c r="AN24" i="3"/>
  <c r="AN11" i="3" a="1"/>
  <c r="AB10" i="3" a="1"/>
  <c r="AB10" i="3" l="1"/>
  <c r="J11" i="3"/>
  <c r="AP24" i="3"/>
  <c r="AN11" i="3"/>
  <c r="AQ11" i="3"/>
  <c r="P10" i="15"/>
  <c r="AB11" i="3" a="1"/>
  <c r="M11" i="3" a="1"/>
  <c r="AB11" i="3" l="1"/>
  <c r="M11" i="3"/>
  <c r="G23" i="14" l="1"/>
  <c r="G20" i="14"/>
  <c r="E20" i="14"/>
  <c r="E19" i="14"/>
  <c r="G18" i="14"/>
  <c r="E18" i="14"/>
  <c r="E17" i="14"/>
  <c r="G16" i="14"/>
  <c r="G19" i="14" s="1"/>
  <c r="E16" i="14"/>
  <c r="G15" i="14"/>
  <c r="E15" i="14"/>
  <c r="G14" i="14"/>
  <c r="E14" i="14"/>
  <c r="D3" i="7"/>
  <c r="D11" i="14" a="1"/>
  <c r="D24" i="14"/>
  <c r="E24" i="14"/>
  <c r="G11" i="14" a="1"/>
  <c r="G11" i="14" l="1"/>
  <c r="F24" i="14"/>
  <c r="D11" i="14"/>
  <c r="G23" i="13"/>
  <c r="G20" i="13"/>
  <c r="E20" i="13"/>
  <c r="E19" i="13"/>
  <c r="G18" i="13"/>
  <c r="E18" i="13"/>
  <c r="E17" i="13"/>
  <c r="G16" i="13"/>
  <c r="G19" i="13" s="1"/>
  <c r="E16" i="13"/>
  <c r="G15" i="13"/>
  <c r="E15" i="13"/>
  <c r="G14" i="13"/>
  <c r="E14" i="13"/>
  <c r="G23" i="9"/>
  <c r="G20" i="9"/>
  <c r="E20" i="9"/>
  <c r="E19" i="9"/>
  <c r="G18" i="9"/>
  <c r="E18" i="9"/>
  <c r="E17" i="9"/>
  <c r="G16" i="9"/>
  <c r="G19" i="9" s="1"/>
  <c r="E16" i="9"/>
  <c r="G15" i="9"/>
  <c r="E15" i="9"/>
  <c r="G14" i="9"/>
  <c r="E14" i="9"/>
  <c r="M23" i="9"/>
  <c r="M20" i="9"/>
  <c r="K20" i="9"/>
  <c r="K19" i="9"/>
  <c r="M18" i="9"/>
  <c r="K18" i="9"/>
  <c r="K17" i="9"/>
  <c r="M16" i="9"/>
  <c r="M19" i="9" s="1"/>
  <c r="K16" i="9"/>
  <c r="M15" i="9"/>
  <c r="K15" i="9"/>
  <c r="M14" i="9"/>
  <c r="K14" i="9"/>
  <c r="S23" i="9"/>
  <c r="S20" i="9"/>
  <c r="Q20" i="9"/>
  <c r="Q19" i="9"/>
  <c r="S18" i="9"/>
  <c r="Q18" i="9"/>
  <c r="Q17" i="9"/>
  <c r="S16" i="9"/>
  <c r="S19" i="9" s="1"/>
  <c r="Q16" i="9"/>
  <c r="S15" i="9"/>
  <c r="Q15" i="9"/>
  <c r="S14" i="9"/>
  <c r="Q14" i="9"/>
  <c r="Y23" i="9"/>
  <c r="Y20" i="9"/>
  <c r="W20" i="9"/>
  <c r="W19" i="9"/>
  <c r="Y18" i="9"/>
  <c r="W18" i="9"/>
  <c r="W17" i="9"/>
  <c r="Y16" i="9"/>
  <c r="Y19" i="9" s="1"/>
  <c r="W16" i="9"/>
  <c r="Y15" i="9"/>
  <c r="W15" i="9"/>
  <c r="Y14" i="9"/>
  <c r="W14" i="9"/>
  <c r="AE23" i="9"/>
  <c r="AE20" i="9"/>
  <c r="AC20" i="9"/>
  <c r="AC19" i="9"/>
  <c r="AE18" i="9"/>
  <c r="AC18" i="9"/>
  <c r="AC17" i="9"/>
  <c r="AE16" i="9"/>
  <c r="AE19" i="9" s="1"/>
  <c r="AC16" i="9"/>
  <c r="AE15" i="9"/>
  <c r="AC15" i="9"/>
  <c r="AE14" i="9"/>
  <c r="AC14" i="9"/>
  <c r="AK23" i="9"/>
  <c r="AK20" i="9"/>
  <c r="AI20" i="9"/>
  <c r="AI19" i="9"/>
  <c r="AK18" i="9"/>
  <c r="AI18" i="9"/>
  <c r="AI17" i="9"/>
  <c r="AK16" i="9"/>
  <c r="AK19" i="9" s="1"/>
  <c r="AI16" i="9"/>
  <c r="AK15" i="9"/>
  <c r="AI15" i="9"/>
  <c r="AK14" i="9"/>
  <c r="AI14" i="9"/>
  <c r="G10" i="14" a="1"/>
  <c r="W24" i="9"/>
  <c r="AH24" i="9"/>
  <c r="Q24" i="9"/>
  <c r="G11" i="13" a="1"/>
  <c r="D24" i="9"/>
  <c r="AB24" i="9"/>
  <c r="G4" i="14"/>
  <c r="AI24" i="9"/>
  <c r="P24" i="9"/>
  <c r="K24" i="9"/>
  <c r="AC24" i="9"/>
  <c r="E24" i="13"/>
  <c r="D24" i="13"/>
  <c r="G11" i="9" a="1"/>
  <c r="E24" i="9"/>
  <c r="D11" i="13" a="1"/>
  <c r="V24" i="9"/>
  <c r="E10" i="14" a="1"/>
  <c r="J24" i="9"/>
  <c r="D10" i="9" a="1"/>
  <c r="D11" i="9" a="1"/>
  <c r="G3" i="14" l="1"/>
  <c r="E10" i="14"/>
  <c r="G10" i="14"/>
  <c r="G11" i="13"/>
  <c r="F24" i="13"/>
  <c r="D11" i="13"/>
  <c r="F24" i="9"/>
  <c r="D10" i="9"/>
  <c r="G11" i="9"/>
  <c r="D11" i="9"/>
  <c r="L24" i="9"/>
  <c r="K7" i="9" s="1"/>
  <c r="R24" i="9"/>
  <c r="Q7" i="9" s="1"/>
  <c r="X24" i="9"/>
  <c r="W7" i="9" s="1"/>
  <c r="AD24" i="9"/>
  <c r="AC7" i="9" s="1"/>
  <c r="AJ24" i="9"/>
  <c r="AI7" i="9" s="1"/>
  <c r="AK23" i="8"/>
  <c r="AK20" i="8"/>
  <c r="AI20" i="8"/>
  <c r="AI19" i="8"/>
  <c r="AK18" i="8"/>
  <c r="AI18" i="8"/>
  <c r="AI17" i="8"/>
  <c r="AK16" i="8"/>
  <c r="AK19" i="8" s="1"/>
  <c r="AI16" i="8"/>
  <c r="AK15" i="8"/>
  <c r="AI15" i="8"/>
  <c r="AK14" i="8"/>
  <c r="AI14" i="8"/>
  <c r="AE23" i="8"/>
  <c r="AE20" i="8"/>
  <c r="AC20" i="8"/>
  <c r="AC19" i="8"/>
  <c r="AE18" i="8"/>
  <c r="AC18" i="8"/>
  <c r="AC17" i="8"/>
  <c r="AE16" i="8"/>
  <c r="AE19" i="8" s="1"/>
  <c r="AC16" i="8"/>
  <c r="AE15" i="8"/>
  <c r="AC15" i="8"/>
  <c r="AE14" i="8"/>
  <c r="AC14" i="8"/>
  <c r="Y23" i="8"/>
  <c r="Y20" i="8"/>
  <c r="W20" i="8"/>
  <c r="W19" i="8"/>
  <c r="Y18" i="8"/>
  <c r="W18" i="8"/>
  <c r="W17" i="8"/>
  <c r="Y16" i="8"/>
  <c r="Y19" i="8" s="1"/>
  <c r="W16" i="8"/>
  <c r="Y15" i="8"/>
  <c r="W15" i="8"/>
  <c r="Y14" i="8"/>
  <c r="W14" i="8"/>
  <c r="S23" i="8"/>
  <c r="S20" i="8"/>
  <c r="Q20" i="8"/>
  <c r="Q19" i="8"/>
  <c r="S18" i="8"/>
  <c r="Q18" i="8"/>
  <c r="Q17" i="8"/>
  <c r="S16" i="8"/>
  <c r="S19" i="8" s="1"/>
  <c r="Q16" i="8"/>
  <c r="S15" i="8"/>
  <c r="Q15" i="8"/>
  <c r="S14" i="8"/>
  <c r="Q14" i="8"/>
  <c r="M23" i="8"/>
  <c r="M20" i="8"/>
  <c r="K20" i="8"/>
  <c r="K19" i="8"/>
  <c r="M18" i="8"/>
  <c r="K18" i="8"/>
  <c r="K17" i="8"/>
  <c r="M16" i="8"/>
  <c r="M19" i="8" s="1"/>
  <c r="K16" i="8"/>
  <c r="M15" i="8"/>
  <c r="K15" i="8"/>
  <c r="M14" i="8"/>
  <c r="K14" i="8"/>
  <c r="G23" i="8"/>
  <c r="G20" i="8"/>
  <c r="E20" i="8"/>
  <c r="E19" i="8"/>
  <c r="G18" i="8"/>
  <c r="E18" i="8"/>
  <c r="E17" i="8"/>
  <c r="G16" i="8"/>
  <c r="G19" i="8" s="1"/>
  <c r="E16" i="8"/>
  <c r="G15" i="8"/>
  <c r="E15" i="8"/>
  <c r="G14" i="8"/>
  <c r="E14" i="8"/>
  <c r="D10" i="14" a="1"/>
  <c r="J24" i="8"/>
  <c r="E24" i="8"/>
  <c r="AE10" i="9" a="1"/>
  <c r="K24" i="8"/>
  <c r="G10" i="13" a="1"/>
  <c r="K10" i="9" a="1"/>
  <c r="Q24" i="8"/>
  <c r="W10" i="9" a="1"/>
  <c r="AH24" i="8"/>
  <c r="E10" i="9" a="1"/>
  <c r="G10" i="9" a="1"/>
  <c r="G4" i="13"/>
  <c r="Q10" i="9" a="1"/>
  <c r="AC24" i="8"/>
  <c r="AC10" i="9" a="1"/>
  <c r="AK10" i="9" a="1"/>
  <c r="AB24" i="8"/>
  <c r="M10" i="9" a="1"/>
  <c r="P24" i="8"/>
  <c r="D24" i="8"/>
  <c r="S10" i="9" a="1"/>
  <c r="E10" i="13" a="1"/>
  <c r="AI10" i="9" a="1"/>
  <c r="W24" i="8"/>
  <c r="AI24" i="8"/>
  <c r="V24" i="8"/>
  <c r="Y10" i="9" a="1"/>
  <c r="G3" i="13" l="1"/>
  <c r="D10" i="14"/>
  <c r="E10" i="13"/>
  <c r="G10" i="13"/>
  <c r="E10" i="9"/>
  <c r="G10" i="9"/>
  <c r="K10" i="9"/>
  <c r="M10" i="9"/>
  <c r="Q10" i="9"/>
  <c r="S10" i="9"/>
  <c r="W10" i="9"/>
  <c r="Y10" i="9"/>
  <c r="AC10" i="9"/>
  <c r="AE10" i="9"/>
  <c r="AI10" i="9"/>
  <c r="AK10" i="9"/>
  <c r="AJ24" i="8"/>
  <c r="AI7" i="8" s="1"/>
  <c r="AD24" i="8"/>
  <c r="AC7" i="8" s="1"/>
  <c r="X24" i="8"/>
  <c r="W7" i="8" s="1"/>
  <c r="R24" i="8"/>
  <c r="Q7" i="8" s="1"/>
  <c r="L24" i="8"/>
  <c r="K7" i="8" s="1"/>
  <c r="F24" i="8"/>
  <c r="G23" i="12"/>
  <c r="G20" i="12"/>
  <c r="E20" i="12"/>
  <c r="E19" i="12"/>
  <c r="G18" i="12"/>
  <c r="E18" i="12"/>
  <c r="E17" i="12"/>
  <c r="G16" i="12"/>
  <c r="G19" i="12" s="1"/>
  <c r="E16" i="12"/>
  <c r="G15" i="12"/>
  <c r="E15" i="12"/>
  <c r="G14" i="12"/>
  <c r="E14" i="12"/>
  <c r="E24" i="12"/>
  <c r="W10" i="8" a="1"/>
  <c r="AE10" i="8" a="1"/>
  <c r="AI10" i="8" a="1"/>
  <c r="J10" i="9" a="1"/>
  <c r="D24" i="12"/>
  <c r="S10" i="8" a="1"/>
  <c r="AB10" i="9" a="1"/>
  <c r="Y10" i="8" a="1"/>
  <c r="AC10" i="8" a="1"/>
  <c r="P10" i="9" a="1"/>
  <c r="D10" i="13" a="1"/>
  <c r="V10" i="9" a="1"/>
  <c r="AH10" i="9" a="1"/>
  <c r="G10" i="8" a="1"/>
  <c r="E10" i="8" a="1"/>
  <c r="K10" i="8" a="1"/>
  <c r="Q10" i="8" a="1"/>
  <c r="M10" i="8" a="1"/>
  <c r="AK10" i="8" a="1"/>
  <c r="D10" i="13" l="1"/>
  <c r="J10" i="9"/>
  <c r="P10" i="9"/>
  <c r="V10" i="9"/>
  <c r="AB10" i="9"/>
  <c r="AH10" i="9"/>
  <c r="AK10" i="8"/>
  <c r="AI10" i="8"/>
  <c r="AE10" i="8"/>
  <c r="AC10" i="8"/>
  <c r="Y10" i="8"/>
  <c r="W10" i="8"/>
  <c r="S10" i="8"/>
  <c r="Q10" i="8"/>
  <c r="M10" i="8"/>
  <c r="K10" i="8"/>
  <c r="G10" i="8"/>
  <c r="E10" i="8"/>
  <c r="F24" i="12"/>
  <c r="J10" i="8" a="1"/>
  <c r="D10" i="8" a="1"/>
  <c r="AB10" i="8" a="1"/>
  <c r="G10" i="12" a="1"/>
  <c r="E10" i="12" a="1"/>
  <c r="AB11" i="9" a="1"/>
  <c r="AH11" i="9" a="1"/>
  <c r="AH10" i="8" a="1"/>
  <c r="V10" i="8" a="1"/>
  <c r="V11" i="9" a="1"/>
  <c r="P10" i="8" a="1"/>
  <c r="P11" i="9" a="1"/>
  <c r="J11" i="9" a="1"/>
  <c r="J11" i="9" l="1"/>
  <c r="P11" i="9"/>
  <c r="V11" i="9"/>
  <c r="AB11" i="9"/>
  <c r="AH11" i="9"/>
  <c r="AH10" i="8"/>
  <c r="AB10" i="8"/>
  <c r="V10" i="8"/>
  <c r="P10" i="8"/>
  <c r="J10" i="8"/>
  <c r="D10" i="8"/>
  <c r="G10" i="12"/>
  <c r="E10" i="12"/>
  <c r="AE11" i="9" a="1"/>
  <c r="S11" i="9" a="1"/>
  <c r="J11" i="8" a="1"/>
  <c r="Y11" i="9" a="1"/>
  <c r="AH11" i="8" a="1"/>
  <c r="D11" i="8" a="1"/>
  <c r="M11" i="9" a="1"/>
  <c r="AK11" i="9" a="1"/>
  <c r="D10" i="12" a="1"/>
  <c r="AB11" i="8" a="1"/>
  <c r="P11" i="8" a="1"/>
  <c r="V11" i="8" a="1"/>
  <c r="M11" i="9" l="1"/>
  <c r="S11" i="9"/>
  <c r="Y11" i="9"/>
  <c r="AE11" i="9"/>
  <c r="AK11" i="9"/>
  <c r="AH11" i="8"/>
  <c r="AB11" i="8"/>
  <c r="V11" i="8"/>
  <c r="P11" i="8"/>
  <c r="J11" i="8"/>
  <c r="D11" i="8"/>
  <c r="D10" i="12"/>
  <c r="G4" i="9"/>
  <c r="D11" i="12" a="1"/>
  <c r="AE11" i="8" a="1"/>
  <c r="G11" i="8" a="1"/>
  <c r="Y11" i="8" a="1"/>
  <c r="AK11" i="8" a="1"/>
  <c r="S11" i="8" a="1"/>
  <c r="M11" i="8" a="1"/>
  <c r="G3" i="9" l="1"/>
  <c r="AK11" i="8"/>
  <c r="AE11" i="8"/>
  <c r="Y11" i="8"/>
  <c r="S11" i="8"/>
  <c r="M11" i="8"/>
  <c r="G11" i="8"/>
  <c r="D11" i="12"/>
  <c r="AQ23" i="7"/>
  <c r="AK23" i="7"/>
  <c r="AK20" i="7"/>
  <c r="AI20" i="7"/>
  <c r="AI19" i="7"/>
  <c r="AK18" i="7"/>
  <c r="AI18" i="7"/>
  <c r="AI17" i="7"/>
  <c r="AK16" i="7"/>
  <c r="AK19" i="7" s="1"/>
  <c r="AI16" i="7"/>
  <c r="AK15" i="7"/>
  <c r="AI15" i="7"/>
  <c r="AK14" i="7"/>
  <c r="AI14" i="7"/>
  <c r="AE23" i="7"/>
  <c r="AE20" i="7"/>
  <c r="AC20" i="7"/>
  <c r="AC19" i="7"/>
  <c r="AE18" i="7"/>
  <c r="AC18" i="7"/>
  <c r="AC17" i="7"/>
  <c r="AE16" i="7"/>
  <c r="AE19" i="7" s="1"/>
  <c r="AC16" i="7"/>
  <c r="AE15" i="7"/>
  <c r="AC15" i="7"/>
  <c r="AE14" i="7"/>
  <c r="AC14" i="7"/>
  <c r="Y23" i="7"/>
  <c r="Y20" i="7"/>
  <c r="W20" i="7"/>
  <c r="W19" i="7"/>
  <c r="Y18" i="7"/>
  <c r="W18" i="7"/>
  <c r="W17" i="7"/>
  <c r="Y16" i="7"/>
  <c r="Y19" i="7" s="1"/>
  <c r="W16" i="7"/>
  <c r="Y15" i="7"/>
  <c r="W15" i="7"/>
  <c r="Y14" i="7"/>
  <c r="W14" i="7"/>
  <c r="S23" i="7"/>
  <c r="S20" i="7"/>
  <c r="Q20" i="7"/>
  <c r="Q19" i="7"/>
  <c r="S18" i="7"/>
  <c r="Q18" i="7"/>
  <c r="Q17" i="7"/>
  <c r="S16" i="7"/>
  <c r="S19" i="7" s="1"/>
  <c r="Q16" i="7"/>
  <c r="S15" i="7"/>
  <c r="Q15" i="7"/>
  <c r="S14" i="7"/>
  <c r="Q14" i="7"/>
  <c r="M23" i="7"/>
  <c r="M20" i="7"/>
  <c r="K20" i="7"/>
  <c r="K19" i="7"/>
  <c r="M18" i="7"/>
  <c r="K18" i="7"/>
  <c r="K17" i="7"/>
  <c r="M16" i="7"/>
  <c r="M19" i="7" s="1"/>
  <c r="K16" i="7"/>
  <c r="M15" i="7"/>
  <c r="K15" i="7"/>
  <c r="M14" i="7"/>
  <c r="K14" i="7"/>
  <c r="G23" i="7"/>
  <c r="G20" i="7"/>
  <c r="E20" i="7"/>
  <c r="E19" i="7"/>
  <c r="G18" i="7"/>
  <c r="E18" i="7"/>
  <c r="E17" i="7"/>
  <c r="G16" i="7"/>
  <c r="G19" i="7" s="1"/>
  <c r="E16" i="7"/>
  <c r="G15" i="7"/>
  <c r="E15" i="7"/>
  <c r="G14" i="7"/>
  <c r="E14" i="7"/>
  <c r="V24" i="7"/>
  <c r="K24" i="7"/>
  <c r="W24" i="7"/>
  <c r="D24" i="7"/>
  <c r="AB24" i="7"/>
  <c r="AO24" i="7"/>
  <c r="AC24" i="7"/>
  <c r="AH24" i="7"/>
  <c r="G4" i="8"/>
  <c r="AN24" i="7"/>
  <c r="P24" i="7"/>
  <c r="AI24" i="7"/>
  <c r="J24" i="7"/>
  <c r="E24" i="7"/>
  <c r="G11" i="12" a="1"/>
  <c r="Q24" i="7"/>
  <c r="G3" i="8" l="1"/>
  <c r="G11" i="12"/>
  <c r="AP24" i="7"/>
  <c r="AO7" i="7" s="1"/>
  <c r="AJ24" i="7"/>
  <c r="AI7" i="7" s="1"/>
  <c r="AD24" i="7"/>
  <c r="AC7" i="7" s="1"/>
  <c r="X24" i="7"/>
  <c r="W7" i="7" s="1"/>
  <c r="R24" i="7"/>
  <c r="Q7" i="7" s="1"/>
  <c r="L24" i="7"/>
  <c r="K7" i="7" s="1"/>
  <c r="F24" i="7"/>
  <c r="G10" i="7" a="1"/>
  <c r="W10" i="7" a="1"/>
  <c r="AQ10" i="7" a="1"/>
  <c r="Q10" i="7" a="1"/>
  <c r="K10" i="7" a="1"/>
  <c r="AC10" i="7" a="1"/>
  <c r="E10" i="7" a="1"/>
  <c r="G4" i="12"/>
  <c r="AE10" i="7" a="1"/>
  <c r="AO10" i="7" a="1"/>
  <c r="S10" i="7" a="1"/>
  <c r="AK10" i="7" a="1"/>
  <c r="Y10" i="7" a="1"/>
  <c r="M10" i="7" a="1"/>
  <c r="AI10" i="7" a="1"/>
  <c r="G3" i="12" l="1"/>
  <c r="AQ10" i="7"/>
  <c r="AO10" i="7"/>
  <c r="AK10" i="7"/>
  <c r="AI10" i="7"/>
  <c r="AE10" i="7"/>
  <c r="AC10" i="7"/>
  <c r="Y10" i="7"/>
  <c r="W10" i="7"/>
  <c r="S10" i="7"/>
  <c r="Q10" i="7"/>
  <c r="M10" i="7"/>
  <c r="K10" i="7"/>
  <c r="G10" i="7"/>
  <c r="E10" i="7"/>
  <c r="P10" i="7" a="1"/>
  <c r="AN10" i="7" a="1"/>
  <c r="AB10" i="7" a="1"/>
  <c r="J10" i="7" a="1"/>
  <c r="AH10" i="7" a="1"/>
  <c r="V10" i="7" a="1"/>
  <c r="D10" i="7" a="1"/>
  <c r="AN10" i="7" l="1"/>
  <c r="AH10" i="7"/>
  <c r="AB10" i="7"/>
  <c r="V10" i="7"/>
  <c r="P10" i="7"/>
  <c r="J10" i="7"/>
  <c r="D10" i="7"/>
  <c r="AN11" i="7" a="1"/>
  <c r="AH11" i="7" a="1"/>
  <c r="D11" i="7" a="1"/>
  <c r="J11" i="7" a="1"/>
  <c r="P11" i="7" a="1"/>
  <c r="V11" i="7" a="1"/>
  <c r="AB11" i="7" a="1"/>
  <c r="AN11" i="7" l="1"/>
  <c r="AH11" i="7"/>
  <c r="AB11" i="7"/>
  <c r="V11" i="7"/>
  <c r="P11" i="7"/>
  <c r="J11" i="7"/>
  <c r="D11" i="7"/>
  <c r="AE23" i="2"/>
  <c r="AE20" i="2"/>
  <c r="AC20" i="2"/>
  <c r="AC19" i="2"/>
  <c r="AE18" i="2"/>
  <c r="AC18" i="2"/>
  <c r="AC17" i="2"/>
  <c r="AE16" i="2"/>
  <c r="AE19" i="2" s="1"/>
  <c r="AC16" i="2"/>
  <c r="AE15" i="2"/>
  <c r="AC15" i="2"/>
  <c r="AE14" i="2"/>
  <c r="AC14" i="2"/>
  <c r="Y23" i="2"/>
  <c r="Y20" i="2"/>
  <c r="W20" i="2"/>
  <c r="W19" i="2"/>
  <c r="Y18" i="2"/>
  <c r="W18" i="2"/>
  <c r="W17" i="2"/>
  <c r="Y16" i="2"/>
  <c r="Y19" i="2" s="1"/>
  <c r="W16" i="2"/>
  <c r="Y15" i="2"/>
  <c r="W15" i="2"/>
  <c r="Y14" i="2"/>
  <c r="W14" i="2"/>
  <c r="S23" i="2"/>
  <c r="S20" i="2"/>
  <c r="Q20" i="2"/>
  <c r="S19" i="2"/>
  <c r="Q19" i="2"/>
  <c r="S18" i="2"/>
  <c r="Q18" i="2"/>
  <c r="Q17" i="2"/>
  <c r="S16" i="2"/>
  <c r="Q16" i="2"/>
  <c r="S15" i="2"/>
  <c r="Q15" i="2"/>
  <c r="S14" i="2"/>
  <c r="Q14" i="2"/>
  <c r="M23" i="2"/>
  <c r="M20" i="2"/>
  <c r="K20" i="2"/>
  <c r="K19" i="2"/>
  <c r="M18" i="2"/>
  <c r="K18" i="2"/>
  <c r="K17" i="2"/>
  <c r="M16" i="2"/>
  <c r="M19" i="2" s="1"/>
  <c r="K16" i="2"/>
  <c r="M15" i="2"/>
  <c r="K15" i="2"/>
  <c r="M14" i="2"/>
  <c r="K14" i="2"/>
  <c r="G23" i="2"/>
  <c r="G20" i="2"/>
  <c r="E20" i="2"/>
  <c r="E19" i="2"/>
  <c r="G18" i="2"/>
  <c r="E18" i="2"/>
  <c r="E17" i="2"/>
  <c r="G16" i="2"/>
  <c r="G19" i="2" s="1"/>
  <c r="E16" i="2"/>
  <c r="G15" i="2"/>
  <c r="E15" i="2"/>
  <c r="G14" i="2"/>
  <c r="E14" i="2"/>
  <c r="X26" i="11"/>
  <c r="Y23" i="11"/>
  <c r="Y20" i="11"/>
  <c r="W20" i="11"/>
  <c r="Y19" i="11"/>
  <c r="W19" i="11"/>
  <c r="Y18" i="11"/>
  <c r="W18" i="11"/>
  <c r="W17" i="11"/>
  <c r="Y16" i="11"/>
  <c r="W16" i="11"/>
  <c r="Y15" i="11"/>
  <c r="W15" i="11"/>
  <c r="Y14" i="11"/>
  <c r="W14" i="11"/>
  <c r="R26" i="11"/>
  <c r="S23" i="11"/>
  <c r="S20" i="11"/>
  <c r="Q20" i="11"/>
  <c r="S19" i="11"/>
  <c r="Q19" i="11"/>
  <c r="S18" i="11"/>
  <c r="Q18" i="11"/>
  <c r="Q17" i="11"/>
  <c r="S16" i="11"/>
  <c r="Q16" i="11"/>
  <c r="S15" i="11"/>
  <c r="Q15" i="11"/>
  <c r="S14" i="11"/>
  <c r="Q14" i="11"/>
  <c r="M23" i="11"/>
  <c r="M20" i="11"/>
  <c r="K20" i="11"/>
  <c r="M19" i="11"/>
  <c r="K19" i="11"/>
  <c r="M18" i="11"/>
  <c r="K18" i="11"/>
  <c r="K17" i="11"/>
  <c r="M16" i="11"/>
  <c r="K16" i="11"/>
  <c r="M15" i="11"/>
  <c r="K15" i="11"/>
  <c r="M14" i="11"/>
  <c r="K14" i="11"/>
  <c r="G23" i="11"/>
  <c r="G20" i="11"/>
  <c r="E20" i="11"/>
  <c r="G19" i="11"/>
  <c r="E19" i="11"/>
  <c r="G18" i="11"/>
  <c r="E18" i="11"/>
  <c r="E17" i="11"/>
  <c r="G16" i="11"/>
  <c r="E16" i="11"/>
  <c r="G15" i="11"/>
  <c r="E15" i="11"/>
  <c r="G14" i="11"/>
  <c r="E14" i="11"/>
  <c r="E24" i="11"/>
  <c r="V24" i="11"/>
  <c r="K24" i="2"/>
  <c r="P24" i="11"/>
  <c r="J24" i="11"/>
  <c r="J24" i="2"/>
  <c r="AC24" i="2"/>
  <c r="V11" i="11" a="1"/>
  <c r="P24" i="2"/>
  <c r="K24" i="11"/>
  <c r="S11" i="7" a="1"/>
  <c r="P11" i="11" a="1"/>
  <c r="W24" i="2"/>
  <c r="D24" i="2"/>
  <c r="J11" i="11" a="1"/>
  <c r="AB24" i="2"/>
  <c r="W24" i="11"/>
  <c r="G11" i="7" a="1"/>
  <c r="M11" i="7" a="1"/>
  <c r="Y11" i="11" a="1"/>
  <c r="E24" i="2"/>
  <c r="M11" i="11" a="1"/>
  <c r="AE11" i="7" a="1"/>
  <c r="AB11" i="2" a="1"/>
  <c r="Y11" i="7" a="1"/>
  <c r="AK11" i="7" a="1"/>
  <c r="V24" i="2"/>
  <c r="Q24" i="2"/>
  <c r="AQ11" i="7" a="1"/>
  <c r="AE11" i="2" a="1"/>
  <c r="D24" i="11"/>
  <c r="S11" i="11" a="1"/>
  <c r="Q24" i="11"/>
  <c r="AQ11" i="7" l="1"/>
  <c r="AK11" i="7"/>
  <c r="AE11" i="7"/>
  <c r="Y11" i="7"/>
  <c r="S11" i="7"/>
  <c r="M11" i="7"/>
  <c r="G11" i="7"/>
  <c r="AD24" i="2"/>
  <c r="X24" i="2"/>
  <c r="R24" i="2"/>
  <c r="L24" i="2"/>
  <c r="F24" i="2"/>
  <c r="AB11" i="2"/>
  <c r="AE11" i="2"/>
  <c r="X24" i="11"/>
  <c r="W7" i="11" s="1"/>
  <c r="Y11" i="11"/>
  <c r="V11" i="11"/>
  <c r="S11" i="11"/>
  <c r="R24" i="11"/>
  <c r="Q7" i="11" s="1"/>
  <c r="P11" i="11"/>
  <c r="M11" i="11"/>
  <c r="L24" i="11"/>
  <c r="K7" i="11" s="1"/>
  <c r="J11" i="11"/>
  <c r="F24" i="11"/>
  <c r="B27" i="19"/>
  <c r="B26" i="19"/>
  <c r="B25" i="19"/>
  <c r="B24" i="19"/>
  <c r="B23" i="19"/>
  <c r="B22" i="19"/>
  <c r="B21" i="19"/>
  <c r="B20" i="19"/>
  <c r="G10" i="11" a="1"/>
  <c r="Q10" i="11" a="1"/>
  <c r="K7" i="18" a="1"/>
  <c r="K27" i="18" a="1"/>
  <c r="E11" i="18" a="1"/>
  <c r="K23" i="18" a="1"/>
  <c r="AC10" i="2" a="1"/>
  <c r="W10" i="2" a="1"/>
  <c r="K31" i="18" a="1"/>
  <c r="O7" i="18" a="1"/>
  <c r="K10" i="2" a="1"/>
  <c r="Y10" i="11" a="1"/>
  <c r="G19" i="18" a="1"/>
  <c r="M10" i="2" a="1"/>
  <c r="W10" i="11" a="1"/>
  <c r="G31" i="18" a="1"/>
  <c r="G27" i="18" a="1"/>
  <c r="I31" i="18" a="1"/>
  <c r="M15" i="18" a="1"/>
  <c r="E10" i="11" a="1"/>
  <c r="G23" i="18" a="1"/>
  <c r="AE10" i="2" a="1"/>
  <c r="I23" i="18" a="1"/>
  <c r="E19" i="18" a="1"/>
  <c r="M7" i="18" a="1"/>
  <c r="M19" i="18" a="1"/>
  <c r="M10" i="11" a="1"/>
  <c r="I15" i="18" a="1"/>
  <c r="I35" i="18" a="1"/>
  <c r="E27" i="18" a="1"/>
  <c r="M31" i="18" a="1"/>
  <c r="E35" i="18" a="1"/>
  <c r="G11" i="18" a="1"/>
  <c r="Y10" i="2" a="1"/>
  <c r="I7" i="18" a="1"/>
  <c r="G10" i="2" a="1"/>
  <c r="G35" i="18" a="1"/>
  <c r="Q10" i="2" a="1"/>
  <c r="G15" i="18" a="1"/>
  <c r="O23" i="18" a="1"/>
  <c r="M23" i="18" a="1"/>
  <c r="K15" i="18" a="1"/>
  <c r="K10" i="11" a="1"/>
  <c r="E23" i="18" a="1"/>
  <c r="S10" i="2" a="1"/>
  <c r="E15" i="18" a="1"/>
  <c r="E31" i="18" a="1"/>
  <c r="S10" i="11" a="1"/>
  <c r="K11" i="18" a="1"/>
  <c r="G4" i="7"/>
  <c r="K19" i="18" a="1"/>
  <c r="Q23" i="18" a="1"/>
  <c r="I19" i="18" a="1"/>
  <c r="K35" i="18" a="1"/>
  <c r="I11" i="18" a="1"/>
  <c r="I27" i="18" a="1"/>
  <c r="G7" i="18" a="1"/>
  <c r="M11" i="18" a="1"/>
  <c r="E10" i="2" a="1"/>
  <c r="O27" i="18" a="1"/>
  <c r="M27" i="18" a="1"/>
  <c r="G3" i="7" l="1"/>
  <c r="AE10" i="2"/>
  <c r="AC10" i="2"/>
  <c r="Y10" i="2"/>
  <c r="W10" i="2"/>
  <c r="S10" i="2"/>
  <c r="Q10" i="2"/>
  <c r="M10" i="2"/>
  <c r="K10" i="2"/>
  <c r="G10" i="2"/>
  <c r="E10" i="2"/>
  <c r="W10" i="11"/>
  <c r="Y10" i="11"/>
  <c r="S10" i="11"/>
  <c r="Q10" i="11"/>
  <c r="K10" i="11"/>
  <c r="M10" i="11"/>
  <c r="G10" i="11"/>
  <c r="E10" i="11"/>
  <c r="E35" i="18"/>
  <c r="G7" i="18"/>
  <c r="I7" i="18"/>
  <c r="K7" i="18"/>
  <c r="M7" i="18"/>
  <c r="O7" i="18"/>
  <c r="E11" i="18"/>
  <c r="G11" i="18"/>
  <c r="I11" i="18"/>
  <c r="K11" i="18"/>
  <c r="M11" i="18"/>
  <c r="E15" i="18"/>
  <c r="G15" i="18"/>
  <c r="I15" i="18"/>
  <c r="K15" i="18"/>
  <c r="M15" i="18"/>
  <c r="E19" i="18"/>
  <c r="G19" i="18"/>
  <c r="I19" i="18"/>
  <c r="K19" i="18"/>
  <c r="M19" i="18"/>
  <c r="E23" i="18"/>
  <c r="G23" i="18"/>
  <c r="I23" i="18"/>
  <c r="K23" i="18"/>
  <c r="M23" i="18"/>
  <c r="O23" i="18"/>
  <c r="Q23" i="18"/>
  <c r="E27" i="18"/>
  <c r="G27" i="18"/>
  <c r="I27" i="18"/>
  <c r="K27" i="18"/>
  <c r="M27" i="18"/>
  <c r="O27" i="18"/>
  <c r="G31" i="18"/>
  <c r="E31" i="18"/>
  <c r="I35" i="18"/>
  <c r="G35" i="18"/>
  <c r="I31" i="18"/>
  <c r="K31" i="18"/>
  <c r="M31" i="18"/>
  <c r="K35" i="18"/>
  <c r="AB10" i="2" a="1"/>
  <c r="D10" i="11" a="1"/>
  <c r="P10" i="11" a="1"/>
  <c r="J10" i="11" a="1"/>
  <c r="J10" i="2" a="1"/>
  <c r="D10" i="2" a="1"/>
  <c r="V10" i="2" a="1"/>
  <c r="P10" i="2" a="1"/>
  <c r="V10" i="11" a="1"/>
  <c r="AB10" i="2" l="1"/>
  <c r="V10" i="2"/>
  <c r="P10" i="2"/>
  <c r="J10" i="2"/>
  <c r="D10" i="2"/>
  <c r="V10" i="11"/>
  <c r="P10" i="11"/>
  <c r="J10" i="11"/>
  <c r="D10" i="11"/>
  <c r="C32" i="18"/>
  <c r="C28" i="18"/>
  <c r="C24" i="18"/>
  <c r="C20" i="18"/>
  <c r="C16" i="18"/>
  <c r="C12" i="18"/>
  <c r="C8" i="18"/>
  <c r="C4" i="18"/>
  <c r="F77" i="23"/>
  <c r="F70" i="23"/>
  <c r="F68" i="23"/>
  <c r="G20" i="23"/>
  <c r="D66" i="23"/>
  <c r="U18" i="15"/>
  <c r="O22" i="19"/>
  <c r="T18" i="15"/>
  <c r="D11" i="11" a="1"/>
  <c r="P11" i="2" a="1"/>
  <c r="J11" i="2" a="1"/>
  <c r="V11" i="2" a="1"/>
  <c r="E66" i="23"/>
  <c r="D11" i="2" a="1"/>
  <c r="V11" i="2" l="1"/>
  <c r="P11" i="2"/>
  <c r="J11" i="2"/>
  <c r="D11" i="2"/>
  <c r="D11" i="11"/>
  <c r="U19" i="15"/>
  <c r="F66" i="23"/>
  <c r="W14" i="22"/>
  <c r="AC14" i="22"/>
  <c r="AE14" i="22"/>
  <c r="AC15" i="22"/>
  <c r="AE15" i="22"/>
  <c r="AC16" i="22"/>
  <c r="AE16" i="22"/>
  <c r="AC17" i="22"/>
  <c r="AC18" i="22"/>
  <c r="AE18" i="22"/>
  <c r="AC19" i="22"/>
  <c r="AE19" i="22"/>
  <c r="Y20" i="22"/>
  <c r="AC20" i="22"/>
  <c r="AE20" i="22"/>
  <c r="AE23" i="22"/>
  <c r="X26" i="22"/>
  <c r="AD26" i="22"/>
  <c r="X27" i="22"/>
  <c r="AD27" i="22"/>
  <c r="X28" i="22"/>
  <c r="AD28" i="22"/>
  <c r="X29" i="22"/>
  <c r="AD29" i="22"/>
  <c r="X30" i="22"/>
  <c r="AD30" i="22"/>
  <c r="X31" i="22"/>
  <c r="AD31" i="22"/>
  <c r="AD32" i="22"/>
  <c r="AD33" i="22"/>
  <c r="AD34" i="22"/>
  <c r="AD35" i="22"/>
  <c r="Q14" i="22"/>
  <c r="S14" i="22"/>
  <c r="Q15" i="22"/>
  <c r="S15" i="22"/>
  <c r="Q16" i="22"/>
  <c r="S16" i="22"/>
  <c r="Q17" i="22"/>
  <c r="Q18" i="22"/>
  <c r="S18" i="22"/>
  <c r="Q19" i="22"/>
  <c r="S19" i="22"/>
  <c r="Q20" i="22"/>
  <c r="S20" i="22"/>
  <c r="R26" i="22"/>
  <c r="R27" i="22"/>
  <c r="R28" i="22"/>
  <c r="R29" i="22"/>
  <c r="R30" i="22"/>
  <c r="R31" i="22"/>
  <c r="R32" i="22"/>
  <c r="R33" i="22"/>
  <c r="R34" i="22"/>
  <c r="R35" i="22"/>
  <c r="M20" i="22"/>
  <c r="L26" i="22"/>
  <c r="L27" i="22"/>
  <c r="L28" i="22"/>
  <c r="L29" i="22"/>
  <c r="S11" i="2" a="1"/>
  <c r="M11" i="2" a="1"/>
  <c r="Y11" i="2" a="1"/>
  <c r="G11" i="2" a="1"/>
  <c r="E10" i="23" a="1"/>
  <c r="G10" i="23" a="1"/>
  <c r="G11" i="11" a="1"/>
  <c r="E10" i="23" l="1"/>
  <c r="Y11" i="2"/>
  <c r="S11" i="2"/>
  <c r="M11" i="2"/>
  <c r="G11" i="2"/>
  <c r="G11" i="11"/>
  <c r="G10" i="23"/>
  <c r="E7" i="23"/>
  <c r="AD24" i="22"/>
  <c r="X24" i="22"/>
  <c r="L24" i="22"/>
  <c r="Q24" i="21"/>
  <c r="Y10" i="22" a="1"/>
  <c r="M10" i="22" a="1"/>
  <c r="G4" i="11"/>
  <c r="K10" i="22" a="1"/>
  <c r="D10" i="23" a="1"/>
  <c r="W10" i="22" a="1"/>
  <c r="Q10" i="22" a="1"/>
  <c r="S10" i="22" a="1"/>
  <c r="AE10" i="22" a="1"/>
  <c r="AC10" i="22" a="1"/>
  <c r="G4" i="2"/>
  <c r="P43" i="21"/>
  <c r="M10" i="22" l="1"/>
  <c r="W10" i="22"/>
  <c r="K10" i="22"/>
  <c r="D10" i="23"/>
  <c r="G3" i="2"/>
  <c r="Y10" i="22"/>
  <c r="AE10" i="22"/>
  <c r="AC10" i="22"/>
  <c r="W7" i="22"/>
  <c r="AC7" i="22"/>
  <c r="S10" i="22"/>
  <c r="Q10" i="22"/>
  <c r="Q7" i="22"/>
  <c r="S23" i="21"/>
  <c r="AB10" i="22" a="1"/>
  <c r="D11" i="23" a="1"/>
  <c r="F11" i="15"/>
  <c r="J10" i="22" a="1"/>
  <c r="P10" i="22" a="1"/>
  <c r="E11" i="15"/>
  <c r="V18" i="15"/>
  <c r="V10" i="22" a="1"/>
  <c r="F14" i="15" l="1"/>
  <c r="D11" i="23"/>
  <c r="V10" i="22"/>
  <c r="AB10" i="22"/>
  <c r="P10" i="22"/>
  <c r="J10" i="22"/>
  <c r="R24" i="21"/>
  <c r="AK23" i="21"/>
  <c r="AK36" i="21"/>
  <c r="AK43" i="21"/>
  <c r="AK50" i="21"/>
  <c r="L51" i="21"/>
  <c r="Y19" i="21"/>
  <c r="S19" i="21"/>
  <c r="M19" i="21"/>
  <c r="G19" i="21"/>
  <c r="Y60" i="21"/>
  <c r="X63" i="21"/>
  <c r="Y132" i="21"/>
  <c r="Y125" i="21"/>
  <c r="J11" i="22" a="1"/>
  <c r="V133" i="21"/>
  <c r="V11" i="22" a="1"/>
  <c r="W18" i="15"/>
  <c r="G11" i="23" a="1"/>
  <c r="W61" i="21"/>
  <c r="AB11" i="22" a="1"/>
  <c r="V61" i="21"/>
  <c r="P11" i="22" a="1"/>
  <c r="G11" i="23" l="1"/>
  <c r="AB11" i="22"/>
  <c r="V11" i="22"/>
  <c r="P11" i="22"/>
  <c r="J11" i="22"/>
  <c r="X61" i="21"/>
  <c r="G4" i="23"/>
  <c r="X18" i="15"/>
  <c r="M11" i="22" a="1"/>
  <c r="Y11" i="22" a="1"/>
  <c r="S11" i="22" a="1"/>
  <c r="AE11" i="22" a="1"/>
  <c r="G3" i="23" l="1"/>
  <c r="Y11" i="22"/>
  <c r="AE11" i="22"/>
  <c r="S11" i="22"/>
  <c r="M11" i="22"/>
  <c r="G19" i="1"/>
  <c r="AK19" i="21"/>
  <c r="K14" i="21"/>
  <c r="E19" i="21"/>
  <c r="E14" i="21"/>
  <c r="AJ53" i="21"/>
  <c r="AJ46" i="21"/>
  <c r="AJ39" i="21"/>
  <c r="AJ32" i="21"/>
  <c r="AJ31" i="21"/>
  <c r="AJ30" i="21"/>
  <c r="AJ29" i="21"/>
  <c r="AJ28" i="21"/>
  <c r="AJ27" i="21"/>
  <c r="AJ26" i="21"/>
  <c r="AE43" i="21"/>
  <c r="AE90" i="21"/>
  <c r="AE97" i="21"/>
  <c r="AE104" i="21"/>
  <c r="AE111" i="21"/>
  <c r="AE118" i="21"/>
  <c r="AE125" i="21"/>
  <c r="AE132" i="21"/>
  <c r="AE139" i="21"/>
  <c r="AD142" i="21"/>
  <c r="AD135" i="21"/>
  <c r="AD128" i="21"/>
  <c r="AD121" i="21"/>
  <c r="AD114" i="21"/>
  <c r="AD107" i="21"/>
  <c r="AD100" i="21"/>
  <c r="AD93" i="21"/>
  <c r="AE74" i="21"/>
  <c r="AD86" i="21"/>
  <c r="AD85" i="21"/>
  <c r="AD84" i="21"/>
  <c r="AD83" i="21"/>
  <c r="AD82" i="21"/>
  <c r="AD81" i="21"/>
  <c r="AD80" i="21"/>
  <c r="AD79" i="21"/>
  <c r="AD78" i="21"/>
  <c r="AD77" i="21"/>
  <c r="AE23" i="21"/>
  <c r="AD70" i="21"/>
  <c r="AD69" i="21"/>
  <c r="AD68" i="21"/>
  <c r="AD67" i="21"/>
  <c r="AD66" i="21"/>
  <c r="AD65" i="21"/>
  <c r="AD64" i="21"/>
  <c r="AD63" i="21"/>
  <c r="AD62" i="21"/>
  <c r="AD61" i="21"/>
  <c r="AD60" i="21"/>
  <c r="AD59" i="21"/>
  <c r="AD58" i="21"/>
  <c r="AD57" i="21"/>
  <c r="AD56" i="21"/>
  <c r="AD55" i="21"/>
  <c r="AD54" i="21"/>
  <c r="AD53" i="21"/>
  <c r="AD52" i="21"/>
  <c r="AD51" i="21"/>
  <c r="AD50" i="21"/>
  <c r="AD49" i="21"/>
  <c r="AD48" i="21"/>
  <c r="AD47" i="21"/>
  <c r="AD46" i="21"/>
  <c r="AD39" i="21"/>
  <c r="AD38" i="21"/>
  <c r="AD37" i="21"/>
  <c r="AD36" i="21"/>
  <c r="AD35" i="21"/>
  <c r="AD34" i="21"/>
  <c r="AD33" i="21"/>
  <c r="AD32" i="21"/>
  <c r="AD31" i="21"/>
  <c r="AD30" i="21"/>
  <c r="AD29" i="21"/>
  <c r="AD28" i="21"/>
  <c r="AD27" i="21"/>
  <c r="AD26" i="21"/>
  <c r="Y23" i="21"/>
  <c r="X128" i="21"/>
  <c r="Y50" i="21"/>
  <c r="X135" i="21"/>
  <c r="X56" i="21"/>
  <c r="X55" i="21"/>
  <c r="X54" i="21"/>
  <c r="X53" i="21"/>
  <c r="Y40" i="21"/>
  <c r="X46" i="21"/>
  <c r="X45" i="21"/>
  <c r="X44" i="21"/>
  <c r="X43" i="21"/>
  <c r="X36" i="21"/>
  <c r="X35" i="21"/>
  <c r="X34" i="21"/>
  <c r="X33" i="21"/>
  <c r="X32" i="21"/>
  <c r="X31" i="21"/>
  <c r="X30" i="21"/>
  <c r="X29" i="21"/>
  <c r="X28" i="21"/>
  <c r="X27" i="21"/>
  <c r="X26" i="21"/>
  <c r="S42" i="21"/>
  <c r="S35" i="21"/>
  <c r="R45" i="21"/>
  <c r="R38" i="21"/>
  <c r="R31" i="21"/>
  <c r="R30" i="21"/>
  <c r="R29" i="21"/>
  <c r="R28" i="21"/>
  <c r="R27" i="21"/>
  <c r="R26" i="21"/>
  <c r="L59" i="21"/>
  <c r="L58" i="21"/>
  <c r="M34" i="21"/>
  <c r="M23" i="21"/>
  <c r="L50" i="21"/>
  <c r="L49" i="21"/>
  <c r="L48" i="21"/>
  <c r="L47" i="21"/>
  <c r="L37" i="21"/>
  <c r="L40" i="21"/>
  <c r="L39" i="21"/>
  <c r="L38" i="21"/>
  <c r="L30" i="21"/>
  <c r="L29" i="21"/>
  <c r="L28" i="21"/>
  <c r="L27" i="21"/>
  <c r="L26" i="21"/>
  <c r="G23" i="21"/>
  <c r="F31" i="21"/>
  <c r="F30" i="21"/>
  <c r="F29" i="21"/>
  <c r="F28" i="21"/>
  <c r="F27" i="21"/>
  <c r="F26" i="21"/>
  <c r="F49" i="21"/>
  <c r="F48" i="21"/>
  <c r="F47" i="21"/>
  <c r="E40" i="21"/>
  <c r="F40" i="21" s="1"/>
  <c r="E39" i="21"/>
  <c r="F39" i="21" s="1"/>
  <c r="E38" i="21"/>
  <c r="F38" i="21" s="1"/>
  <c r="G44" i="21"/>
  <c r="G35" i="21"/>
  <c r="AE14" i="21"/>
  <c r="AI14" i="21"/>
  <c r="AK14" i="21"/>
  <c r="AE15" i="21"/>
  <c r="AI15" i="21"/>
  <c r="AK15" i="21"/>
  <c r="AE16" i="21"/>
  <c r="AI16" i="21"/>
  <c r="AK16" i="21"/>
  <c r="AI17" i="21"/>
  <c r="AE18" i="21"/>
  <c r="AI18" i="21"/>
  <c r="AK18" i="21"/>
  <c r="AI19" i="21"/>
  <c r="S20" i="21"/>
  <c r="Y20" i="21"/>
  <c r="AE20" i="21"/>
  <c r="AI20" i="21"/>
  <c r="AK20" i="21"/>
  <c r="M20" i="21"/>
  <c r="M18" i="21"/>
  <c r="M16" i="21"/>
  <c r="M15" i="21"/>
  <c r="M14" i="21"/>
  <c r="G20" i="21"/>
  <c r="G23" i="1"/>
  <c r="AI51" i="21"/>
  <c r="AI24" i="21"/>
  <c r="AC112" i="21"/>
  <c r="D36" i="21"/>
  <c r="K45" i="21"/>
  <c r="Q43" i="21"/>
  <c r="K35" i="21"/>
  <c r="AB98" i="21"/>
  <c r="E36" i="21"/>
  <c r="J24" i="21"/>
  <c r="V51" i="21"/>
  <c r="W41" i="21"/>
  <c r="W24" i="21"/>
  <c r="AB126" i="21"/>
  <c r="W133" i="21"/>
  <c r="AC140" i="21"/>
  <c r="J35" i="21"/>
  <c r="AB91" i="21"/>
  <c r="W51" i="21"/>
  <c r="AC75" i="21"/>
  <c r="AH51" i="21"/>
  <c r="W126" i="21"/>
  <c r="AB140" i="21"/>
  <c r="AC24" i="21"/>
  <c r="AB133" i="21"/>
  <c r="AC133" i="21"/>
  <c r="J56" i="21"/>
  <c r="AH44" i="21"/>
  <c r="V126" i="21"/>
  <c r="AC91" i="21"/>
  <c r="K24" i="21"/>
  <c r="P36" i="21"/>
  <c r="AC44" i="21"/>
  <c r="AH37" i="21"/>
  <c r="AB105" i="21"/>
  <c r="AB44" i="21"/>
  <c r="V24" i="21"/>
  <c r="X19" i="15"/>
  <c r="K56" i="21"/>
  <c r="AH24" i="21"/>
  <c r="AC98" i="21"/>
  <c r="E45" i="21"/>
  <c r="AI44" i="21"/>
  <c r="AC126" i="21"/>
  <c r="J45" i="21"/>
  <c r="W19" i="15"/>
  <c r="V41" i="21"/>
  <c r="AB112" i="21"/>
  <c r="AC105" i="21"/>
  <c r="AB119" i="21"/>
  <c r="AB75" i="21"/>
  <c r="AB24" i="21"/>
  <c r="Q36" i="21"/>
  <c r="AC119" i="21"/>
  <c r="AI37" i="21"/>
  <c r="D45" i="21"/>
  <c r="AJ51" i="21" l="1"/>
  <c r="AJ44" i="21"/>
  <c r="AJ37" i="21"/>
  <c r="AJ24" i="21"/>
  <c r="AD140" i="21"/>
  <c r="AD133" i="21"/>
  <c r="AD126" i="21"/>
  <c r="AD119" i="21"/>
  <c r="AD112" i="21"/>
  <c r="AD105" i="21"/>
  <c r="AD98" i="21"/>
  <c r="AD91" i="21"/>
  <c r="AD75" i="21"/>
  <c r="AD44" i="21"/>
  <c r="AD24" i="21"/>
  <c r="X133" i="21"/>
  <c r="X126" i="21"/>
  <c r="X51" i="21"/>
  <c r="X41" i="21"/>
  <c r="X24" i="21"/>
  <c r="R43" i="21"/>
  <c r="R36" i="21"/>
  <c r="L56" i="21"/>
  <c r="L45" i="21"/>
  <c r="L35" i="21"/>
  <c r="L24" i="21"/>
  <c r="F45" i="21"/>
  <c r="F36" i="21"/>
  <c r="F35" i="1"/>
  <c r="F34" i="1"/>
  <c r="F33" i="1"/>
  <c r="F32" i="1"/>
  <c r="F31" i="1"/>
  <c r="F30" i="1"/>
  <c r="F29" i="1"/>
  <c r="F28" i="1"/>
  <c r="F27" i="1"/>
  <c r="F26" i="1"/>
  <c r="G20" i="1"/>
  <c r="E20" i="1"/>
  <c r="E19" i="1"/>
  <c r="G18" i="1"/>
  <c r="E18" i="1"/>
  <c r="E17" i="1"/>
  <c r="G16" i="1"/>
  <c r="E16" i="1"/>
  <c r="G15" i="1"/>
  <c r="E15" i="1"/>
  <c r="G14" i="1"/>
  <c r="E14" i="1"/>
  <c r="F26" i="14"/>
  <c r="R70" i="4"/>
  <c r="R63" i="4"/>
  <c r="R62" i="4"/>
  <c r="R61" i="4"/>
  <c r="R60" i="4"/>
  <c r="AJ58" i="4"/>
  <c r="AH57" i="4"/>
  <c r="AJ57" i="4" s="1"/>
  <c r="R53" i="4"/>
  <c r="R52" i="4"/>
  <c r="R51" i="4"/>
  <c r="AJ50" i="4"/>
  <c r="R50" i="4"/>
  <c r="L51" i="4"/>
  <c r="AJ49" i="4"/>
  <c r="R49" i="4"/>
  <c r="AJ48" i="4"/>
  <c r="R48" i="4"/>
  <c r="AJ47" i="4"/>
  <c r="R47" i="4"/>
  <c r="AJ46" i="4"/>
  <c r="R46" i="4"/>
  <c r="R45" i="4"/>
  <c r="R44" i="4"/>
  <c r="L44" i="4"/>
  <c r="R43" i="4"/>
  <c r="L43" i="4"/>
  <c r="L42" i="4"/>
  <c r="AJ39" i="4"/>
  <c r="AD39" i="4"/>
  <c r="X39" i="4"/>
  <c r="AJ38" i="4"/>
  <c r="AD38" i="4"/>
  <c r="X38" i="4"/>
  <c r="AJ37" i="4"/>
  <c r="AD37" i="4"/>
  <c r="X37" i="4"/>
  <c r="AJ36" i="4"/>
  <c r="AD36" i="4"/>
  <c r="X36" i="4"/>
  <c r="R36" i="4"/>
  <c r="AJ35" i="4"/>
  <c r="AD35" i="4"/>
  <c r="X35" i="4"/>
  <c r="R35" i="4"/>
  <c r="L35" i="4"/>
  <c r="AJ34" i="4"/>
  <c r="AD34" i="4"/>
  <c r="X34" i="4"/>
  <c r="R34" i="4"/>
  <c r="L34" i="4"/>
  <c r="AJ33" i="4"/>
  <c r="AD33" i="4"/>
  <c r="X33" i="4"/>
  <c r="R33" i="4"/>
  <c r="L33" i="4"/>
  <c r="AJ32" i="4"/>
  <c r="AD32" i="4"/>
  <c r="X32" i="4"/>
  <c r="R32" i="4"/>
  <c r="L32" i="4"/>
  <c r="AJ31" i="4"/>
  <c r="AD31" i="4"/>
  <c r="X31" i="4"/>
  <c r="R31" i="4"/>
  <c r="L31" i="4"/>
  <c r="AJ30" i="4"/>
  <c r="AD30" i="4"/>
  <c r="X30" i="4"/>
  <c r="R30" i="4"/>
  <c r="L30" i="4"/>
  <c r="AJ29" i="4"/>
  <c r="AD29" i="4"/>
  <c r="X29" i="4"/>
  <c r="R29" i="4"/>
  <c r="L29" i="4"/>
  <c r="AJ28" i="4"/>
  <c r="AD28" i="4"/>
  <c r="X28" i="4"/>
  <c r="R28" i="4"/>
  <c r="L28" i="4"/>
  <c r="AJ27" i="4"/>
  <c r="AD27" i="4"/>
  <c r="X27" i="4"/>
  <c r="R27" i="4"/>
  <c r="L27" i="4"/>
  <c r="AJ26" i="4"/>
  <c r="AD26" i="4"/>
  <c r="X26" i="4"/>
  <c r="R26" i="4"/>
  <c r="L26" i="4"/>
  <c r="AJ84" i="3"/>
  <c r="AJ77" i="3"/>
  <c r="AJ70" i="3"/>
  <c r="AJ63" i="3"/>
  <c r="AH62" i="3"/>
  <c r="L59" i="3"/>
  <c r="L58" i="3"/>
  <c r="L57" i="3"/>
  <c r="AJ55" i="3"/>
  <c r="AH54" i="3"/>
  <c r="R54" i="3"/>
  <c r="X53" i="3"/>
  <c r="R53" i="3"/>
  <c r="X52" i="3"/>
  <c r="R52" i="3"/>
  <c r="R51" i="3"/>
  <c r="L50" i="3"/>
  <c r="R50" i="3"/>
  <c r="L49" i="3"/>
  <c r="R49" i="3"/>
  <c r="L48" i="3"/>
  <c r="AJ47" i="3"/>
  <c r="R48" i="3"/>
  <c r="L47" i="3"/>
  <c r="AJ46" i="3"/>
  <c r="R47" i="3"/>
  <c r="L46" i="3"/>
  <c r="X45" i="3"/>
  <c r="R46" i="3"/>
  <c r="L45" i="3"/>
  <c r="X44" i="3"/>
  <c r="R45" i="3"/>
  <c r="L44" i="3"/>
  <c r="L43" i="3"/>
  <c r="F43" i="3"/>
  <c r="L42" i="3"/>
  <c r="F42" i="3"/>
  <c r="F41" i="3"/>
  <c r="AJ38" i="3"/>
  <c r="AJ37" i="3"/>
  <c r="X37" i="3"/>
  <c r="R38" i="3"/>
  <c r="AJ36" i="3"/>
  <c r="X36" i="3"/>
  <c r="R37" i="3"/>
  <c r="AJ35" i="3"/>
  <c r="X35" i="3"/>
  <c r="R36" i="3"/>
  <c r="AJ34" i="3"/>
  <c r="X34" i="3"/>
  <c r="R35" i="3"/>
  <c r="AJ33" i="3"/>
  <c r="X33" i="3"/>
  <c r="AJ32" i="3"/>
  <c r="X32" i="3"/>
  <c r="AJ31" i="3"/>
  <c r="X31" i="3"/>
  <c r="AJ30" i="3"/>
  <c r="X30" i="3"/>
  <c r="AP29" i="3"/>
  <c r="AJ29" i="3"/>
  <c r="AD29" i="3"/>
  <c r="X29" i="3"/>
  <c r="AP28" i="3"/>
  <c r="AJ28" i="3"/>
  <c r="AD28" i="3"/>
  <c r="X28" i="3"/>
  <c r="R28" i="3"/>
  <c r="AP27" i="3"/>
  <c r="AJ27" i="3"/>
  <c r="AD27" i="3"/>
  <c r="X27" i="3"/>
  <c r="R27" i="3"/>
  <c r="AP26" i="3"/>
  <c r="AJ26" i="3"/>
  <c r="AD26" i="3"/>
  <c r="X26" i="3"/>
  <c r="R26" i="3"/>
  <c r="F26" i="13"/>
  <c r="E7" i="13" s="1"/>
  <c r="AJ26" i="9"/>
  <c r="AD26" i="9"/>
  <c r="X26" i="9"/>
  <c r="R26" i="9"/>
  <c r="L26" i="9"/>
  <c r="F26" i="9"/>
  <c r="E7" i="9" s="1"/>
  <c r="AJ26" i="8"/>
  <c r="AD26" i="8"/>
  <c r="X26" i="8"/>
  <c r="R26" i="8"/>
  <c r="L26" i="8"/>
  <c r="F26" i="8"/>
  <c r="E7" i="8" s="1"/>
  <c r="F26" i="12"/>
  <c r="E7" i="12" s="1"/>
  <c r="AP26" i="7"/>
  <c r="AJ26" i="7"/>
  <c r="AD26" i="7"/>
  <c r="X26" i="7"/>
  <c r="R26" i="7"/>
  <c r="L26" i="7"/>
  <c r="F26" i="7"/>
  <c r="E7" i="7" s="1"/>
  <c r="K7" i="2"/>
  <c r="AD26" i="2"/>
  <c r="AC7" i="2" s="1"/>
  <c r="X26" i="2"/>
  <c r="W7" i="2" s="1"/>
  <c r="R26" i="2"/>
  <c r="Q7" i="2" s="1"/>
  <c r="L26" i="2"/>
  <c r="F26" i="2"/>
  <c r="E7" i="2" s="1"/>
  <c r="L26" i="11"/>
  <c r="F26" i="11"/>
  <c r="E7" i="11" s="1"/>
  <c r="AH52" i="3"/>
  <c r="AC10" i="4" a="1"/>
  <c r="Y10" i="4" a="1"/>
  <c r="S10" i="3" a="1"/>
  <c r="Q10" i="3" a="1"/>
  <c r="W10" i="4" a="1"/>
  <c r="AQ10" i="3" a="1"/>
  <c r="Y10" i="3" a="1"/>
  <c r="AH60" i="3"/>
  <c r="W10" i="3" a="1"/>
  <c r="AH55" i="4"/>
  <c r="AE10" i="3" a="1"/>
  <c r="AE10" i="4" a="1"/>
  <c r="W7" i="3" l="1"/>
  <c r="AE10" i="4"/>
  <c r="AC10" i="4"/>
  <c r="Y10" i="4"/>
  <c r="W10" i="4"/>
  <c r="AJ55" i="4"/>
  <c r="AC7" i="3"/>
  <c r="Q7" i="3"/>
  <c r="AO7" i="3"/>
  <c r="K7" i="3"/>
  <c r="AE10" i="3"/>
  <c r="AJ60" i="3"/>
  <c r="AJ52" i="3"/>
  <c r="Y10" i="3"/>
  <c r="W10" i="3"/>
  <c r="Q10" i="3"/>
  <c r="S10" i="3"/>
  <c r="AJ62" i="3"/>
  <c r="AQ10" i="3"/>
  <c r="AJ54" i="3"/>
  <c r="E7" i="22"/>
  <c r="AK10" i="4" a="1"/>
  <c r="AB10" i="4" a="1"/>
  <c r="AI10" i="3" a="1"/>
  <c r="V10" i="3" a="1"/>
  <c r="E10" i="3" a="1"/>
  <c r="V10" i="4" a="1"/>
  <c r="AK10" i="3" a="1"/>
  <c r="P10" i="3" a="1"/>
  <c r="AO10" i="3" a="1"/>
  <c r="AI10" i="4" a="1"/>
  <c r="AB10" i="4" l="1"/>
  <c r="V10" i="4"/>
  <c r="AK10" i="4"/>
  <c r="AI10" i="4"/>
  <c r="E10" i="3"/>
  <c r="E7" i="3"/>
  <c r="AI7" i="3"/>
  <c r="AK10" i="3"/>
  <c r="P10" i="3"/>
  <c r="V10" i="3"/>
  <c r="AO10" i="3"/>
  <c r="AI10" i="3"/>
  <c r="W7" i="21"/>
  <c r="AI7" i="21"/>
  <c r="Q7" i="21"/>
  <c r="AC7" i="21"/>
  <c r="K7" i="21"/>
  <c r="F19" i="15"/>
  <c r="AA10" i="15"/>
  <c r="O22" i="15"/>
  <c r="B8" i="15"/>
  <c r="AC11" i="15"/>
  <c r="U11" i="15"/>
  <c r="W10" i="21" a="1"/>
  <c r="N9" i="15"/>
  <c r="B23" i="15"/>
  <c r="V11" i="3" a="1"/>
  <c r="N10" i="15"/>
  <c r="F10" i="15"/>
  <c r="N11" i="15"/>
  <c r="I32" i="15"/>
  <c r="N12" i="15"/>
  <c r="L6" i="15"/>
  <c r="O24" i="15"/>
  <c r="E6" i="15"/>
  <c r="I9" i="15"/>
  <c r="N8" i="15"/>
  <c r="L24" i="15"/>
  <c r="AC8" i="15"/>
  <c r="B37" i="15"/>
  <c r="AC10" i="21" a="1"/>
  <c r="O19" i="15"/>
  <c r="B22" i="15"/>
  <c r="I12" i="15"/>
  <c r="K18" i="15"/>
  <c r="B9" i="15"/>
  <c r="E10" i="15"/>
  <c r="P21" i="15"/>
  <c r="AB9" i="15"/>
  <c r="C8" i="15"/>
  <c r="O11" i="15"/>
  <c r="K20" i="15"/>
  <c r="P9" i="15"/>
  <c r="I22" i="15"/>
  <c r="B6" i="15"/>
  <c r="I19" i="15"/>
  <c r="U10" i="15"/>
  <c r="I23" i="15"/>
  <c r="J9" i="15"/>
  <c r="AH10" i="4" a="1"/>
  <c r="P19" i="15"/>
  <c r="M10" i="21" a="1"/>
  <c r="Z8" i="15"/>
  <c r="AA7" i="15"/>
  <c r="H22" i="15"/>
  <c r="E9" i="15"/>
  <c r="L8" i="15"/>
  <c r="B20" i="15"/>
  <c r="J21" i="15"/>
  <c r="C19" i="15"/>
  <c r="D19" i="15"/>
  <c r="Z11" i="15"/>
  <c r="AB11" i="15"/>
  <c r="I6" i="15"/>
  <c r="H9" i="15"/>
  <c r="AB8" i="15"/>
  <c r="P22" i="19"/>
  <c r="D8" i="15"/>
  <c r="J20" i="15"/>
  <c r="K11" i="15"/>
  <c r="H7" i="15"/>
  <c r="H6" i="15"/>
  <c r="B10" i="15"/>
  <c r="D9" i="15"/>
  <c r="R18" i="15"/>
  <c r="J23" i="15"/>
  <c r="AD10" i="15"/>
  <c r="D22" i="15"/>
  <c r="N20" i="15"/>
  <c r="P8" i="15"/>
  <c r="K12" i="15"/>
  <c r="I8" i="15"/>
  <c r="J19" i="15"/>
  <c r="AN10" i="3" a="1"/>
  <c r="Z9" i="15"/>
  <c r="F7" i="15"/>
  <c r="E25" i="15"/>
  <c r="N23" i="15"/>
  <c r="K10" i="15"/>
  <c r="J6" i="15"/>
  <c r="C21" i="15"/>
  <c r="T8" i="15"/>
  <c r="Z7" i="15"/>
  <c r="D10" i="3" a="1"/>
  <c r="N19" i="15"/>
  <c r="K7" i="15"/>
  <c r="Y10" i="21" a="1"/>
  <c r="B18" i="15"/>
  <c r="D23" i="15"/>
  <c r="U6" i="15"/>
  <c r="L20" i="15"/>
  <c r="I18" i="15"/>
  <c r="B7" i="15"/>
  <c r="J22" i="15"/>
  <c r="E18" i="15"/>
  <c r="O18" i="15"/>
  <c r="B39" i="15"/>
  <c r="B40" i="15"/>
  <c r="AC9" i="15"/>
  <c r="E10" i="22" a="1"/>
  <c r="I10" i="15"/>
  <c r="O32" i="15"/>
  <c r="D38" i="15"/>
  <c r="D21" i="15"/>
  <c r="L19" i="15"/>
  <c r="T7" i="15"/>
  <c r="O9" i="15"/>
  <c r="AE10" i="21" a="1"/>
  <c r="AA8" i="15"/>
  <c r="R12" i="15"/>
  <c r="L21" i="15"/>
  <c r="L9" i="15"/>
  <c r="E8" i="15"/>
  <c r="P18" i="15"/>
  <c r="U7" i="15"/>
  <c r="D10" i="15"/>
  <c r="N6" i="15"/>
  <c r="K9" i="15"/>
  <c r="D40" i="15"/>
  <c r="C32" i="15"/>
  <c r="J8" i="15"/>
  <c r="E23" i="15"/>
  <c r="E37" i="15"/>
  <c r="E24" i="15"/>
  <c r="S10" i="21" a="1"/>
  <c r="D32" i="15"/>
  <c r="F20" i="15"/>
  <c r="Q10" i="21" a="1"/>
  <c r="U9" i="15"/>
  <c r="O8" i="15"/>
  <c r="N18" i="15"/>
  <c r="AB11" i="4" a="1"/>
  <c r="AA9" i="15"/>
  <c r="AD8" i="15"/>
  <c r="K19" i="15"/>
  <c r="AD7" i="15"/>
  <c r="L22" i="15"/>
  <c r="O10" i="15"/>
  <c r="E24" i="21"/>
  <c r="U8" i="15"/>
  <c r="H18" i="15"/>
  <c r="Z6" i="15"/>
  <c r="J10" i="15"/>
  <c r="I20" i="15"/>
  <c r="AD9" i="15"/>
  <c r="AI10" i="21" a="1"/>
  <c r="D6" i="15"/>
  <c r="J18" i="15"/>
  <c r="E38" i="15"/>
  <c r="D24" i="21"/>
  <c r="H23" i="15"/>
  <c r="AA11" i="15"/>
  <c r="AB10" i="15"/>
  <c r="AC10" i="15"/>
  <c r="H32" i="15"/>
  <c r="H19" i="15"/>
  <c r="B21" i="15"/>
  <c r="T6" i="15"/>
  <c r="P32" i="15"/>
  <c r="B24" i="15"/>
  <c r="K10" i="21" a="1"/>
  <c r="E7" i="15"/>
  <c r="B32" i="15"/>
  <c r="Q12" i="15"/>
  <c r="I21" i="15"/>
  <c r="P22" i="15"/>
  <c r="F25" i="15"/>
  <c r="J11" i="15"/>
  <c r="O13" i="15"/>
  <c r="B19" i="15"/>
  <c r="I7" i="15"/>
  <c r="Z10" i="15"/>
  <c r="F24" i="15"/>
  <c r="C9" i="15"/>
  <c r="Q18" i="15"/>
  <c r="L10" i="15"/>
  <c r="N22" i="15"/>
  <c r="F21" i="15"/>
  <c r="F22" i="15"/>
  <c r="C23" i="15"/>
  <c r="L18" i="15"/>
  <c r="F9" i="15"/>
  <c r="L7" i="15"/>
  <c r="C10" i="15"/>
  <c r="N7" i="15"/>
  <c r="Q19" i="15"/>
  <c r="H20" i="15"/>
  <c r="AC7" i="15"/>
  <c r="O20" i="15"/>
  <c r="D7" i="15"/>
  <c r="E21" i="15"/>
  <c r="L11" i="15"/>
  <c r="L23" i="15"/>
  <c r="H8" i="15"/>
  <c r="T9" i="15"/>
  <c r="C7" i="15"/>
  <c r="AK10" i="21" a="1"/>
  <c r="D24" i="15"/>
  <c r="O23" i="15"/>
  <c r="AA6" i="15"/>
  <c r="O6" i="15"/>
  <c r="I24" i="15"/>
  <c r="J32" i="15"/>
  <c r="D39" i="15"/>
  <c r="N21" i="15"/>
  <c r="D24" i="1"/>
  <c r="C18" i="15"/>
  <c r="C6" i="15"/>
  <c r="L12" i="15"/>
  <c r="AB7" i="15"/>
  <c r="V11" i="4" a="1"/>
  <c r="D18" i="15"/>
  <c r="I11" i="15"/>
  <c r="R19" i="15"/>
  <c r="E39" i="15"/>
  <c r="H21" i="15"/>
  <c r="C20" i="15"/>
  <c r="H10" i="15"/>
  <c r="K22" i="15"/>
  <c r="D37" i="15"/>
  <c r="P11" i="3" a="1"/>
  <c r="B38" i="15"/>
  <c r="K21" i="15"/>
  <c r="N32" i="15"/>
  <c r="T11" i="15"/>
  <c r="F6" i="15"/>
  <c r="F18" i="15"/>
  <c r="E20" i="15"/>
  <c r="K6" i="15"/>
  <c r="O7" i="15"/>
  <c r="F8" i="15"/>
  <c r="K24" i="15"/>
  <c r="E24" i="1"/>
  <c r="K8" i="15"/>
  <c r="K23" i="15"/>
  <c r="AH10" i="3" a="1"/>
  <c r="E22" i="15"/>
  <c r="H11" i="15"/>
  <c r="D20" i="15"/>
  <c r="O12" i="15"/>
  <c r="J7" i="15"/>
  <c r="P20" i="15"/>
  <c r="F23" i="15"/>
  <c r="T10" i="15"/>
  <c r="E19" i="15"/>
  <c r="O21" i="15"/>
  <c r="E40" i="15"/>
  <c r="F40" i="15" l="1"/>
  <c r="F38" i="15"/>
  <c r="F39" i="15"/>
  <c r="F37" i="15"/>
  <c r="F41" i="15" s="1"/>
  <c r="AB11" i="4"/>
  <c r="V11" i="4"/>
  <c r="AH10" i="4"/>
  <c r="D10" i="3"/>
  <c r="V11" i="3"/>
  <c r="P11" i="3"/>
  <c r="AN10" i="3"/>
  <c r="AH10" i="3"/>
  <c r="D21" i="19"/>
  <c r="D22" i="19"/>
  <c r="D23" i="19"/>
  <c r="D20" i="19"/>
  <c r="J12" i="15"/>
  <c r="AK10" i="21"/>
  <c r="S10" i="21"/>
  <c r="J24" i="15"/>
  <c r="K10" i="21"/>
  <c r="O33" i="15"/>
  <c r="Q10" i="21"/>
  <c r="AA12" i="15"/>
  <c r="D25" i="15"/>
  <c r="D11" i="15"/>
  <c r="M10" i="21"/>
  <c r="AI10" i="21"/>
  <c r="I33" i="15"/>
  <c r="C33" i="15"/>
  <c r="U12" i="15"/>
  <c r="AE10" i="21"/>
  <c r="F24" i="21"/>
  <c r="F24" i="1"/>
  <c r="AC10" i="21"/>
  <c r="E10" i="22"/>
  <c r="W10" i="21"/>
  <c r="P28" i="19"/>
  <c r="P30" i="19" s="1"/>
  <c r="Y10" i="21"/>
  <c r="Y11" i="3" a="1"/>
  <c r="AH11" i="3" a="1"/>
  <c r="P10" i="21" a="1"/>
  <c r="AH11" i="4" a="1"/>
  <c r="E10" i="1" a="1"/>
  <c r="P6" i="15"/>
  <c r="P12" i="15"/>
  <c r="V10" i="21" a="1"/>
  <c r="AE11" i="4" a="1"/>
  <c r="J10" i="21" a="1"/>
  <c r="Q20" i="15"/>
  <c r="G10" i="1" a="1"/>
  <c r="G10" i="21" a="1"/>
  <c r="D11" i="3" a="1"/>
  <c r="R22" i="15"/>
  <c r="E10" i="21" a="1"/>
  <c r="S11" i="3" a="1"/>
  <c r="R21" i="15"/>
  <c r="Q22" i="15"/>
  <c r="R20" i="15"/>
  <c r="AB10" i="21" a="1"/>
  <c r="Q9" i="15"/>
  <c r="P11" i="15"/>
  <c r="AH10" i="21" a="1"/>
  <c r="P23" i="15"/>
  <c r="D10" i="22" a="1"/>
  <c r="Y11" i="4" a="1"/>
  <c r="Q21" i="15"/>
  <c r="Q8" i="15"/>
  <c r="K7" i="22" l="1"/>
  <c r="AE11" i="4"/>
  <c r="Y11" i="4"/>
  <c r="AH11" i="4"/>
  <c r="E14" i="15"/>
  <c r="C20" i="19" s="1"/>
  <c r="D11" i="3"/>
  <c r="S11" i="3"/>
  <c r="Y11" i="3"/>
  <c r="AH11" i="3"/>
  <c r="D10" i="22"/>
  <c r="P10" i="21"/>
  <c r="AB10" i="21"/>
  <c r="AH10" i="21"/>
  <c r="E10" i="1"/>
  <c r="G10" i="1"/>
  <c r="J10" i="21"/>
  <c r="V10" i="21"/>
  <c r="E10" i="21"/>
  <c r="G10" i="21"/>
  <c r="F26" i="15"/>
  <c r="E26" i="15" s="1"/>
  <c r="E41" i="15"/>
  <c r="E7" i="1"/>
  <c r="E7" i="21"/>
  <c r="I14" i="15"/>
  <c r="I26" i="15" s="1"/>
  <c r="O14" i="15" s="1"/>
  <c r="Q7" i="15"/>
  <c r="AE11" i="3" a="1"/>
  <c r="AK11" i="4" a="1"/>
  <c r="R8" i="15"/>
  <c r="R23" i="15"/>
  <c r="V11" i="21" a="1"/>
  <c r="V10" i="15"/>
  <c r="Q6" i="15"/>
  <c r="V7" i="15"/>
  <c r="G11" i="3" a="1"/>
  <c r="Q23" i="15"/>
  <c r="R9" i="15"/>
  <c r="AK11" i="3" a="1"/>
  <c r="V9" i="15"/>
  <c r="AB6" i="15"/>
  <c r="D10" i="21" a="1"/>
  <c r="D10" i="1" a="1"/>
  <c r="D11" i="22" a="1"/>
  <c r="AH11" i="21" a="1"/>
  <c r="P11" i="21" a="1"/>
  <c r="Q10" i="15"/>
  <c r="Q11" i="15"/>
  <c r="V11" i="15"/>
  <c r="J11" i="21" a="1"/>
  <c r="AB11" i="21" a="1"/>
  <c r="V8" i="15"/>
  <c r="O26" i="15" l="1"/>
  <c r="C21" i="19"/>
  <c r="L14" i="15"/>
  <c r="K14" i="15" s="1"/>
  <c r="D11" i="22"/>
  <c r="AK11" i="4"/>
  <c r="G11" i="3"/>
  <c r="AE11" i="3"/>
  <c r="AK11" i="3"/>
  <c r="AH11" i="21"/>
  <c r="J11" i="21"/>
  <c r="V11" i="21"/>
  <c r="AB11" i="21"/>
  <c r="P11" i="21"/>
  <c r="D10" i="21"/>
  <c r="D10" i="1"/>
  <c r="D14" i="15"/>
  <c r="R11" i="15"/>
  <c r="W7" i="15"/>
  <c r="G11" i="22" a="1"/>
  <c r="W11" i="15"/>
  <c r="R6" i="15"/>
  <c r="D11" i="1" a="1"/>
  <c r="D11" i="21" a="1"/>
  <c r="Y11" i="21" a="1"/>
  <c r="AK11" i="21" a="1"/>
  <c r="M11" i="21" a="1"/>
  <c r="R10" i="15"/>
  <c r="Q22" i="19"/>
  <c r="AC6" i="15"/>
  <c r="W10" i="15"/>
  <c r="W9" i="15"/>
  <c r="R7" i="15"/>
  <c r="V6" i="15"/>
  <c r="S11" i="21" a="1"/>
  <c r="AE11" i="21" a="1"/>
  <c r="W8" i="15"/>
  <c r="G4" i="3"/>
  <c r="G4" i="4"/>
  <c r="G11" i="22" l="1"/>
  <c r="D26" i="15"/>
  <c r="U14" i="15"/>
  <c r="G3" i="4"/>
  <c r="G3" i="3"/>
  <c r="AK11" i="21"/>
  <c r="M11" i="21"/>
  <c r="D11" i="21"/>
  <c r="S11" i="21"/>
  <c r="AE11" i="21"/>
  <c r="D11" i="1"/>
  <c r="Y11" i="21"/>
  <c r="L26" i="15"/>
  <c r="K26" i="15" s="1"/>
  <c r="C22" i="19"/>
  <c r="X8" i="15"/>
  <c r="X10" i="15"/>
  <c r="X7" i="15"/>
  <c r="R22" i="19"/>
  <c r="Q24" i="15"/>
  <c r="G4" i="22"/>
  <c r="Q13" i="15"/>
  <c r="U26" i="15" l="1"/>
  <c r="G3" i="22"/>
  <c r="AD12" i="15"/>
  <c r="W6" i="15"/>
  <c r="X9" i="15"/>
  <c r="G11" i="21" a="1"/>
  <c r="X11" i="15"/>
  <c r="R13" i="15"/>
  <c r="R24" i="15"/>
  <c r="G11" i="1" a="1"/>
  <c r="AD6" i="15"/>
  <c r="AA14" i="15" l="1"/>
  <c r="D25" i="19"/>
  <c r="P24" i="15"/>
  <c r="P13" i="15"/>
  <c r="D24" i="19"/>
  <c r="G11" i="1"/>
  <c r="G11" i="21"/>
  <c r="J14" i="15"/>
  <c r="C23" i="19"/>
  <c r="R14" i="15"/>
  <c r="Q14" i="15" s="1"/>
  <c r="X6" i="15"/>
  <c r="S22" i="19"/>
  <c r="G4" i="21"/>
  <c r="AC12" i="15"/>
  <c r="G4" i="1"/>
  <c r="G3" i="1" l="1"/>
  <c r="G3" i="21"/>
  <c r="D27" i="19"/>
  <c r="V19" i="15"/>
  <c r="S28" i="19"/>
  <c r="AB12" i="15"/>
  <c r="C24" i="19"/>
  <c r="R26" i="15"/>
  <c r="J26" i="15"/>
  <c r="W12" i="15"/>
  <c r="X12" i="15"/>
  <c r="D26" i="19" l="1"/>
  <c r="V12" i="15"/>
  <c r="P14" i="15"/>
  <c r="Q26" i="15"/>
  <c r="C25" i="19" s="1"/>
  <c r="X14" i="15"/>
  <c r="W14" i="15" s="1"/>
  <c r="R28" i="19"/>
  <c r="S30" i="19"/>
  <c r="R30" i="19" s="1"/>
  <c r="X26" i="15" l="1"/>
  <c r="W26" i="15" s="1"/>
  <c r="C26" i="19"/>
  <c r="P26" i="15"/>
  <c r="AD14" i="15" l="1"/>
  <c r="AC14" i="15" s="1"/>
  <c r="C27" i="19" s="1"/>
  <c r="V14" i="15"/>
  <c r="V26" i="15"/>
  <c r="AB14" i="15" l="1"/>
  <c r="M35" i="18" a="1"/>
  <c r="M35" i="1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<sst xmlns="http://schemas.openxmlformats.org/spreadsheetml/2006/main" count="3563" uniqueCount="640">
  <si>
    <t>Fail</t>
  </si>
  <si>
    <t>Pass</t>
  </si>
  <si>
    <t>F</t>
  </si>
  <si>
    <t>D-</t>
  </si>
  <si>
    <t>D</t>
  </si>
  <si>
    <t>D+</t>
  </si>
  <si>
    <t>C-</t>
  </si>
  <si>
    <t>C</t>
  </si>
  <si>
    <t>C+</t>
  </si>
  <si>
    <t>B-</t>
  </si>
  <si>
    <t>B</t>
  </si>
  <si>
    <t>B+</t>
  </si>
  <si>
    <t>A-</t>
  </si>
  <si>
    <t>A</t>
  </si>
  <si>
    <t>Final</t>
  </si>
  <si>
    <t>Notes:</t>
  </si>
  <si>
    <t>Grade</t>
  </si>
  <si>
    <t>Earn/Poss</t>
  </si>
  <si>
    <t>Name:</t>
  </si>
  <si>
    <t>Weight:</t>
  </si>
  <si>
    <t>Exam 2</t>
  </si>
  <si>
    <t>Attend</t>
  </si>
  <si>
    <t>Exam 1</t>
  </si>
  <si>
    <t>quiz 4</t>
  </si>
  <si>
    <t>quiz 3</t>
  </si>
  <si>
    <t>Attendance</t>
  </si>
  <si>
    <t>quiz 2</t>
  </si>
  <si>
    <t>Exams</t>
  </si>
  <si>
    <t>quiz 1</t>
  </si>
  <si>
    <t>Chckpt 2</t>
  </si>
  <si>
    <t>Chckpt 1</t>
  </si>
  <si>
    <t>Quizes</t>
  </si>
  <si>
    <t>Website Updates</t>
  </si>
  <si>
    <t>Lab 13</t>
  </si>
  <si>
    <t>Lab 12</t>
  </si>
  <si>
    <t>Lab 11</t>
  </si>
  <si>
    <t>Adv. Grade</t>
  </si>
  <si>
    <t>Lab 10</t>
  </si>
  <si>
    <t>Lab 7</t>
  </si>
  <si>
    <t>Lab 6</t>
  </si>
  <si>
    <t>Lab 5</t>
  </si>
  <si>
    <t>Lab 4</t>
  </si>
  <si>
    <t>Lab 3</t>
  </si>
  <si>
    <t>Lab 2</t>
  </si>
  <si>
    <t>Exam 3</t>
  </si>
  <si>
    <t>Projects</t>
  </si>
  <si>
    <t>Advising Committee</t>
  </si>
  <si>
    <t>Lab 1</t>
  </si>
  <si>
    <t>extra Cred</t>
  </si>
  <si>
    <t>Week 15</t>
  </si>
  <si>
    <t>Lab 14</t>
  </si>
  <si>
    <t>Labs</t>
  </si>
  <si>
    <t>Asgn. 3</t>
  </si>
  <si>
    <t>Week 14</t>
  </si>
  <si>
    <t>Week 13</t>
  </si>
  <si>
    <t>Asgn. 2</t>
  </si>
  <si>
    <t>Week 12</t>
  </si>
  <si>
    <t>Prelab 11</t>
  </si>
  <si>
    <t>Week 11</t>
  </si>
  <si>
    <t>Prelab 10</t>
  </si>
  <si>
    <t>Extra Credit</t>
  </si>
  <si>
    <t>Lab 9</t>
  </si>
  <si>
    <t>Week 10</t>
  </si>
  <si>
    <t>Prelab 9</t>
  </si>
  <si>
    <t>Quiz 9</t>
  </si>
  <si>
    <t>Asgn. 1</t>
  </si>
  <si>
    <t>Week 9</t>
  </si>
  <si>
    <t>Lab 8</t>
  </si>
  <si>
    <t>Prelab 8</t>
  </si>
  <si>
    <t>Quiz 8</t>
  </si>
  <si>
    <t>Week 8</t>
  </si>
  <si>
    <t>Prelab 7</t>
  </si>
  <si>
    <t>Quiz 7</t>
  </si>
  <si>
    <t>Week 7</t>
  </si>
  <si>
    <t>Prelab 6</t>
  </si>
  <si>
    <t>Quiz 6</t>
  </si>
  <si>
    <t>Week 6</t>
  </si>
  <si>
    <t>Prelab 5</t>
  </si>
  <si>
    <t>Quiz 5</t>
  </si>
  <si>
    <t>Week 5</t>
  </si>
  <si>
    <t>Prelab 4</t>
  </si>
  <si>
    <t>Quiz 4</t>
  </si>
  <si>
    <t>Jira test</t>
  </si>
  <si>
    <t>Week 4</t>
  </si>
  <si>
    <t>Prelab 3</t>
  </si>
  <si>
    <t>Quiz 3</t>
  </si>
  <si>
    <t>Week 3</t>
  </si>
  <si>
    <t>Prelab 2</t>
  </si>
  <si>
    <t>Quiz 2</t>
  </si>
  <si>
    <t>Week 2</t>
  </si>
  <si>
    <t>Prelab 1</t>
  </si>
  <si>
    <t>Quiz 1</t>
  </si>
  <si>
    <t>Weekly Reports</t>
  </si>
  <si>
    <t>Prelab</t>
  </si>
  <si>
    <t>Homework</t>
  </si>
  <si>
    <t>QP:</t>
  </si>
  <si>
    <t>GPA:</t>
  </si>
  <si>
    <t>Lost so far:</t>
  </si>
  <si>
    <t>Grade:</t>
  </si>
  <si>
    <t>Out-Takes:</t>
  </si>
  <si>
    <t>Class</t>
  </si>
  <si>
    <t>Class Type:</t>
  </si>
  <si>
    <t>Credits:</t>
  </si>
  <si>
    <t>Research</t>
  </si>
  <si>
    <t>Nelsons'</t>
  </si>
  <si>
    <t>Teacher:</t>
  </si>
  <si>
    <t>Categories #:</t>
  </si>
  <si>
    <t>Dr.Dayal</t>
  </si>
  <si>
    <t>T. Ward</t>
  </si>
  <si>
    <t>AerE 361</t>
  </si>
  <si>
    <t>AerE 344</t>
  </si>
  <si>
    <t>AerE 311</t>
  </si>
  <si>
    <t>AerE 421</t>
  </si>
  <si>
    <t>FOR[c=0:&lt;Num of Classes&gt;-1],Sum(Address(4+c*6,10)*Address(4+c*6,11))</t>
  </si>
  <si>
    <t>Quality Points:</t>
  </si>
  <si>
    <t>Semester Credits:</t>
  </si>
  <si>
    <t>FOR[c=0:&lt;Num of Classes&gt;-1],Sum(Address(4+c*6,10)*Address(4+c*6,11))/Sum(Address(4+c*6,11))</t>
  </si>
  <si>
    <t>Semester GPA:</t>
  </si>
  <si>
    <t>Num of Classes:</t>
  </si>
  <si>
    <t>Semester 6</t>
  </si>
  <si>
    <t>Semester Information:</t>
  </si>
  <si>
    <t>AerE 160</t>
  </si>
  <si>
    <t>Chem 167</t>
  </si>
  <si>
    <t>Cameron</t>
  </si>
  <si>
    <t>Math 165</t>
  </si>
  <si>
    <t>Butler</t>
  </si>
  <si>
    <t>Engr 101</t>
  </si>
  <si>
    <t>P/F</t>
  </si>
  <si>
    <t>Semester 1</t>
  </si>
  <si>
    <t>Semester 2</t>
  </si>
  <si>
    <t>AerE 161</t>
  </si>
  <si>
    <t>AerE 192</t>
  </si>
  <si>
    <t>Engl 250</t>
  </si>
  <si>
    <t>Buttler</t>
  </si>
  <si>
    <t>PHYS 221</t>
  </si>
  <si>
    <t>AerE 261</t>
  </si>
  <si>
    <t>AerE 321</t>
  </si>
  <si>
    <t>PHYS 101</t>
  </si>
  <si>
    <t>CHEM 177</t>
  </si>
  <si>
    <t>CHEM 177 L</t>
  </si>
  <si>
    <t>PHYS 222</t>
  </si>
  <si>
    <t>IWCC</t>
  </si>
  <si>
    <t>Summer 2</t>
  </si>
  <si>
    <t>MATH 267</t>
  </si>
  <si>
    <t>NICC</t>
  </si>
  <si>
    <t>Semester 3</t>
  </si>
  <si>
    <t>Semester 4</t>
  </si>
  <si>
    <t>Semester 5</t>
  </si>
  <si>
    <t>AerE 310</t>
  </si>
  <si>
    <t>Ganesh</t>
  </si>
  <si>
    <t>Quiz</t>
  </si>
  <si>
    <t>Sarkar</t>
  </si>
  <si>
    <t>Assign. 1</t>
  </si>
  <si>
    <t>Assign. 2</t>
  </si>
  <si>
    <t>Assign. 3</t>
  </si>
  <si>
    <t>Assign. 4</t>
  </si>
  <si>
    <t>Assign. 5</t>
  </si>
  <si>
    <t>Assign. 6</t>
  </si>
  <si>
    <t>Assign. 7</t>
  </si>
  <si>
    <t>Assign. 8</t>
  </si>
  <si>
    <t>Assign. 9</t>
  </si>
  <si>
    <t>Exam</t>
  </si>
  <si>
    <t>Classwork</t>
  </si>
  <si>
    <t>Classwork 1</t>
  </si>
  <si>
    <t>Classwork 2</t>
  </si>
  <si>
    <t>Classwork 3</t>
  </si>
  <si>
    <t>Classwork 4</t>
  </si>
  <si>
    <t>Classwork 5</t>
  </si>
  <si>
    <t>Classwork 6</t>
  </si>
  <si>
    <t>AerE 322</t>
  </si>
  <si>
    <t>Chiou</t>
  </si>
  <si>
    <t>HW 1</t>
  </si>
  <si>
    <t>HW 2</t>
  </si>
  <si>
    <t>HW 3</t>
  </si>
  <si>
    <t>AerE 351</t>
  </si>
  <si>
    <t>Dale</t>
  </si>
  <si>
    <t>HW 4</t>
  </si>
  <si>
    <t>HW 5</t>
  </si>
  <si>
    <t>HW 6</t>
  </si>
  <si>
    <t>HW 7</t>
  </si>
  <si>
    <t>HW 8</t>
  </si>
  <si>
    <t>HW 9</t>
  </si>
  <si>
    <t>HW 10</t>
  </si>
  <si>
    <t>HW 11</t>
  </si>
  <si>
    <t>HW 12</t>
  </si>
  <si>
    <t>Project 1</t>
  </si>
  <si>
    <t>Project 2</t>
  </si>
  <si>
    <t>Tests</t>
  </si>
  <si>
    <t>AerE 355</t>
  </si>
  <si>
    <t>Bong</t>
  </si>
  <si>
    <t>Milestone 1</t>
  </si>
  <si>
    <t>Milestone 2</t>
  </si>
  <si>
    <t>Milestones</t>
  </si>
  <si>
    <t>PDR</t>
  </si>
  <si>
    <t>PDR 1</t>
  </si>
  <si>
    <t>PDR 2</t>
  </si>
  <si>
    <t>Committee Grade</t>
  </si>
  <si>
    <t>Cross Evaluation</t>
  </si>
  <si>
    <t>AerE 301</t>
  </si>
  <si>
    <t>Summer 3</t>
  </si>
  <si>
    <t>AerE 398</t>
  </si>
  <si>
    <t>Altec</t>
  </si>
  <si>
    <t>Transcript:</t>
  </si>
  <si>
    <t>Freshman-Fall 2016</t>
  </si>
  <si>
    <t>Course:</t>
  </si>
  <si>
    <t>"2.5"</t>
  </si>
  <si>
    <t>"2.8"</t>
  </si>
  <si>
    <t>"3.0"</t>
  </si>
  <si>
    <t>Sem Total</t>
  </si>
  <si>
    <t>Total To Date:</t>
  </si>
  <si>
    <t>Spring 2017</t>
  </si>
  <si>
    <t>Course</t>
  </si>
  <si>
    <t>Other:</t>
  </si>
  <si>
    <t>Summer 2018</t>
  </si>
  <si>
    <t>Summer Total</t>
  </si>
  <si>
    <t>Summer 2017</t>
  </si>
  <si>
    <t>Formatting Tools:</t>
  </si>
  <si>
    <t>Math</t>
  </si>
  <si>
    <t>(L+4)(1)</t>
  </si>
  <si>
    <t>(L+4)(2)</t>
  </si>
  <si>
    <t>(L+4)(45)</t>
  </si>
  <si>
    <t>(L+4)(46)</t>
  </si>
  <si>
    <t>Class 1</t>
  </si>
  <si>
    <t>Class 2</t>
  </si>
  <si>
    <t>Class 3</t>
  </si>
  <si>
    <t>Drag down for class count…</t>
  </si>
  <si>
    <t>Class 4</t>
  </si>
  <si>
    <t>Class 5</t>
  </si>
  <si>
    <t>Class 6</t>
  </si>
  <si>
    <t>Class 7</t>
  </si>
  <si>
    <t>Class 8</t>
  </si>
  <si>
    <t>Class 9</t>
  </si>
  <si>
    <t>C6</t>
  </si>
  <si>
    <t>I6</t>
  </si>
  <si>
    <t>O6</t>
  </si>
  <si>
    <t>U6</t>
  </si>
  <si>
    <t>AA6</t>
  </si>
  <si>
    <t>AG6</t>
  </si>
  <si>
    <t>AM6</t>
  </si>
  <si>
    <t>AS6</t>
  </si>
  <si>
    <t>AY6</t>
  </si>
  <si>
    <t>E8</t>
  </si>
  <si>
    <t>K8</t>
  </si>
  <si>
    <t>Q8</t>
  </si>
  <si>
    <t>W8</t>
  </si>
  <si>
    <t>AC8</t>
  </si>
  <si>
    <t>AI8</t>
  </si>
  <si>
    <t>AO8</t>
  </si>
  <si>
    <t>AU8</t>
  </si>
  <si>
    <t>BA8</t>
  </si>
  <si>
    <t>D10</t>
  </si>
  <si>
    <t>J10</t>
  </si>
  <si>
    <t>P10</t>
  </si>
  <si>
    <t>V10</t>
  </si>
  <si>
    <t>AB10</t>
  </si>
  <si>
    <t>AH10</t>
  </si>
  <si>
    <t>AN10</t>
  </si>
  <si>
    <t>AT10</t>
  </si>
  <si>
    <t>D11</t>
  </si>
  <si>
    <t>J11</t>
  </si>
  <si>
    <t>P11</t>
  </si>
  <si>
    <t>V11</t>
  </si>
  <si>
    <t>AB11</t>
  </si>
  <si>
    <t>AH11</t>
  </si>
  <si>
    <t>AN11</t>
  </si>
  <si>
    <t>AT11</t>
  </si>
  <si>
    <t>Highschool</t>
  </si>
  <si>
    <t>G3</t>
  </si>
  <si>
    <t>D4</t>
  </si>
  <si>
    <t>G4</t>
  </si>
  <si>
    <t>Dropped</t>
  </si>
  <si>
    <t>ME 231</t>
  </si>
  <si>
    <t>EM 345</t>
  </si>
  <si>
    <t>EM 324</t>
  </si>
  <si>
    <t>DES 242X</t>
  </si>
  <si>
    <t>MATH 265</t>
  </si>
  <si>
    <t>EM 274</t>
  </si>
  <si>
    <t>NA</t>
  </si>
  <si>
    <t>Summer-Fall 2019</t>
  </si>
  <si>
    <t>AerE 331</t>
  </si>
  <si>
    <t>AerE 362</t>
  </si>
  <si>
    <t>AerE 411</t>
  </si>
  <si>
    <t>AerE 461</t>
  </si>
  <si>
    <t>Engl 314</t>
  </si>
  <si>
    <t>Sherman P</t>
  </si>
  <si>
    <t>C Rayburn</t>
  </si>
  <si>
    <t>B Burmeister</t>
  </si>
  <si>
    <t>S Burger</t>
  </si>
  <si>
    <t>#1</t>
  </si>
  <si>
    <t>#2</t>
  </si>
  <si>
    <t>#3</t>
  </si>
  <si>
    <t>#4</t>
  </si>
  <si>
    <t>Prob 1</t>
  </si>
  <si>
    <t>Prob 2</t>
  </si>
  <si>
    <t>Prob 3</t>
  </si>
  <si>
    <t>Final Exam</t>
  </si>
  <si>
    <t>Presentation</t>
  </si>
  <si>
    <t>HWK 2</t>
  </si>
  <si>
    <t>B, Ahn</t>
  </si>
  <si>
    <t>Midterm</t>
  </si>
  <si>
    <t>in-class #1</t>
  </si>
  <si>
    <t>in-class #2</t>
  </si>
  <si>
    <t>in-class #3</t>
  </si>
  <si>
    <t>Team Assignments</t>
  </si>
  <si>
    <t>Individual Assignments</t>
  </si>
  <si>
    <t>SWAP Code</t>
  </si>
  <si>
    <t>Mrkt Resrch</t>
  </si>
  <si>
    <t>Thrust Crvs</t>
  </si>
  <si>
    <t>CG-Static</t>
  </si>
  <si>
    <t>Team Name</t>
  </si>
  <si>
    <t>Initial Concept</t>
  </si>
  <si>
    <t>CAD/CFD Mdl</t>
  </si>
  <si>
    <t>Proposal</t>
  </si>
  <si>
    <t>Proposal Pitch</t>
  </si>
  <si>
    <t>Team Action Plan</t>
  </si>
  <si>
    <t>Progress Report</t>
  </si>
  <si>
    <t>Technical Description</t>
  </si>
  <si>
    <t>Instructions</t>
  </si>
  <si>
    <t>Feasibility Report</t>
  </si>
  <si>
    <t>Self Evaluation</t>
  </si>
  <si>
    <t>In-Class Work, Homework</t>
  </si>
  <si>
    <t>McGraw-Hill</t>
  </si>
  <si>
    <t>Policies</t>
  </si>
  <si>
    <t>Proposals</t>
  </si>
  <si>
    <t>mech</t>
  </si>
  <si>
    <t>proces</t>
  </si>
  <si>
    <t>out of</t>
  </si>
  <si>
    <t>Grade Scale:</t>
  </si>
  <si>
    <t>Tools:</t>
  </si>
  <si>
    <t>Semester QP:</t>
  </si>
  <si>
    <t>+AH11*AI8</t>
  </si>
  <si>
    <t>Class GPA:</t>
  </si>
  <si>
    <t># 1</t>
  </si>
  <si>
    <t># 2</t>
  </si>
  <si>
    <t># 3</t>
  </si>
  <si>
    <t># 4</t>
  </si>
  <si>
    <t># 5</t>
  </si>
  <si>
    <t># 6</t>
  </si>
  <si>
    <t># 7</t>
  </si>
  <si>
    <t># 8</t>
  </si>
  <si>
    <t># 9</t>
  </si>
  <si>
    <t># 10</t>
  </si>
  <si>
    <t>+F65*G53</t>
  </si>
  <si>
    <t>/ +(F65&gt;0)*G53</t>
  </si>
  <si>
    <t>Lost So Far</t>
  </si>
  <si>
    <t>+(1-F35)*(15/E23)*(G23)</t>
  </si>
  <si>
    <t xml:space="preserve">  </t>
  </si>
  <si>
    <t>progres</t>
  </si>
  <si>
    <t>Phase 1</t>
  </si>
  <si>
    <t>Phase 3</t>
  </si>
  <si>
    <t>Phase 4</t>
  </si>
  <si>
    <t>#5</t>
  </si>
  <si>
    <t>#6</t>
  </si>
  <si>
    <t>tec def</t>
  </si>
  <si>
    <t>instruct</t>
  </si>
  <si>
    <t>ethics</t>
  </si>
  <si>
    <t>Anal Aud</t>
  </si>
  <si>
    <t>ted talk</t>
  </si>
  <si>
    <t>Best/Wo</t>
  </si>
  <si>
    <t>missing</t>
  </si>
  <si>
    <t>Ch 10</t>
  </si>
  <si>
    <t>in-class #4</t>
  </si>
  <si>
    <t>in-class #5</t>
  </si>
  <si>
    <t>Other</t>
  </si>
  <si>
    <t>Report</t>
  </si>
  <si>
    <t>Feasability</t>
  </si>
  <si>
    <t>in-class #6</t>
  </si>
  <si>
    <t>HWK 3</t>
  </si>
  <si>
    <t>Phase 2</t>
  </si>
  <si>
    <t>Exam 3a</t>
  </si>
  <si>
    <t>Exam 3b</t>
  </si>
  <si>
    <t>visuals</t>
  </si>
  <si>
    <t>Template</t>
  </si>
  <si>
    <t>G11</t>
  </si>
  <si>
    <t>M11</t>
  </si>
  <si>
    <t>S11</t>
  </si>
  <si>
    <t>Y11</t>
  </si>
  <si>
    <t>AE11</t>
  </si>
  <si>
    <t>AK11</t>
  </si>
  <si>
    <t>AQ11</t>
  </si>
  <si>
    <t>AV11</t>
  </si>
  <si>
    <t>AZ10</t>
  </si>
  <si>
    <t>AZ11</t>
  </si>
  <si>
    <t>BC11</t>
  </si>
  <si>
    <t>Grager &amp; Taylor</t>
  </si>
  <si>
    <t>1.Truth</t>
  </si>
  <si>
    <t>2. Ethics</t>
  </si>
  <si>
    <t>3.Semic</t>
  </si>
  <si>
    <t>4.Comm</t>
  </si>
  <si>
    <t>5.Phras</t>
  </si>
  <si>
    <t>6.Slang</t>
  </si>
  <si>
    <t>7.Source</t>
  </si>
  <si>
    <t>9.Apostr</t>
  </si>
  <si>
    <t>8.Integ</t>
  </si>
  <si>
    <t>10.Sente</t>
  </si>
  <si>
    <t>11.Hyph</t>
  </si>
  <si>
    <t>12.Colon</t>
  </si>
  <si>
    <t>13.Verb</t>
  </si>
  <si>
    <t>14.Proof</t>
  </si>
  <si>
    <t>15.Parell</t>
  </si>
  <si>
    <t>16. revis</t>
  </si>
  <si>
    <t>17.Fused</t>
  </si>
  <si>
    <t>18.pro-a</t>
  </si>
  <si>
    <t>19.sub/v</t>
  </si>
  <si>
    <t>20.Pro Re</t>
  </si>
  <si>
    <t>21.variet</t>
  </si>
  <si>
    <t>22.word</t>
  </si>
  <si>
    <t>24.Adj/Adv</t>
  </si>
  <si>
    <t>25.Parenth</t>
  </si>
  <si>
    <t>23.CoSub</t>
  </si>
  <si>
    <t>Prsntion</t>
  </si>
  <si>
    <t>Prsention</t>
  </si>
  <si>
    <t>Part 2</t>
  </si>
  <si>
    <t>Part 1</t>
  </si>
  <si>
    <t>Intermediary Team Conceptual Design Review</t>
  </si>
  <si>
    <t>Final Team Conceptual Design Review</t>
  </si>
  <si>
    <t>Req/Scrcard</t>
  </si>
  <si>
    <t>Settings:</t>
  </si>
  <si>
    <t>GPA Conversion:</t>
  </si>
  <si>
    <t>Transcript Box Example:</t>
  </si>
  <si>
    <t>Data For Transcript Graph:</t>
  </si>
  <si>
    <t>Semester Name:</t>
  </si>
  <si>
    <t>Semester credits</t>
  </si>
  <si>
    <t>semester QP:</t>
  </si>
  <si>
    <t>IF(OR(INDIRECT(ADDRESS(ROW()-3,COLUMN()+3))="Dropped",INDIRECT(ADDRESS(ROW()-3,COLUMN()+3))="P/F"),"NA",IF(INDIRECT(ADDRESS(ROW()-1,COLUMN()))=Settings!B4,Settings!C4,IF(INDIRECT(ADDRESS(ROW()-1,COLUMN()))=Settings!B5,Settings!C5,IF(INDIRECT(ADDRESS(ROW()-1,COLUMN()))=Settings!B6,Settings!C6,IF(INDIRECT(ADDRESS(ROW()-1,COLUMN()))=Settings!B7,Settings!C7,IF(INDIRECT(ADDRESS(ROW()-1,COLUMN()))=Settings!B8,Settings!C8,IF(INDIRECT(ADDRESS(ROW()-1,COLUMN()))=Settings!B9,Settings!C9,IF(INDIRECT(ADDRESS(ROW()-1,COLUMN()))=Settings!B10,Settings!C10,IF(INDIRECT(ADDRESS(ROW()-1,COLUMN()))=Settings!B11,Settings!C11,IF(INDIRECT(ADDRESS(ROW()-1,COLUMN()))=Settings!B12,Settings!C12,IF(INDIRECT(ADDRESS(ROW()-1,COLUMN()))=Settings!B13,Settings!C13,IF(INDIRECT(ADDRESS(ROW()-1,COLUMN()))=Settings!B14,Settings!C14,Settings!C15))))))))))))</t>
  </si>
  <si>
    <t>J Doe</t>
  </si>
  <si>
    <t>Homework:</t>
  </si>
  <si>
    <t>Transcript Semester Box Address Pull</t>
  </si>
  <si>
    <t>Final Project</t>
  </si>
  <si>
    <t>HSMP 385x</t>
  </si>
  <si>
    <t>&lt;40</t>
  </si>
  <si>
    <t>CDR Presentation and Report+ Peer Review</t>
  </si>
  <si>
    <t>List Pull:</t>
  </si>
  <si>
    <t>Peer eval</t>
  </si>
  <si>
    <t>1</t>
  </si>
  <si>
    <t>Late</t>
  </si>
  <si>
    <t>Summer 2020</t>
  </si>
  <si>
    <t xml:space="preserve">Calculus I </t>
  </si>
  <si>
    <t xml:space="preserve">Chemistry for Engineers </t>
  </si>
  <si>
    <t xml:space="preserve">Engineering Problem Solving      </t>
  </si>
  <si>
    <t xml:space="preserve">Library Instructions </t>
  </si>
  <si>
    <t xml:space="preserve">Engineering Orientation </t>
  </si>
  <si>
    <t>Calculus II</t>
  </si>
  <si>
    <t>Math 166</t>
  </si>
  <si>
    <t>Classical Physics I</t>
  </si>
  <si>
    <t>Phys 221</t>
  </si>
  <si>
    <t>Num., Graph., &amp; Lab Techniques</t>
  </si>
  <si>
    <t>General Education</t>
  </si>
  <si>
    <t>Advising Seminar</t>
  </si>
  <si>
    <t>Multivariable  Calculus</t>
  </si>
  <si>
    <t>Classical Physics II</t>
  </si>
  <si>
    <t>Intro to Performance &amp; Design</t>
  </si>
  <si>
    <t>Statics for Engineers</t>
  </si>
  <si>
    <t>Differential Equations  Equations</t>
  </si>
  <si>
    <t>Math 267</t>
  </si>
  <si>
    <t>Dynamics</t>
  </si>
  <si>
    <t>MatE 273</t>
  </si>
  <si>
    <t>Intro to Material Sci &amp; Engrg</t>
  </si>
  <si>
    <t>Mechanics of Materials</t>
  </si>
  <si>
    <t xml:space="preserve">Flight Structures </t>
  </si>
  <si>
    <t>Structures Lab</t>
  </si>
  <si>
    <t>Thermo- Dynamics</t>
  </si>
  <si>
    <t>Aero-dynamics I</t>
  </si>
  <si>
    <t>Astro-dynamics I</t>
  </si>
  <si>
    <t>Flight Dynamics &amp; Control</t>
  </si>
  <si>
    <t>Flight Experience</t>
  </si>
  <si>
    <t>Advanced Flight Structures</t>
  </si>
  <si>
    <t>Comp.Techniques for Aero. Design</t>
  </si>
  <si>
    <t>Aerospace Systems</t>
  </si>
  <si>
    <t>Aero-dynamics/Propultion Lab</t>
  </si>
  <si>
    <t>Flight Con-trol System</t>
  </si>
  <si>
    <t>Aero-Dynamics II</t>
  </si>
  <si>
    <t>Technical Elective</t>
  </si>
  <si>
    <t>Design Methodology</t>
  </si>
  <si>
    <t>AerE 462</t>
  </si>
  <si>
    <t>Technical Comm</t>
  </si>
  <si>
    <t>English Composition II</t>
  </si>
  <si>
    <t>Fall</t>
  </si>
  <si>
    <t>Engl 150</t>
  </si>
  <si>
    <t>Final Grade</t>
  </si>
  <si>
    <t>Boosted</t>
  </si>
  <si>
    <t>From B to</t>
  </si>
  <si>
    <t>was 89</t>
  </si>
  <si>
    <t xml:space="preserve">Grade </t>
  </si>
  <si>
    <t xml:space="preserve">Boosted </t>
  </si>
  <si>
    <t>from B+</t>
  </si>
  <si>
    <t>to A-</t>
  </si>
  <si>
    <t>was missing</t>
  </si>
  <si>
    <t>somehow</t>
  </si>
  <si>
    <t>got a C</t>
  </si>
  <si>
    <t>instead of</t>
  </si>
  <si>
    <t xml:space="preserve"> a D</t>
  </si>
  <si>
    <t>was 0/12</t>
  </si>
  <si>
    <t>Libr 160</t>
  </si>
  <si>
    <t>Aero Vehicle Propulsion</t>
  </si>
  <si>
    <t>*GenEd*</t>
  </si>
  <si>
    <t>*TechE*</t>
  </si>
  <si>
    <t>Econ 101 (GenEd)</t>
  </si>
  <si>
    <t>ARCH 321  (GenEd)</t>
  </si>
  <si>
    <t>CL ST 273  (GenEd)</t>
  </si>
  <si>
    <t>ENGL 201 (GenEd)</t>
  </si>
  <si>
    <t>AerE 494x M:2:I (TechE)</t>
  </si>
  <si>
    <t>AerE 294x M:2:I</t>
  </si>
  <si>
    <t>Design of Aero Systems</t>
  </si>
  <si>
    <t>C E 490 (TechE)</t>
  </si>
  <si>
    <t>Iowa State University</t>
  </si>
  <si>
    <t>Department of Aerospace Engineering</t>
  </si>
  <si>
    <t>4-Year Plan for Undergraduates</t>
  </si>
  <si>
    <t>2016,2017,2018,2019 catalog/graduation requirements</t>
  </si>
  <si>
    <t>First Year</t>
  </si>
  <si>
    <t>Second Year</t>
  </si>
  <si>
    <t>Third Year</t>
  </si>
  <si>
    <t>Forth Year</t>
  </si>
  <si>
    <t>Course Groups</t>
  </si>
  <si>
    <t>Aerospace Requirement</t>
  </si>
  <si>
    <t>Engineering Fundamentals</t>
  </si>
  <si>
    <t>Mathematics</t>
  </si>
  <si>
    <t>Chemistry &amp; Physics</t>
  </si>
  <si>
    <t>Advising</t>
  </si>
  <si>
    <t>Spring</t>
  </si>
  <si>
    <t>Disclaimer: This audit is just for reference. Use the audit program in AccessPlus to make sure you are meeting said requirements.</t>
  </si>
  <si>
    <t>(GPA does not include classes taken out of school)</t>
  </si>
  <si>
    <t>"3.5"</t>
  </si>
  <si>
    <t>"3.2"</t>
  </si>
  <si>
    <t>Cumulative GPA</t>
  </si>
  <si>
    <t>Total</t>
  </si>
  <si>
    <t xml:space="preserve">English Composition I </t>
  </si>
  <si>
    <t>Semester 7</t>
  </si>
  <si>
    <t>Semester 8</t>
  </si>
  <si>
    <t xml:space="preserve"> </t>
  </si>
  <si>
    <t>highschool</t>
  </si>
  <si>
    <t>Preabs</t>
  </si>
  <si>
    <t>Participation:</t>
  </si>
  <si>
    <t># 11</t>
  </si>
  <si>
    <t># 12</t>
  </si>
  <si>
    <t># 13</t>
  </si>
  <si>
    <t># 14</t>
  </si>
  <si>
    <t># 15</t>
  </si>
  <si>
    <t>Peer Review Assignments:</t>
  </si>
  <si>
    <t>Final Paper</t>
  </si>
  <si>
    <t>Intro to Forum</t>
  </si>
  <si>
    <t>Grager, T</t>
  </si>
  <si>
    <t>Abdelkhalik</t>
  </si>
  <si>
    <t>1-2 PR</t>
  </si>
  <si>
    <t># 1-2</t>
  </si>
  <si>
    <t># 3-4</t>
  </si>
  <si>
    <t># 5-6</t>
  </si>
  <si>
    <t># 7-8</t>
  </si>
  <si>
    <t># 9-10</t>
  </si>
  <si>
    <t># 11-12</t>
  </si>
  <si>
    <t># 13-14</t>
  </si>
  <si>
    <t>3-4 PR</t>
  </si>
  <si>
    <t>5-6 PR</t>
  </si>
  <si>
    <t>7-8 PR</t>
  </si>
  <si>
    <t>9-10 PR</t>
  </si>
  <si>
    <t>11-12 PR</t>
  </si>
  <si>
    <t>13-14 PR</t>
  </si>
  <si>
    <t>email inst</t>
  </si>
  <si>
    <t>rough draft</t>
  </si>
  <si>
    <t>Office H.</t>
  </si>
  <si>
    <t>Help F.</t>
  </si>
  <si>
    <t>300+</t>
  </si>
  <si>
    <t>any</t>
  </si>
  <si>
    <t>Arch 321</t>
  </si>
  <si>
    <t>Des 241x</t>
  </si>
  <si>
    <t>REQ</t>
  </si>
  <si>
    <t>IND D 260</t>
  </si>
  <si>
    <t>Ind D 341</t>
  </si>
  <si>
    <t>Hist</t>
  </si>
  <si>
    <t>cant be</t>
  </si>
  <si>
    <t>Ind D 260</t>
  </si>
  <si>
    <t>Exam 1:</t>
  </si>
  <si>
    <t>Exam 2:</t>
  </si>
  <si>
    <t>Final Project:</t>
  </si>
  <si>
    <t>HW #1 8/24</t>
  </si>
  <si>
    <t>HW #2 8/31</t>
  </si>
  <si>
    <t>HW #3 9/14</t>
  </si>
  <si>
    <t>AERE 551 (TechE)</t>
  </si>
  <si>
    <t>DES 230</t>
  </si>
  <si>
    <t>Weekly Assignments:</t>
  </si>
  <si>
    <t>Projects:</t>
  </si>
  <si>
    <t>Reflection/In-Class Activities</t>
  </si>
  <si>
    <t>Reading &amp; Report &amp; Other Homework</t>
  </si>
  <si>
    <t>Class Portfolio</t>
  </si>
  <si>
    <t>Design Sign off</t>
  </si>
  <si>
    <t>Wind Tunnel Experimentation</t>
  </si>
  <si>
    <t>Preliminary Design Review</t>
  </si>
  <si>
    <t>Prototype</t>
  </si>
  <si>
    <t>safety training</t>
  </si>
  <si>
    <t>ENG Ethc.</t>
  </si>
  <si>
    <t>Miro</t>
  </si>
  <si>
    <t>Des Des</t>
  </si>
  <si>
    <t>Kevin Lair</t>
  </si>
  <si>
    <t>HW #4 10/5</t>
  </si>
  <si>
    <t>3/10</t>
  </si>
  <si>
    <t>3/15</t>
  </si>
  <si>
    <t>8/25</t>
  </si>
  <si>
    <t>0/25</t>
  </si>
  <si>
    <t>Midterm Asgnmts Individual Score With Peer Review</t>
  </si>
  <si>
    <t>Midterm Peer Review Deconstruction</t>
  </si>
  <si>
    <t>Travis</t>
  </si>
  <si>
    <t>Final Peer Review Deconstruction</t>
  </si>
  <si>
    <t>Mina, Mani</t>
  </si>
  <si>
    <t># 16</t>
  </si>
  <si>
    <t># 17</t>
  </si>
  <si>
    <t># 18</t>
  </si>
  <si>
    <t># 19</t>
  </si>
  <si>
    <t># 20</t>
  </si>
  <si>
    <t># 21</t>
  </si>
  <si>
    <t># 22</t>
  </si>
  <si>
    <t># 23</t>
  </si>
  <si>
    <t># 24</t>
  </si>
  <si>
    <t># 25</t>
  </si>
  <si>
    <t>Intro/Close</t>
  </si>
  <si>
    <t>CAD</t>
  </si>
  <si>
    <t>Aero</t>
  </si>
  <si>
    <t>Propulsion</t>
  </si>
  <si>
    <t>Controls</t>
  </si>
  <si>
    <t>Manufac Proc</t>
  </si>
  <si>
    <t>BOM</t>
  </si>
  <si>
    <t>Leson Learn</t>
  </si>
  <si>
    <t>Quality</t>
  </si>
  <si>
    <t>Tests Perf.</t>
  </si>
  <si>
    <t>XTRA CR Project</t>
  </si>
  <si>
    <t>Final Asgnmts Individual Score With Peer Review</t>
  </si>
  <si>
    <t>EC #1</t>
  </si>
  <si>
    <t>EC #2</t>
  </si>
  <si>
    <t>EC #3</t>
  </si>
  <si>
    <t>EC #4</t>
  </si>
  <si>
    <t>EC #5</t>
  </si>
  <si>
    <t>Nate</t>
  </si>
  <si>
    <t>Adam</t>
  </si>
  <si>
    <t>Ben F</t>
  </si>
  <si>
    <t>Blake</t>
  </si>
  <si>
    <t>known</t>
  </si>
  <si>
    <t>known low</t>
  </si>
  <si>
    <t>unknown</t>
  </si>
  <si>
    <t>66.2 -&gt; 71.83</t>
  </si>
  <si>
    <t>1.5 -&gt; 4.1845</t>
  </si>
  <si>
    <t>was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</si>
</sst>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00%"/>
    <numFmt numFmtId="166" formatCode="0.00000"/>
    <numFmt numFmtId="167" formatCode="0\ &quot;Credit(s)&quot;"/>
    <numFmt numFmtId="168" formatCode="0\ &quot;Credits&quot;"/>
  </numFmts>
  <fonts count="23"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11"/>
      <color rgb="FFC00000"/>
      <name val="Calibri"/>
      <family val="2"/>
      <scheme val="minor"/>
    </font>
    <font>
      <b/>
      <sz val="11"/>
      <color theme="1"/>
      <name val="Calibri"/>
      <family val="2"/>
      <scheme val="minor"/>
    </font>
    <font>
      <sz val="8"/>
      <name val="Calibri"/>
      <family val="2"/>
      <scheme val="minor"/>
    </font>
    <font>
      <b/>
      <sz val="22"/>
      <color theme="1"/>
      <name val="Calibri"/>
      <family val="2"/>
      <scheme val="minor"/>
    </font>
    <font>
      <b/>
      <sz val="20"/>
      <color theme="1"/>
      <name val="Calibri"/>
      <family val="2"/>
      <scheme val="minor"/>
    </font>
    <font>
      <b/>
      <sz val="9"/>
      <color theme="1"/>
      <name val="Calibri"/>
      <family val="2"/>
      <scheme val="minor"/>
    </font>
    <font>
      <b/>
      <sz val="12"/>
      <color theme="1"/>
      <name val="Calibri"/>
      <family val="2"/>
      <scheme val="minor"/>
    </font>
    <font>
      <b/>
      <sz val="8"/>
      <color theme="1"/>
      <name val="Calibri"/>
      <family val="2"/>
      <scheme val="minor"/>
    </font>
    <font>
      <sz val="11"/>
      <color rgb="FFFF0000"/>
      <name val="Calibri"/>
      <family val="2"/>
      <scheme val="minor"/>
    </font>
    <font>
      <b/>
      <sz val="11"/>
      <color theme="0"/>
      <name val="Calibri"/>
      <family val="2"/>
      <scheme val="minor"/>
    </font>
    <font>
      <b/>
      <sz val="10"/>
      <color theme="1"/>
      <name val="Calibri"/>
      <family val="2"/>
      <scheme val="minor"/>
    </font>
    <font>
      <b/>
      <sz val="11"/>
      <color rgb="FF00B050"/>
      <name val="Calibri"/>
      <family val="2"/>
      <scheme val="minor"/>
    </font>
    <font>
      <sz val="11"/>
      <color theme="0"/>
      <name val="Calibri"/>
      <family val="2"/>
      <scheme val="minor"/>
    </font>
    <font>
      <b/>
      <sz val="9"/>
      <color theme="0"/>
      <name val="Calibri"/>
      <family val="2"/>
      <scheme val="minor"/>
    </font>
    <font>
      <b/>
      <sz val="12"/>
      <color theme="0"/>
      <name val="Calibri"/>
      <family val="2"/>
      <scheme val="minor"/>
    </font>
    <font>
      <b/>
      <sz val="20"/>
      <color theme="0"/>
      <name val="Calibri"/>
      <family val="2"/>
      <scheme val="minor"/>
    </font>
    <font>
      <sz val="18"/>
      <color theme="0"/>
      <name val="Calibri"/>
      <family val="2"/>
      <scheme val="minor"/>
    </font>
    <font>
      <sz val="20"/>
      <color theme="0"/>
      <name val="Traditional Arabic"/>
      <family val="1"/>
      <charset val="178"/>
    </font>
    <font>
      <sz val="10"/>
      <color theme="1"/>
      <name val="Calibri"/>
      <family val="2"/>
      <scheme val="minor"/>
    </font>
  </fonts>
  <fills count="19">
    <fill>
      <patternFill patternType="none"/>
    </fill>
    <fill>
      <patternFill patternType="gray125"/>
    </fill>
    <fill>
      <patternFill patternType="solid">
        <fgColor rgb="FFFFFFCC"/>
      </patternFill>
    </fill>
    <fill>
      <patternFill patternType="solid">
        <fgColor theme="2" tint="-0.249977111117893"/>
        <bgColor indexed="64"/>
      </patternFill>
    </fill>
    <fill>
      <patternFill patternType="solid">
        <fgColor theme="0"/>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D3B5E9"/>
        <bgColor indexed="64"/>
      </patternFill>
    </fill>
    <fill>
      <patternFill patternType="solid">
        <fgColor theme="0" tint="-0.34998626667073579"/>
        <bgColor indexed="64"/>
      </patternFill>
    </fill>
    <fill>
      <patternFill patternType="solid">
        <fgColor theme="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E89B02"/>
        <bgColor indexed="64"/>
      </patternFill>
    </fill>
    <fill>
      <patternFill patternType="solid">
        <fgColor rgb="FFCC6C6A"/>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rgb="FF896AB6"/>
        <bgColor indexed="64"/>
      </patternFill>
    </fill>
  </fills>
  <borders count="212">
    <border>
      <left/>
      <right/>
      <top/>
      <bottom/>
      <diagonal/>
    </border>
    <border>
      <left style="thin">
        <color rgb="FFB2B2B2"/>
      </left>
      <right style="thin">
        <color rgb="FFB2B2B2"/>
      </right>
      <top style="thin">
        <color rgb="FFB2B2B2"/>
      </top>
      <bottom style="thin">
        <color rgb="FFB2B2B2"/>
      </bottom>
      <diagonal/>
    </border>
    <border>
      <left/>
      <right style="thick">
        <color auto="1"/>
      </right>
      <top/>
      <bottom style="thick">
        <color auto="1"/>
      </bottom>
      <diagonal/>
    </border>
    <border>
      <left style="thick">
        <color auto="1"/>
      </left>
      <right/>
      <top/>
      <bottom style="thick">
        <color auto="1"/>
      </bottom>
      <diagonal/>
    </border>
    <border>
      <left/>
      <right style="thick">
        <color auto="1"/>
      </right>
      <top/>
      <bottom/>
      <diagonal/>
    </border>
    <border>
      <left style="thick">
        <color auto="1"/>
      </left>
      <right/>
      <top/>
      <bottom/>
      <diagonal/>
    </border>
    <border>
      <left/>
      <right style="thick">
        <color auto="1"/>
      </right>
      <top/>
      <bottom style="thin">
        <color indexed="64"/>
      </bottom>
      <diagonal/>
    </border>
    <border>
      <left style="thick">
        <color auto="1"/>
      </left>
      <right/>
      <top/>
      <bottom style="thin">
        <color indexed="64"/>
      </bottom>
      <diagonal/>
    </border>
    <border>
      <left/>
      <right style="thick">
        <color auto="1"/>
      </right>
      <top style="thick">
        <color auto="1"/>
      </top>
      <bottom style="double">
        <color auto="1"/>
      </bottom>
      <diagonal/>
    </border>
    <border>
      <left style="thick">
        <color auto="1"/>
      </left>
      <right/>
      <top style="thick">
        <color auto="1"/>
      </top>
      <bottom style="double">
        <color auto="1"/>
      </bottom>
      <diagonal/>
    </border>
    <border>
      <left style="dashDot">
        <color theme="2" tint="-9.9948118533890809E-2"/>
      </left>
      <right style="thick">
        <color auto="1"/>
      </right>
      <top style="double">
        <color auto="1"/>
      </top>
      <bottom style="thick">
        <color auto="1"/>
      </bottom>
      <diagonal/>
    </border>
    <border>
      <left style="dashDot">
        <color theme="2" tint="-9.9948118533890809E-2"/>
      </left>
      <right style="dashDot">
        <color theme="2" tint="-9.9948118533890809E-2"/>
      </right>
      <top style="double">
        <color auto="1"/>
      </top>
      <bottom style="thick">
        <color auto="1"/>
      </bottom>
      <diagonal/>
    </border>
    <border>
      <left style="thick">
        <color auto="1"/>
      </left>
      <right style="dashDot">
        <color theme="2" tint="-9.9948118533890809E-2"/>
      </right>
      <top style="double">
        <color auto="1"/>
      </top>
      <bottom style="thick">
        <color auto="1"/>
      </bottom>
      <diagonal/>
    </border>
    <border>
      <left style="dashDot">
        <color theme="2" tint="-9.9948118533890809E-2"/>
      </left>
      <right style="thick">
        <color auto="1"/>
      </right>
      <top/>
      <bottom style="thin">
        <color rgb="FFB2B2B2"/>
      </bottom>
      <diagonal/>
    </border>
    <border>
      <left style="dashDot">
        <color theme="2" tint="-9.9948118533890809E-2"/>
      </left>
      <right style="dashDot">
        <color theme="2" tint="-9.9948118533890809E-2"/>
      </right>
      <top/>
      <bottom style="thin">
        <color rgb="FFB2B2B2"/>
      </bottom>
      <diagonal/>
    </border>
    <border>
      <left style="thick">
        <color auto="1"/>
      </left>
      <right style="dashDot">
        <color theme="2" tint="-9.9948118533890809E-2"/>
      </right>
      <top/>
      <bottom style="thin">
        <color rgb="FFB2B2B2"/>
      </bottom>
      <diagonal/>
    </border>
    <border>
      <left/>
      <right style="thick">
        <color auto="1"/>
      </right>
      <top style="thick">
        <color auto="1"/>
      </top>
      <bottom/>
      <diagonal/>
    </border>
    <border>
      <left/>
      <right/>
      <top style="thick">
        <color auto="1"/>
      </top>
      <bottom/>
      <diagonal/>
    </border>
    <border>
      <left style="thick">
        <color auto="1"/>
      </left>
      <right/>
      <top style="thick">
        <color auto="1"/>
      </top>
      <bottom/>
      <diagonal/>
    </border>
    <border>
      <left style="dashDot">
        <color theme="0" tint="-0.14996795556505021"/>
      </left>
      <right style="thick">
        <color auto="1"/>
      </right>
      <top style="thin">
        <color rgb="FFB2B2B2"/>
      </top>
      <bottom style="double">
        <color auto="1"/>
      </bottom>
      <diagonal/>
    </border>
    <border>
      <left style="dashDot">
        <color theme="0" tint="-0.14996795556505021"/>
      </left>
      <right style="dashDot">
        <color theme="0" tint="-0.14996795556505021"/>
      </right>
      <top style="thin">
        <color rgb="FFB2B2B2"/>
      </top>
      <bottom style="double">
        <color auto="1"/>
      </bottom>
      <diagonal/>
    </border>
    <border>
      <left style="thick">
        <color auto="1"/>
      </left>
      <right style="dashDot">
        <color theme="0" tint="-0.14996795556505021"/>
      </right>
      <top style="thin">
        <color rgb="FFB2B2B2"/>
      </top>
      <bottom style="double">
        <color auto="1"/>
      </bottom>
      <diagonal/>
    </border>
    <border>
      <left style="dashDot">
        <color theme="0" tint="-0.14996795556505021"/>
      </left>
      <right style="thick">
        <color auto="1"/>
      </right>
      <top style="medium">
        <color theme="1"/>
      </top>
      <bottom style="thin">
        <color rgb="FFB2B2B2"/>
      </bottom>
      <diagonal/>
    </border>
    <border>
      <left style="dashDot">
        <color theme="0" tint="-0.14996795556505021"/>
      </left>
      <right style="dashDot">
        <color theme="0" tint="-0.14996795556505021"/>
      </right>
      <top style="medium">
        <color theme="1"/>
      </top>
      <bottom style="thin">
        <color rgb="FFB2B2B2"/>
      </bottom>
      <diagonal/>
    </border>
    <border>
      <left style="thick">
        <color auto="1"/>
      </left>
      <right style="dashDot">
        <color theme="0" tint="-0.14996795556505021"/>
      </right>
      <top style="medium">
        <color theme="1"/>
      </top>
      <bottom style="thin">
        <color rgb="FFB2B2B2"/>
      </bottom>
      <diagonal/>
    </border>
    <border>
      <left style="dashDotDot">
        <color theme="0" tint="-0.14996795556505021"/>
      </left>
      <right style="thick">
        <color auto="1"/>
      </right>
      <top style="thin">
        <color rgb="FFB2B2B2"/>
      </top>
      <bottom style="thin">
        <color rgb="FFB2B2B2"/>
      </bottom>
      <diagonal/>
    </border>
    <border>
      <left style="dashDotDot">
        <color theme="0" tint="-0.14996795556505021"/>
      </left>
      <right style="dashDotDot">
        <color theme="0" tint="-0.14996795556505021"/>
      </right>
      <top style="thin">
        <color rgb="FFB2B2B2"/>
      </top>
      <bottom style="thin">
        <color rgb="FFB2B2B2"/>
      </bottom>
      <diagonal/>
    </border>
    <border>
      <left style="thick">
        <color auto="1"/>
      </left>
      <right style="dashDotDot">
        <color theme="0" tint="-0.14996795556505021"/>
      </right>
      <top style="thin">
        <color theme="0" tint="-0.24994659260841701"/>
      </top>
      <bottom style="thin">
        <color theme="0" tint="-0.24994659260841701"/>
      </bottom>
      <diagonal/>
    </border>
    <border>
      <left style="dashDotDot">
        <color theme="0" tint="-0.14996795556505021"/>
      </left>
      <right style="thick">
        <color auto="1"/>
      </right>
      <top style="medium">
        <color theme="1"/>
      </top>
      <bottom style="thin">
        <color rgb="FFB2B2B2"/>
      </bottom>
      <diagonal/>
    </border>
    <border>
      <left style="dashDotDot">
        <color theme="0" tint="-0.14996795556505021"/>
      </left>
      <right style="dashDotDot">
        <color theme="0" tint="-0.14996795556505021"/>
      </right>
      <top style="medium">
        <color theme="1"/>
      </top>
      <bottom style="thin">
        <color rgb="FFB2B2B2"/>
      </bottom>
      <diagonal/>
    </border>
    <border>
      <left style="thick">
        <color auto="1"/>
      </left>
      <right style="dashDotDot">
        <color theme="0" tint="-0.14996795556505021"/>
      </right>
      <top style="medium">
        <color theme="1"/>
      </top>
      <bottom style="thin">
        <color theme="0" tint="-0.24994659260841701"/>
      </bottom>
      <diagonal/>
    </border>
    <border>
      <left style="dashDotDot">
        <color theme="0" tint="-0.14996795556505021"/>
      </left>
      <right style="thick">
        <color auto="1"/>
      </right>
      <top style="thin">
        <color rgb="FFB2B2B2"/>
      </top>
      <bottom style="double">
        <color auto="1"/>
      </bottom>
      <diagonal/>
    </border>
    <border>
      <left style="dashDotDot">
        <color theme="0" tint="-0.14996795556505021"/>
      </left>
      <right style="dashDotDot">
        <color theme="0" tint="-0.14996795556505021"/>
      </right>
      <top style="thin">
        <color rgb="FFB2B2B2"/>
      </top>
      <bottom style="double">
        <color auto="1"/>
      </bottom>
      <diagonal/>
    </border>
    <border>
      <left style="thick">
        <color auto="1"/>
      </left>
      <right style="dashDotDot">
        <color theme="0" tint="-0.14996795556505021"/>
      </right>
      <top style="thin">
        <color theme="0" tint="-0.24994659260841701"/>
      </top>
      <bottom style="double">
        <color auto="1"/>
      </bottom>
      <diagonal/>
    </border>
    <border>
      <left style="dashDot">
        <color theme="0" tint="-0.14996795556505021"/>
      </left>
      <right style="thick">
        <color auto="1"/>
      </right>
      <top style="thin">
        <color theme="2"/>
      </top>
      <bottom style="double">
        <color auto="1"/>
      </bottom>
      <diagonal/>
    </border>
    <border>
      <left style="dashDot">
        <color theme="0" tint="-0.14996795556505021"/>
      </left>
      <right style="dashDot">
        <color theme="0" tint="-0.14996795556505021"/>
      </right>
      <top style="thin">
        <color theme="2"/>
      </top>
      <bottom style="double">
        <color auto="1"/>
      </bottom>
      <diagonal/>
    </border>
    <border>
      <left style="thick">
        <color auto="1"/>
      </left>
      <right style="dashDot">
        <color theme="0" tint="-0.14996795556505021"/>
      </right>
      <top style="thin">
        <color theme="2"/>
      </top>
      <bottom style="double">
        <color auto="1"/>
      </bottom>
      <diagonal/>
    </border>
    <border>
      <left style="dashDot">
        <color theme="0" tint="-0.14996795556505021"/>
      </left>
      <right style="thick">
        <color auto="1"/>
      </right>
      <top style="thin">
        <color theme="2"/>
      </top>
      <bottom style="thin">
        <color theme="2"/>
      </bottom>
      <diagonal/>
    </border>
    <border>
      <left style="dashDot">
        <color theme="0" tint="-0.14996795556505021"/>
      </left>
      <right style="dashDot">
        <color theme="0" tint="-0.14996795556505021"/>
      </right>
      <top style="thin">
        <color theme="2"/>
      </top>
      <bottom style="thin">
        <color theme="2"/>
      </bottom>
      <diagonal/>
    </border>
    <border>
      <left style="thick">
        <color auto="1"/>
      </left>
      <right style="dashDot">
        <color theme="0" tint="-0.14996795556505021"/>
      </right>
      <top style="thin">
        <color theme="2"/>
      </top>
      <bottom style="thin">
        <color theme="2"/>
      </bottom>
      <diagonal/>
    </border>
    <border>
      <left style="dashDot">
        <color theme="0" tint="-0.14996795556505021"/>
      </left>
      <right style="thick">
        <color auto="1"/>
      </right>
      <top style="medium">
        <color theme="1"/>
      </top>
      <bottom style="thin">
        <color theme="2"/>
      </bottom>
      <diagonal/>
    </border>
    <border>
      <left style="dashDot">
        <color theme="0" tint="-0.14996795556505021"/>
      </left>
      <right style="dashDot">
        <color theme="0" tint="-0.14996795556505021"/>
      </right>
      <top style="medium">
        <color theme="1"/>
      </top>
      <bottom style="thin">
        <color theme="2"/>
      </bottom>
      <diagonal/>
    </border>
    <border>
      <left style="thick">
        <color auto="1"/>
      </left>
      <right style="dashDot">
        <color theme="0" tint="-0.14996795556505021"/>
      </right>
      <top style="medium">
        <color theme="1"/>
      </top>
      <bottom style="thin">
        <color theme="2"/>
      </bottom>
      <diagonal/>
    </border>
    <border>
      <left style="dashDot">
        <color theme="2" tint="-9.9948118533890809E-2"/>
      </left>
      <right style="thick">
        <color auto="1"/>
      </right>
      <top/>
      <bottom style="double">
        <color auto="1"/>
      </bottom>
      <diagonal/>
    </border>
    <border>
      <left style="dashDot">
        <color theme="2" tint="-9.9948118533890809E-2"/>
      </left>
      <right style="dashDot">
        <color theme="2" tint="-9.9948118533890809E-2"/>
      </right>
      <top/>
      <bottom style="double">
        <color auto="1"/>
      </bottom>
      <diagonal/>
    </border>
    <border>
      <left style="thick">
        <color auto="1"/>
      </left>
      <right style="dashDot">
        <color theme="2" tint="-9.9948118533890809E-2"/>
      </right>
      <top/>
      <bottom style="double">
        <color auto="1"/>
      </bottom>
      <diagonal/>
    </border>
    <border>
      <left style="dashDot">
        <color theme="2" tint="-9.9948118533890809E-2"/>
      </left>
      <right style="thick">
        <color auto="1"/>
      </right>
      <top style="thin">
        <color rgb="FFB2B2B2"/>
      </top>
      <bottom style="double">
        <color auto="1"/>
      </bottom>
      <diagonal/>
    </border>
    <border>
      <left style="dashDot">
        <color theme="2" tint="-9.9948118533890809E-2"/>
      </left>
      <right style="dashDot">
        <color theme="2" tint="-9.9948118533890809E-2"/>
      </right>
      <top style="thin">
        <color rgb="FFB2B2B2"/>
      </top>
      <bottom style="double">
        <color auto="1"/>
      </bottom>
      <diagonal/>
    </border>
    <border diagonalUp="1" diagonalDown="1">
      <left style="dashDot">
        <color theme="2" tint="-9.9948118533890809E-2"/>
      </left>
      <right style="dashDot">
        <color theme="2" tint="-9.9948118533890809E-2"/>
      </right>
      <top style="thin">
        <color theme="2" tint="-9.9917600024414813E-2"/>
      </top>
      <bottom style="double">
        <color auto="1"/>
      </bottom>
      <diagonal style="thin">
        <color auto="1"/>
      </diagonal>
    </border>
    <border>
      <left style="thick">
        <color theme="1"/>
      </left>
      <right style="dashDot">
        <color theme="2" tint="-9.9948118533890809E-2"/>
      </right>
      <top style="thin">
        <color theme="0" tint="-0.24994659260841701"/>
      </top>
      <bottom style="double">
        <color auto="1"/>
      </bottom>
      <diagonal/>
    </border>
    <border>
      <left style="dashDot">
        <color theme="2" tint="-9.9948118533890809E-2"/>
      </left>
      <right style="thick">
        <color auto="1"/>
      </right>
      <top style="thin">
        <color rgb="FFB2B2B2"/>
      </top>
      <bottom style="thin">
        <color rgb="FFB2B2B2"/>
      </bottom>
      <diagonal/>
    </border>
    <border>
      <left style="dashDot">
        <color theme="2" tint="-9.9948118533890809E-2"/>
      </left>
      <right style="dashDot">
        <color theme="2" tint="-9.9948118533890809E-2"/>
      </right>
      <top style="thin">
        <color rgb="FFB2B2B2"/>
      </top>
      <bottom style="thin">
        <color rgb="FFB2B2B2"/>
      </bottom>
      <diagonal/>
    </border>
    <border>
      <left style="dashDotDot">
        <color theme="2" tint="-9.9917600024414813E-2"/>
      </left>
      <right style="dashDot">
        <color theme="2" tint="-9.9948118533890809E-2"/>
      </right>
      <top style="thin">
        <color theme="2" tint="-9.9917600024414813E-2"/>
      </top>
      <bottom style="thin">
        <color theme="2" tint="-9.9917600024414813E-2"/>
      </bottom>
      <diagonal/>
    </border>
    <border>
      <left style="dashDot">
        <color theme="2" tint="-9.9948118533890809E-2"/>
      </left>
      <right style="dashDotDot">
        <color theme="2" tint="-9.9917600024414813E-2"/>
      </right>
      <top style="thin">
        <color theme="2" tint="-9.9917600024414813E-2"/>
      </top>
      <bottom style="thin">
        <color theme="2" tint="-9.9917600024414813E-2"/>
      </bottom>
      <diagonal/>
    </border>
    <border>
      <left style="thick">
        <color theme="1"/>
      </left>
      <right style="dashDot">
        <color theme="2" tint="-9.9948118533890809E-2"/>
      </right>
      <top style="thin">
        <color theme="0" tint="-0.24994659260841701"/>
      </top>
      <bottom style="thin">
        <color theme="0" tint="-0.24994659260841701"/>
      </bottom>
      <diagonal/>
    </border>
    <border>
      <left style="dashDot">
        <color theme="2" tint="-9.9948118533890809E-2"/>
      </left>
      <right style="thick">
        <color auto="1"/>
      </right>
      <top style="thin">
        <color rgb="FFB2B2B2"/>
      </top>
      <bottom style="thin">
        <color theme="2" tint="-9.9948118533890809E-2"/>
      </bottom>
      <diagonal/>
    </border>
    <border>
      <left style="dashDot">
        <color theme="2" tint="-9.9948118533890809E-2"/>
      </left>
      <right style="dashDot">
        <color theme="2" tint="-9.9948118533890809E-2"/>
      </right>
      <top style="thin">
        <color rgb="FFB2B2B2"/>
      </top>
      <bottom style="thin">
        <color theme="2" tint="-9.9948118533890809E-2"/>
      </bottom>
      <diagonal/>
    </border>
    <border>
      <left style="thick">
        <color auto="1"/>
      </left>
      <right style="dashDot">
        <color theme="2" tint="-9.9948118533890809E-2"/>
      </right>
      <top style="thin">
        <color rgb="FFB2B2B2"/>
      </top>
      <bottom style="thin">
        <color theme="2" tint="-9.9948118533890809E-2"/>
      </bottom>
      <diagonal/>
    </border>
    <border>
      <left style="dashDot">
        <color theme="2" tint="-9.9948118533890809E-2"/>
      </left>
      <right style="dashDot">
        <color theme="2" tint="-9.9948118533890809E-2"/>
      </right>
      <top style="thin">
        <color theme="2" tint="-9.9917600024414813E-2"/>
      </top>
      <bottom style="thin">
        <color theme="2" tint="-9.9917600024414813E-2"/>
      </bottom>
      <diagonal/>
    </border>
    <border>
      <left style="thick">
        <color auto="1"/>
      </left>
      <right style="dashDot">
        <color theme="2" tint="-9.9948118533890809E-2"/>
      </right>
      <top style="thin">
        <color rgb="FFB2B2B2"/>
      </top>
      <bottom style="thin">
        <color rgb="FFB2B2B2"/>
      </bottom>
      <diagonal/>
    </border>
    <border diagonalUp="1" diagonalDown="1">
      <left style="dashDot">
        <color theme="2" tint="-9.9948118533890809E-2"/>
      </left>
      <right style="dashDot">
        <color theme="2" tint="-9.9948118533890809E-2"/>
      </right>
      <top style="thin">
        <color theme="2" tint="-9.9917600024414813E-2"/>
      </top>
      <bottom style="thin">
        <color theme="2" tint="-9.9917600024414813E-2"/>
      </bottom>
      <diagonal style="thin">
        <color auto="1"/>
      </diagonal>
    </border>
    <border diagonalUp="1" diagonalDown="1">
      <left style="dashDot">
        <color theme="2" tint="-9.9948118533890809E-2"/>
      </left>
      <right style="dashDot">
        <color theme="2" tint="-9.9948118533890809E-2"/>
      </right>
      <top style="medium">
        <color theme="1"/>
      </top>
      <bottom style="thin">
        <color theme="2" tint="-9.9917600024414813E-2"/>
      </bottom>
      <diagonal style="thin">
        <color auto="1"/>
      </diagonal>
    </border>
    <border>
      <left style="thick">
        <color theme="1"/>
      </left>
      <right style="dashDot">
        <color theme="2" tint="-9.9948118533890809E-2"/>
      </right>
      <top style="medium">
        <color theme="1"/>
      </top>
      <bottom style="thin">
        <color theme="0" tint="-0.24994659260841701"/>
      </bottom>
      <diagonal/>
    </border>
    <border>
      <left style="dashDot">
        <color theme="2" tint="-9.9948118533890809E-2"/>
      </left>
      <right style="dashDotDot">
        <color theme="2" tint="-9.9917600024414813E-2"/>
      </right>
      <top style="medium">
        <color theme="1"/>
      </top>
      <bottom style="thin">
        <color theme="2" tint="-9.9917600024414813E-2"/>
      </bottom>
      <diagonal/>
    </border>
    <border>
      <left style="dashDotDot">
        <color theme="2" tint="-9.9917600024414813E-2"/>
      </left>
      <right style="dashDot">
        <color theme="2" tint="-9.9948118533890809E-2"/>
      </right>
      <top style="medium">
        <color theme="1"/>
      </top>
      <bottom style="thin">
        <color theme="2" tint="-9.9917600024414813E-2"/>
      </bottom>
      <diagonal/>
    </border>
    <border>
      <left style="dashDot">
        <color theme="2" tint="-9.9948118533890809E-2"/>
      </left>
      <right style="dashDot">
        <color theme="2" tint="-9.9948118533890809E-2"/>
      </right>
      <top style="medium">
        <color theme="1"/>
      </top>
      <bottom style="thin">
        <color theme="2" tint="-9.9917600024414813E-2"/>
      </bottom>
      <diagonal/>
    </border>
    <border>
      <left/>
      <right/>
      <top/>
      <bottom style="thick">
        <color auto="1"/>
      </bottom>
      <diagonal/>
    </border>
    <border>
      <left/>
      <right style="thick">
        <color auto="1"/>
      </right>
      <top/>
      <bottom style="double">
        <color indexed="64"/>
      </bottom>
      <diagonal/>
    </border>
    <border>
      <left/>
      <right/>
      <top/>
      <bottom style="double">
        <color indexed="64"/>
      </bottom>
      <diagonal/>
    </border>
    <border>
      <left style="thick">
        <color auto="1"/>
      </left>
      <right/>
      <top/>
      <bottom style="double">
        <color indexed="64"/>
      </bottom>
      <diagonal/>
    </border>
    <border>
      <left/>
      <right style="thick">
        <color auto="1"/>
      </right>
      <top style="medium">
        <color auto="1"/>
      </top>
      <bottom/>
      <diagonal/>
    </border>
    <border>
      <left/>
      <right/>
      <top style="medium">
        <color auto="1"/>
      </top>
      <bottom/>
      <diagonal/>
    </border>
    <border>
      <left style="thick">
        <color auto="1"/>
      </left>
      <right/>
      <top style="medium">
        <color auto="1"/>
      </top>
      <bottom/>
      <diagonal/>
    </border>
    <border>
      <left/>
      <right style="thick">
        <color auto="1"/>
      </right>
      <top style="thick">
        <color auto="1"/>
      </top>
      <bottom style="medium">
        <color indexed="64"/>
      </bottom>
      <diagonal/>
    </border>
    <border>
      <left/>
      <right/>
      <top style="thick">
        <color auto="1"/>
      </top>
      <bottom style="medium">
        <color indexed="64"/>
      </bottom>
      <diagonal/>
    </border>
    <border>
      <left style="thick">
        <color auto="1"/>
      </left>
      <right/>
      <top style="thick">
        <color auto="1"/>
      </top>
      <bottom style="medium">
        <color indexed="64"/>
      </bottom>
      <diagonal/>
    </border>
    <border>
      <left/>
      <right style="thick">
        <color auto="1"/>
      </right>
      <top style="thin">
        <color theme="0" tint="-0.24994659260841701"/>
      </top>
      <bottom style="thick">
        <color auto="1"/>
      </bottom>
      <diagonal/>
    </border>
    <border>
      <left/>
      <right/>
      <top style="thin">
        <color theme="0" tint="-0.24994659260841701"/>
      </top>
      <bottom style="thick">
        <color auto="1"/>
      </bottom>
      <diagonal/>
    </border>
    <border>
      <left style="thin">
        <color theme="0" tint="-0.24994659260841701"/>
      </left>
      <right/>
      <top style="thin">
        <color theme="0" tint="-0.24994659260841701"/>
      </top>
      <bottom style="thick">
        <color auto="1"/>
      </bottom>
      <diagonal/>
    </border>
    <border>
      <left/>
      <right style="thin">
        <color theme="0" tint="-0.24994659260841701"/>
      </right>
      <top style="thin">
        <color theme="0" tint="-0.24994659260841701"/>
      </top>
      <bottom style="thick">
        <color auto="1"/>
      </bottom>
      <diagonal/>
    </border>
    <border>
      <left style="thick">
        <color auto="1"/>
      </left>
      <right/>
      <top style="thin">
        <color theme="0" tint="-0.24994659260841701"/>
      </top>
      <bottom style="thick">
        <color auto="1"/>
      </bottom>
      <diagonal/>
    </border>
    <border>
      <left/>
      <right style="thick">
        <color auto="1"/>
      </right>
      <top style="double">
        <color auto="1"/>
      </top>
      <bottom style="thin">
        <color theme="0" tint="-0.24994659260841701"/>
      </bottom>
      <diagonal/>
    </border>
    <border>
      <left/>
      <right/>
      <top style="double">
        <color auto="1"/>
      </top>
      <bottom style="thin">
        <color theme="0" tint="-0.24994659260841701"/>
      </bottom>
      <diagonal/>
    </border>
    <border>
      <left style="thin">
        <color theme="0" tint="-0.24994659260841701"/>
      </left>
      <right/>
      <top style="double">
        <color auto="1"/>
      </top>
      <bottom style="thin">
        <color theme="0" tint="-0.24994659260841701"/>
      </bottom>
      <diagonal/>
    </border>
    <border>
      <left/>
      <right style="thin">
        <color theme="0" tint="-0.24994659260841701"/>
      </right>
      <top style="double">
        <color auto="1"/>
      </top>
      <bottom style="thin">
        <color theme="0" tint="-0.24994659260841701"/>
      </bottom>
      <diagonal/>
    </border>
    <border>
      <left style="thick">
        <color auto="1"/>
      </left>
      <right/>
      <top style="double">
        <color auto="1"/>
      </top>
      <bottom style="thin">
        <color theme="0" tint="-0.24994659260841701"/>
      </bottom>
      <diagonal/>
    </border>
    <border>
      <left/>
      <right/>
      <top style="thick">
        <color auto="1"/>
      </top>
      <bottom style="double">
        <color auto="1"/>
      </bottom>
      <diagonal/>
    </border>
    <border>
      <left style="dashDot">
        <color theme="2" tint="-9.9948118533890809E-2"/>
      </left>
      <right style="dashDot">
        <color theme="2" tint="-9.9917600024414813E-2"/>
      </right>
      <top style="medium">
        <color theme="1"/>
      </top>
      <bottom style="thin">
        <color theme="2" tint="-9.9917600024414813E-2"/>
      </bottom>
      <diagonal/>
    </border>
    <border>
      <left style="dashDot">
        <color theme="2" tint="-9.9917600024414813E-2"/>
      </left>
      <right style="dashDot">
        <color theme="2" tint="-9.9948118533890809E-2"/>
      </right>
      <top style="medium">
        <color theme="1"/>
      </top>
      <bottom style="thin">
        <color theme="2" tint="-9.9917600024414813E-2"/>
      </bottom>
      <diagonal/>
    </border>
    <border>
      <left style="dashDot">
        <color theme="2" tint="-9.9948118533890809E-2"/>
      </left>
      <right style="dashDot">
        <color theme="2" tint="-9.9917600024414813E-2"/>
      </right>
      <top style="thin">
        <color theme="2" tint="-9.9917600024414813E-2"/>
      </top>
      <bottom style="thin">
        <color theme="2" tint="-9.9917600024414813E-2"/>
      </bottom>
      <diagonal/>
    </border>
    <border>
      <left style="dashDot">
        <color theme="2" tint="-9.9917600024414813E-2"/>
      </left>
      <right style="dashDot">
        <color theme="2" tint="-9.9948118533890809E-2"/>
      </right>
      <top style="thin">
        <color theme="2" tint="-9.9917600024414813E-2"/>
      </top>
      <bottom style="thin">
        <color theme="2" tint="-9.9917600024414813E-2"/>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hair">
        <color auto="1"/>
      </right>
      <top/>
      <bottom style="double">
        <color indexed="64"/>
      </bottom>
      <diagonal/>
    </border>
    <border>
      <left style="hair">
        <color auto="1"/>
      </left>
      <right style="hair">
        <color auto="1"/>
      </right>
      <top/>
      <bottom style="double">
        <color indexed="64"/>
      </bottom>
      <diagonal/>
    </border>
    <border>
      <left style="hair">
        <color auto="1"/>
      </left>
      <right style="medium">
        <color auto="1"/>
      </right>
      <top/>
      <bottom style="double">
        <color indexed="64"/>
      </bottom>
      <diagonal/>
    </border>
    <border>
      <left style="medium">
        <color auto="1"/>
      </left>
      <right style="hair">
        <color auto="1"/>
      </right>
      <top/>
      <bottom style="thin">
        <color auto="1"/>
      </bottom>
      <diagonal/>
    </border>
    <border>
      <left style="hair">
        <color auto="1"/>
      </left>
      <right style="hair">
        <color auto="1"/>
      </right>
      <top/>
      <bottom style="thin">
        <color auto="1"/>
      </bottom>
      <diagonal/>
    </border>
    <border>
      <left style="medium">
        <color auto="1"/>
      </left>
      <right style="hair">
        <color auto="1"/>
      </right>
      <top style="double">
        <color indexed="64"/>
      </top>
      <bottom style="thin">
        <color auto="1"/>
      </bottom>
      <diagonal/>
    </border>
    <border>
      <left style="hair">
        <color auto="1"/>
      </left>
      <right style="hair">
        <color auto="1"/>
      </right>
      <top style="double">
        <color indexed="64"/>
      </top>
      <bottom style="thin">
        <color auto="1"/>
      </bottom>
      <diagonal/>
    </border>
    <border>
      <left style="hair">
        <color auto="1"/>
      </left>
      <right style="medium">
        <color auto="1"/>
      </right>
      <top style="double">
        <color indexed="64"/>
      </top>
      <bottom style="thin">
        <color auto="1"/>
      </bottom>
      <diagonal/>
    </border>
    <border>
      <left style="medium">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medium">
        <color auto="1"/>
      </right>
      <top style="thin">
        <color auto="1"/>
      </top>
      <bottom/>
      <diagonal/>
    </border>
    <border>
      <left style="medium">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medium">
        <color auto="1"/>
      </left>
      <right style="hair">
        <color auto="1"/>
      </right>
      <top style="medium">
        <color auto="1"/>
      </top>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style="hair">
        <color auto="1"/>
      </right>
      <top/>
      <bottom style="medium">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style="medium">
        <color auto="1"/>
      </left>
      <right style="dotted">
        <color auto="1"/>
      </right>
      <top/>
      <bottom style="thin">
        <color auto="1"/>
      </bottom>
      <diagonal/>
    </border>
    <border>
      <left style="dotted">
        <color auto="1"/>
      </left>
      <right style="dotted">
        <color auto="1"/>
      </right>
      <top/>
      <bottom style="thin">
        <color auto="1"/>
      </bottom>
      <diagonal/>
    </border>
    <border>
      <left style="medium">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medium">
        <color auto="1"/>
      </right>
      <top style="thin">
        <color auto="1"/>
      </top>
      <bottom style="thin">
        <color auto="1"/>
      </bottom>
      <diagonal/>
    </border>
    <border>
      <left style="medium">
        <color auto="1"/>
      </left>
      <right style="dotted">
        <color auto="1"/>
      </right>
      <top style="thin">
        <color auto="1"/>
      </top>
      <bottom style="medium">
        <color auto="1"/>
      </bottom>
      <diagonal/>
    </border>
    <border>
      <left style="dotted">
        <color auto="1"/>
      </left>
      <right style="dotted">
        <color auto="1"/>
      </right>
      <top style="thin">
        <color auto="1"/>
      </top>
      <bottom style="medium">
        <color auto="1"/>
      </bottom>
      <diagonal/>
    </border>
    <border>
      <left style="dotted">
        <color auto="1"/>
      </left>
      <right style="medium">
        <color auto="1"/>
      </right>
      <top style="thin">
        <color auto="1"/>
      </top>
      <bottom style="medium">
        <color auto="1"/>
      </bottom>
      <diagonal/>
    </border>
    <border>
      <left style="medium">
        <color auto="1"/>
      </left>
      <right style="dotted">
        <color auto="1"/>
      </right>
      <top/>
      <bottom/>
      <diagonal/>
    </border>
    <border>
      <left style="dotted">
        <color auto="1"/>
      </left>
      <right style="dotted">
        <color auto="1"/>
      </right>
      <top/>
      <bottom/>
      <diagonal/>
    </border>
    <border>
      <left style="dotted">
        <color auto="1"/>
      </left>
      <right style="medium">
        <color auto="1"/>
      </right>
      <top/>
      <bottom/>
      <diagonal/>
    </border>
    <border>
      <left style="medium">
        <color auto="1"/>
      </left>
      <right style="dotted">
        <color auto="1"/>
      </right>
      <top/>
      <bottom style="medium">
        <color auto="1"/>
      </bottom>
      <diagonal/>
    </border>
    <border>
      <left style="dotted">
        <color auto="1"/>
      </left>
      <right style="dotted">
        <color auto="1"/>
      </right>
      <top/>
      <bottom style="medium">
        <color auto="1"/>
      </bottom>
      <diagonal/>
    </border>
    <border>
      <left style="dotted">
        <color auto="1"/>
      </left>
      <right style="medium">
        <color auto="1"/>
      </right>
      <top/>
      <bottom style="medium">
        <color auto="1"/>
      </bottom>
      <diagonal/>
    </border>
    <border>
      <left style="medium">
        <color auto="1"/>
      </left>
      <right/>
      <top/>
      <bottom style="thin">
        <color auto="1"/>
      </bottom>
      <diagonal/>
    </border>
    <border>
      <left style="hair">
        <color auto="1"/>
      </left>
      <right/>
      <top style="double">
        <color indexed="64"/>
      </top>
      <bottom style="thin">
        <color auto="1"/>
      </bottom>
      <diagonal/>
    </border>
    <border>
      <left style="medium">
        <color auto="1"/>
      </left>
      <right style="medium">
        <color auto="1"/>
      </right>
      <top style="double">
        <color indexed="64"/>
      </top>
      <bottom style="medium">
        <color auto="1"/>
      </bottom>
      <diagonal/>
    </border>
    <border>
      <left style="medium">
        <color auto="1"/>
      </left>
      <right style="medium">
        <color auto="1"/>
      </right>
      <top/>
      <bottom style="medium">
        <color auto="1"/>
      </bottom>
      <diagonal/>
    </border>
    <border>
      <left/>
      <right/>
      <top/>
      <bottom style="medium">
        <color indexed="64"/>
      </bottom>
      <diagonal/>
    </border>
    <border>
      <left style="thick">
        <color auto="1"/>
      </left>
      <right/>
      <top style="double">
        <color auto="1"/>
      </top>
      <bottom/>
      <diagonal/>
    </border>
    <border>
      <left/>
      <right/>
      <top style="double">
        <color auto="1"/>
      </top>
      <bottom/>
      <diagonal/>
    </border>
    <border>
      <left style="medium">
        <color auto="1"/>
      </left>
      <right style="dashed">
        <color auto="1"/>
      </right>
      <top style="thin">
        <color auto="1"/>
      </top>
      <bottom style="medium">
        <color auto="1"/>
      </bottom>
      <diagonal/>
    </border>
    <border>
      <left/>
      <right style="medium">
        <color auto="1"/>
      </right>
      <top/>
      <bottom style="medium">
        <color auto="1"/>
      </bottom>
      <diagonal/>
    </border>
    <border>
      <left/>
      <right style="medium">
        <color auto="1"/>
      </right>
      <top style="thin">
        <color indexed="64"/>
      </top>
      <bottom style="medium">
        <color auto="1"/>
      </bottom>
      <diagonal/>
    </border>
    <border>
      <left style="hair">
        <color auto="1"/>
      </left>
      <right style="medium">
        <color auto="1"/>
      </right>
      <top style="double">
        <color indexed="64"/>
      </top>
      <bottom style="medium">
        <color indexed="64"/>
      </bottom>
      <diagonal/>
    </border>
    <border>
      <left style="thick">
        <color auto="1"/>
      </left>
      <right style="hair">
        <color auto="1"/>
      </right>
      <top style="thin">
        <color auto="1"/>
      </top>
      <bottom style="thin">
        <color auto="1"/>
      </bottom>
      <diagonal/>
    </border>
    <border>
      <left style="hair">
        <color auto="1"/>
      </left>
      <right style="thick">
        <color auto="1"/>
      </right>
      <top style="thin">
        <color auto="1"/>
      </top>
      <bottom style="thin">
        <color auto="1"/>
      </bottom>
      <diagonal/>
    </border>
    <border>
      <left style="thick">
        <color auto="1"/>
      </left>
      <right style="hair">
        <color auto="1"/>
      </right>
      <top style="thin">
        <color auto="1"/>
      </top>
      <bottom style="thick">
        <color auto="1"/>
      </bottom>
      <diagonal/>
    </border>
    <border>
      <left style="hair">
        <color auto="1"/>
      </left>
      <right style="thick">
        <color auto="1"/>
      </right>
      <top style="thin">
        <color auto="1"/>
      </top>
      <bottom style="thick">
        <color auto="1"/>
      </bottom>
      <diagonal/>
    </border>
    <border>
      <left style="thick">
        <color auto="1"/>
      </left>
      <right style="hair">
        <color auto="1"/>
      </right>
      <top/>
      <bottom style="thin">
        <color auto="1"/>
      </bottom>
      <diagonal/>
    </border>
    <border>
      <left style="hair">
        <color auto="1"/>
      </left>
      <right style="thick">
        <color auto="1"/>
      </right>
      <top/>
      <bottom style="thin">
        <color auto="1"/>
      </bottom>
      <diagonal/>
    </border>
    <border>
      <left style="thick">
        <color auto="1"/>
      </left>
      <right style="hair">
        <color auto="1"/>
      </right>
      <top style="thick">
        <color auto="1"/>
      </top>
      <bottom style="double">
        <color auto="1"/>
      </bottom>
      <diagonal/>
    </border>
    <border>
      <left style="hair">
        <color auto="1"/>
      </left>
      <right style="thick">
        <color auto="1"/>
      </right>
      <top style="thick">
        <color auto="1"/>
      </top>
      <bottom style="double">
        <color auto="1"/>
      </bottom>
      <diagonal/>
    </border>
    <border>
      <left style="thick">
        <color auto="1"/>
      </left>
      <right style="dotted">
        <color auto="1"/>
      </right>
      <top style="thin">
        <color auto="1"/>
      </top>
      <bottom style="thin">
        <color auto="1"/>
      </bottom>
      <diagonal/>
    </border>
    <border>
      <left style="dotted">
        <color auto="1"/>
      </left>
      <right style="thick">
        <color auto="1"/>
      </right>
      <top style="thin">
        <color auto="1"/>
      </top>
      <bottom style="thin">
        <color auto="1"/>
      </bottom>
      <diagonal/>
    </border>
    <border>
      <left style="dotted">
        <color auto="1"/>
      </left>
      <right style="dotted">
        <color auto="1"/>
      </right>
      <top style="thin">
        <color auto="1"/>
      </top>
      <bottom style="thick">
        <color auto="1"/>
      </bottom>
      <diagonal/>
    </border>
    <border>
      <left style="dotted">
        <color auto="1"/>
      </left>
      <right style="thick">
        <color auto="1"/>
      </right>
      <top style="thin">
        <color auto="1"/>
      </top>
      <bottom style="thick">
        <color auto="1"/>
      </bottom>
      <diagonal/>
    </border>
    <border>
      <left/>
      <right style="hair">
        <color auto="1"/>
      </right>
      <top/>
      <bottom style="double">
        <color indexed="64"/>
      </bottom>
      <diagonal/>
    </border>
    <border>
      <left/>
      <right style="hair">
        <color auto="1"/>
      </right>
      <top style="double">
        <color indexed="64"/>
      </top>
      <bottom style="thin">
        <color auto="1"/>
      </bottom>
      <diagonal/>
    </border>
    <border>
      <left/>
      <right style="hair">
        <color auto="1"/>
      </right>
      <top style="thin">
        <color auto="1"/>
      </top>
      <bottom style="thin">
        <color auto="1"/>
      </bottom>
      <diagonal/>
    </border>
    <border>
      <left/>
      <right style="hair">
        <color auto="1"/>
      </right>
      <top style="thin">
        <color auto="1"/>
      </top>
      <bottom style="medium">
        <color auto="1"/>
      </bottom>
      <diagonal/>
    </border>
    <border>
      <left/>
      <right style="hair">
        <color auto="1"/>
      </right>
      <top/>
      <bottom/>
      <diagonal/>
    </border>
    <border>
      <left style="hair">
        <color auto="1"/>
      </left>
      <right/>
      <top/>
      <bottom style="double">
        <color indexed="64"/>
      </bottom>
      <diagonal/>
    </border>
    <border>
      <left style="medium">
        <color auto="1"/>
      </left>
      <right/>
      <top style="double">
        <color indexed="64"/>
      </top>
      <bottom style="thin">
        <color auto="1"/>
      </bottom>
      <diagonal/>
    </border>
    <border>
      <left style="hair">
        <color auto="1"/>
      </left>
      <right/>
      <top style="thin">
        <color auto="1"/>
      </top>
      <bottom style="thin">
        <color auto="1"/>
      </bottom>
      <diagonal/>
    </border>
    <border>
      <left style="hair">
        <color auto="1"/>
      </left>
      <right/>
      <top style="thin">
        <color auto="1"/>
      </top>
      <bottom style="medium">
        <color auto="1"/>
      </bottom>
      <diagonal/>
    </border>
    <border>
      <left style="hair">
        <color auto="1"/>
      </left>
      <right/>
      <top/>
      <bottom/>
      <diagonal/>
    </border>
    <border>
      <left style="thick">
        <color auto="1"/>
      </left>
      <right style="hair">
        <color auto="1"/>
      </right>
      <top/>
      <bottom style="double">
        <color auto="1"/>
      </bottom>
      <diagonal/>
    </border>
    <border>
      <left style="hair">
        <color auto="1"/>
      </left>
      <right style="thick">
        <color auto="1"/>
      </right>
      <top/>
      <bottom style="double">
        <color auto="1"/>
      </bottom>
      <diagonal/>
    </border>
    <border>
      <left style="thick">
        <color auto="1"/>
      </left>
      <right style="hair">
        <color auto="1"/>
      </right>
      <top style="thin">
        <color auto="1"/>
      </top>
      <bottom/>
      <diagonal/>
    </border>
    <border>
      <left style="thick">
        <color auto="1"/>
      </left>
      <right/>
      <top style="thin">
        <color auto="1"/>
      </top>
      <bottom style="thin">
        <color auto="1"/>
      </bottom>
      <diagonal/>
    </border>
    <border>
      <left/>
      <right style="dotted">
        <color auto="1"/>
      </right>
      <top style="thin">
        <color auto="1"/>
      </top>
      <bottom style="thin">
        <color auto="1"/>
      </bottom>
      <diagonal/>
    </border>
    <border>
      <left style="thick">
        <color auto="1"/>
      </left>
      <right/>
      <top style="thin">
        <color auto="1"/>
      </top>
      <bottom style="thick">
        <color auto="1"/>
      </bottom>
      <diagonal/>
    </border>
    <border>
      <left/>
      <right style="dotted">
        <color auto="1"/>
      </right>
      <top style="thin">
        <color auto="1"/>
      </top>
      <bottom style="thick">
        <color auto="1"/>
      </bottom>
      <diagonal/>
    </border>
    <border>
      <left style="thick">
        <color auto="1"/>
      </left>
      <right style="dotted">
        <color auto="1"/>
      </right>
      <top/>
      <bottom style="thin">
        <color auto="1"/>
      </bottom>
      <diagonal/>
    </border>
    <border>
      <left style="dotted">
        <color auto="1"/>
      </left>
      <right style="thick">
        <color auto="1"/>
      </right>
      <top/>
      <bottom style="thin">
        <color auto="1"/>
      </bottom>
      <diagonal/>
    </border>
    <border>
      <left style="thick">
        <color auto="1"/>
      </left>
      <right style="dotted">
        <color auto="1"/>
      </right>
      <top/>
      <bottom style="double">
        <color auto="1"/>
      </bottom>
      <diagonal/>
    </border>
    <border>
      <left style="dotted">
        <color auto="1"/>
      </left>
      <right style="dotted">
        <color auto="1"/>
      </right>
      <top/>
      <bottom style="double">
        <color auto="1"/>
      </bottom>
      <diagonal/>
    </border>
    <border>
      <left style="dotted">
        <color auto="1"/>
      </left>
      <right style="thick">
        <color auto="1"/>
      </right>
      <top/>
      <bottom style="double">
        <color auto="1"/>
      </bottom>
      <diagonal/>
    </border>
    <border>
      <left style="thick">
        <color auto="1"/>
      </left>
      <right style="hair">
        <color auto="1"/>
      </right>
      <top/>
      <bottom/>
      <diagonal/>
    </border>
    <border>
      <left style="hair">
        <color auto="1"/>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dashDot">
        <color theme="2" tint="-9.9948118533890809E-2"/>
      </right>
      <top/>
      <bottom/>
      <diagonal/>
    </border>
    <border>
      <left style="thick">
        <color auto="1"/>
      </left>
      <right style="dashDot">
        <color theme="2" tint="-9.9948118533890809E-2"/>
      </right>
      <top style="thick">
        <color auto="1"/>
      </top>
      <bottom/>
      <diagonal/>
    </border>
    <border>
      <left style="dashDot">
        <color theme="2" tint="-9.9948118533890809E-2"/>
      </left>
      <right style="dashDot">
        <color theme="2" tint="-9.9948118533890809E-2"/>
      </right>
      <top style="thick">
        <color auto="1"/>
      </top>
      <bottom/>
      <diagonal/>
    </border>
    <border>
      <left style="dashDot">
        <color theme="2" tint="-9.9948118533890809E-2"/>
      </left>
      <right style="dashDot">
        <color theme="2" tint="-9.9948118533890809E-2"/>
      </right>
      <top style="thin">
        <color rgb="FFB2B2B2"/>
      </top>
      <bottom/>
      <diagonal/>
    </border>
    <border>
      <left style="dashDot">
        <color theme="2" tint="-9.9948118533890809E-2"/>
      </left>
      <right style="thick">
        <color auto="1"/>
      </right>
      <top style="thin">
        <color rgb="FFB2B2B2"/>
      </top>
      <bottom/>
      <diagonal/>
    </border>
    <border>
      <left style="dashDot">
        <color theme="2" tint="-9.9948118533890809E-2"/>
      </left>
      <right/>
      <top style="thick">
        <color auto="1"/>
      </top>
      <bottom/>
      <diagonal/>
    </border>
    <border>
      <left style="dashDot">
        <color theme="2" tint="-9.9948118533890809E-2"/>
      </left>
      <right style="dashDotDot">
        <color theme="2" tint="-9.9917600024414813E-2"/>
      </right>
      <top style="double">
        <color auto="1"/>
      </top>
      <bottom style="thick">
        <color auto="1"/>
      </bottom>
      <diagonal/>
    </border>
    <border>
      <left style="dashDotDot">
        <color theme="2" tint="-9.9917600024414813E-2"/>
      </left>
      <right style="dashDot">
        <color theme="2" tint="-9.9948118533890809E-2"/>
      </right>
      <top style="double">
        <color auto="1"/>
      </top>
      <bottom style="thick">
        <color auto="1"/>
      </bottom>
      <diagonal/>
    </border>
    <border>
      <left style="dashDot">
        <color theme="2" tint="-9.9948118533890809E-2"/>
      </left>
      <right/>
      <top/>
      <bottom style="double">
        <color auto="1"/>
      </bottom>
      <diagonal/>
    </border>
    <border>
      <left/>
      <right style="dashDot">
        <color theme="2" tint="-9.9948118533890809E-2"/>
      </right>
      <top/>
      <bottom style="double">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double">
        <color indexed="64"/>
      </bottom>
      <diagonal/>
    </border>
    <border>
      <left style="thick">
        <color auto="1"/>
      </left>
      <right style="thick">
        <color auto="1"/>
      </right>
      <top/>
      <bottom style="thin">
        <color auto="1"/>
      </bottom>
      <diagonal/>
    </border>
    <border>
      <left/>
      <right/>
      <top/>
      <bottom style="thin">
        <color auto="1"/>
      </bottom>
      <diagonal/>
    </border>
    <border>
      <left style="hair">
        <color auto="1"/>
      </left>
      <right style="hair">
        <color auto="1"/>
      </right>
      <top style="thin">
        <color auto="1"/>
      </top>
      <bottom style="thick">
        <color auto="1"/>
      </bottom>
      <diagonal/>
    </border>
    <border>
      <left style="medium">
        <color auto="1"/>
      </left>
      <right style="dotted">
        <color auto="1"/>
      </right>
      <top style="double">
        <color indexed="64"/>
      </top>
      <bottom style="thin">
        <color auto="1"/>
      </bottom>
      <diagonal/>
    </border>
    <border>
      <left style="dotted">
        <color auto="1"/>
      </left>
      <right style="dotted">
        <color auto="1"/>
      </right>
      <top style="double">
        <color indexed="64"/>
      </top>
      <bottom style="thin">
        <color auto="1"/>
      </bottom>
      <diagonal/>
    </border>
    <border>
      <left style="dotted">
        <color auto="1"/>
      </left>
      <right style="medium">
        <color auto="1"/>
      </right>
      <top style="double">
        <color indexed="64"/>
      </top>
      <bottom style="thin">
        <color auto="1"/>
      </bottom>
      <diagonal/>
    </border>
    <border>
      <left style="dotted">
        <color auto="1"/>
      </left>
      <right style="medium">
        <color auto="1"/>
      </right>
      <top style="thin">
        <color auto="1"/>
      </top>
      <bottom/>
      <diagonal/>
    </border>
    <border>
      <left style="medium">
        <color auto="1"/>
      </left>
      <right style="dotted">
        <color auto="1"/>
      </right>
      <top style="medium">
        <color auto="1"/>
      </top>
      <bottom style="medium">
        <color auto="1"/>
      </bottom>
      <diagonal/>
    </border>
    <border>
      <left style="dotted">
        <color auto="1"/>
      </left>
      <right style="dotted">
        <color auto="1"/>
      </right>
      <top style="medium">
        <color auto="1"/>
      </top>
      <bottom style="medium">
        <color auto="1"/>
      </bottom>
      <diagonal/>
    </border>
    <border>
      <left style="dotted">
        <color auto="1"/>
      </left>
      <right style="medium">
        <color auto="1"/>
      </right>
      <top style="medium">
        <color auto="1"/>
      </top>
      <bottom style="medium">
        <color auto="1"/>
      </bottom>
      <diagonal/>
    </border>
    <border>
      <left style="dashDot">
        <color theme="2" tint="-9.9948118533890809E-2"/>
      </left>
      <right style="dashDotDot">
        <color theme="2" tint="-9.9917600024414813E-2"/>
      </right>
      <top style="thin">
        <color theme="2" tint="-9.9917600024414813E-2"/>
      </top>
      <bottom style="medium">
        <color auto="1"/>
      </bottom>
      <diagonal/>
    </border>
    <border>
      <left style="dashDotDot">
        <color theme="2" tint="-9.9917600024414813E-2"/>
      </left>
      <right style="dashDot">
        <color theme="2" tint="-9.9948118533890809E-2"/>
      </right>
      <top style="thin">
        <color theme="2" tint="-9.9917600024414813E-2"/>
      </top>
      <bottom style="medium">
        <color auto="1"/>
      </bottom>
      <diagonal/>
    </border>
    <border>
      <left style="medium">
        <color auto="1"/>
      </left>
      <right style="dashed">
        <color auto="1"/>
      </right>
      <top style="double">
        <color auto="1"/>
      </top>
      <bottom style="medium">
        <color indexed="64"/>
      </bottom>
      <diagonal/>
    </border>
    <border>
      <left style="dashed">
        <color auto="1"/>
      </left>
      <right style="dashed">
        <color auto="1"/>
      </right>
      <top style="double">
        <color auto="1"/>
      </top>
      <bottom style="medium">
        <color indexed="64"/>
      </bottom>
      <diagonal/>
    </border>
    <border>
      <left style="dashed">
        <color auto="1"/>
      </left>
      <right style="medium">
        <color auto="1"/>
      </right>
      <top style="double">
        <color auto="1"/>
      </top>
      <bottom style="medium">
        <color indexed="64"/>
      </bottom>
      <diagonal/>
    </border>
    <border>
      <left style="thick">
        <color auto="1"/>
      </left>
      <right style="dashDot">
        <color theme="2" tint="-9.9948118533890809E-2"/>
      </right>
      <top style="thin">
        <color rgb="FFB2B2B2"/>
      </top>
      <bottom style="thin">
        <color theme="2" tint="-0.24994659260841701"/>
      </bottom>
      <diagonal/>
    </border>
  </borders>
  <cellStyleXfs count="3">
    <xf numFmtId="0" fontId="0" fillId="0" borderId="0"/>
    <xf numFmtId="0" fontId="1" fillId="2" borderId="1" applyNumberFormat="0" applyFont="0" applyAlignment="0" applyProtection="0"/>
    <xf numFmtId="43" fontId="1" fillId="0" borderId="0" applyFont="0" applyFill="0" applyBorder="0" applyAlignment="0" applyProtection="0"/>
  </cellStyleXfs>
  <cellXfs count="471">
    <xf numFmtId="0" fontId="0" fillId="0" borderId="0" xfId="0"/>
    <xf numFmtId="0" fontId="0" fillId="3" borderId="0" xfId="0" applyFill="1"/>
    <xf numFmtId="164" fontId="2" fillId="0" borderId="2" xfId="1" applyNumberFormat="1" applyFont="1" applyFill="1" applyBorder="1"/>
    <xf numFmtId="0" fontId="2" fillId="0" borderId="3" xfId="1" applyFont="1" applyFill="1" applyBorder="1" applyAlignment="1">
      <alignment horizontal="center"/>
    </xf>
    <xf numFmtId="164" fontId="2" fillId="0" borderId="4" xfId="1" applyNumberFormat="1" applyFont="1" applyFill="1" applyBorder="1"/>
    <xf numFmtId="0" fontId="2" fillId="0" borderId="5" xfId="1" applyFont="1" applyFill="1" applyBorder="1" applyAlignment="1">
      <alignment horizontal="center"/>
    </xf>
    <xf numFmtId="164" fontId="2" fillId="0" borderId="6" xfId="1" applyNumberFormat="1" applyFont="1" applyFill="1" applyBorder="1"/>
    <xf numFmtId="0" fontId="2" fillId="0" borderId="7" xfId="1" applyFont="1" applyFill="1" applyBorder="1" applyAlignment="1">
      <alignment horizontal="center"/>
    </xf>
    <xf numFmtId="165" fontId="2" fillId="0" borderId="13" xfId="1" applyNumberFormat="1" applyFont="1" applyFill="1" applyBorder="1"/>
    <xf numFmtId="10" fontId="2" fillId="0" borderId="14" xfId="1" applyNumberFormat="1" applyFont="1" applyFill="1" applyBorder="1"/>
    <xf numFmtId="0" fontId="2" fillId="0" borderId="14" xfId="1" applyFont="1" applyFill="1" applyBorder="1"/>
    <xf numFmtId="0" fontId="2" fillId="0" borderId="15" xfId="1" applyFont="1" applyFill="1" applyBorder="1"/>
    <xf numFmtId="0" fontId="0" fillId="0" borderId="0" xfId="0" applyBorder="1" applyAlignment="1">
      <alignment horizontal="right"/>
    </xf>
    <xf numFmtId="10" fontId="2" fillId="0" borderId="11" xfId="1" applyNumberFormat="1" applyFont="1" applyFill="1" applyBorder="1"/>
    <xf numFmtId="165" fontId="4" fillId="0" borderId="19" xfId="1" applyNumberFormat="1" applyFont="1" applyFill="1" applyBorder="1"/>
    <xf numFmtId="10" fontId="4" fillId="0" borderId="20" xfId="1" applyNumberFormat="1" applyFont="1" applyFill="1" applyBorder="1"/>
    <xf numFmtId="0" fontId="2" fillId="0" borderId="20" xfId="1" applyFont="1" applyFill="1" applyBorder="1"/>
    <xf numFmtId="0" fontId="2" fillId="0" borderId="21" xfId="1" applyFont="1" applyFill="1" applyBorder="1"/>
    <xf numFmtId="165" fontId="2" fillId="0" borderId="22" xfId="1" applyNumberFormat="1" applyFont="1" applyFill="1" applyBorder="1"/>
    <xf numFmtId="10" fontId="2" fillId="0" borderId="23" xfId="1" applyNumberFormat="1" applyFont="1" applyFill="1" applyBorder="1"/>
    <xf numFmtId="0" fontId="2" fillId="0" borderId="23" xfId="1" applyFont="1" applyFill="1" applyBorder="1"/>
    <xf numFmtId="0" fontId="2" fillId="0" borderId="24" xfId="1" applyFont="1" applyFill="1" applyBorder="1"/>
    <xf numFmtId="165" fontId="2" fillId="0" borderId="25" xfId="1" applyNumberFormat="1" applyFont="1" applyFill="1" applyBorder="1"/>
    <xf numFmtId="10" fontId="2" fillId="0" borderId="26" xfId="1" applyNumberFormat="1" applyFont="1" applyFill="1" applyBorder="1"/>
    <xf numFmtId="0" fontId="2" fillId="0" borderId="26" xfId="1" applyFont="1" applyFill="1" applyBorder="1"/>
    <xf numFmtId="16" fontId="0" fillId="0" borderId="27" xfId="0" applyNumberFormat="1" applyFill="1" applyBorder="1"/>
    <xf numFmtId="165" fontId="4" fillId="0" borderId="25" xfId="1" applyNumberFormat="1" applyFont="1" applyFill="1" applyBorder="1"/>
    <xf numFmtId="10" fontId="4" fillId="0" borderId="26" xfId="1" applyNumberFormat="1" applyFont="1" applyFill="1" applyBorder="1"/>
    <xf numFmtId="165" fontId="2" fillId="0" borderId="28" xfId="1" applyNumberFormat="1" applyFont="1" applyFill="1" applyBorder="1"/>
    <xf numFmtId="10" fontId="2" fillId="0" borderId="29" xfId="1" applyNumberFormat="1" applyFont="1" applyFill="1" applyBorder="1"/>
    <xf numFmtId="0" fontId="2" fillId="0" borderId="29" xfId="1" applyFont="1" applyFill="1" applyBorder="1"/>
    <xf numFmtId="16" fontId="0" fillId="0" borderId="30" xfId="0" applyNumberFormat="1" applyFill="1" applyBorder="1"/>
    <xf numFmtId="10" fontId="2" fillId="0" borderId="20" xfId="1" applyNumberFormat="1" applyFont="1" applyFill="1" applyBorder="1"/>
    <xf numFmtId="165" fontId="4" fillId="0" borderId="31" xfId="1" applyNumberFormat="1" applyFont="1" applyFill="1" applyBorder="1"/>
    <xf numFmtId="10" fontId="4" fillId="0" borderId="32" xfId="1" applyNumberFormat="1" applyFont="1" applyFill="1" applyBorder="1"/>
    <xf numFmtId="0" fontId="2" fillId="0" borderId="32" xfId="1" applyFont="1" applyFill="1" applyBorder="1"/>
    <xf numFmtId="16" fontId="0" fillId="0" borderId="33" xfId="0" applyNumberFormat="1" applyFill="1" applyBorder="1"/>
    <xf numFmtId="165" fontId="2" fillId="0" borderId="31" xfId="1" applyNumberFormat="1" applyFont="1" applyFill="1" applyBorder="1"/>
    <xf numFmtId="10" fontId="2" fillId="0" borderId="32" xfId="1" applyNumberFormat="1" applyFont="1" applyFill="1" applyBorder="1"/>
    <xf numFmtId="165" fontId="4" fillId="0" borderId="34" xfId="1" applyNumberFormat="1" applyFont="1" applyFill="1" applyBorder="1"/>
    <xf numFmtId="10" fontId="4" fillId="0" borderId="35" xfId="1" applyNumberFormat="1" applyFont="1" applyFill="1" applyBorder="1"/>
    <xf numFmtId="0" fontId="2" fillId="0" borderId="35" xfId="1" applyFont="1" applyFill="1" applyBorder="1"/>
    <xf numFmtId="0" fontId="2" fillId="0" borderId="35" xfId="0" applyFont="1" applyBorder="1"/>
    <xf numFmtId="0" fontId="2" fillId="0" borderId="36" xfId="1" applyFont="1" applyFill="1" applyBorder="1"/>
    <xf numFmtId="165" fontId="4" fillId="0" borderId="37" xfId="1" applyNumberFormat="1" applyFont="1" applyFill="1" applyBorder="1"/>
    <xf numFmtId="10" fontId="4" fillId="0" borderId="38" xfId="1" applyNumberFormat="1" applyFont="1" applyFill="1" applyBorder="1"/>
    <xf numFmtId="0" fontId="2" fillId="0" borderId="38" xfId="1" applyFont="1" applyFill="1" applyBorder="1"/>
    <xf numFmtId="0" fontId="2" fillId="0" borderId="38" xfId="0" applyFont="1" applyBorder="1"/>
    <xf numFmtId="0" fontId="2" fillId="0" borderId="39" xfId="1" applyFont="1" applyFill="1" applyBorder="1"/>
    <xf numFmtId="165" fontId="2" fillId="0" borderId="40" xfId="1" applyNumberFormat="1" applyFont="1" applyFill="1" applyBorder="1"/>
    <xf numFmtId="10" fontId="2" fillId="0" borderId="41" xfId="1" applyNumberFormat="1" applyFont="1" applyFill="1" applyBorder="1"/>
    <xf numFmtId="0" fontId="2" fillId="0" borderId="41" xfId="1" applyFont="1" applyFill="1" applyBorder="1"/>
    <xf numFmtId="0" fontId="2" fillId="0" borderId="41" xfId="0" applyFont="1" applyBorder="1"/>
    <xf numFmtId="0" fontId="2" fillId="0" borderId="42" xfId="1" applyFont="1" applyFill="1" applyBorder="1"/>
    <xf numFmtId="165" fontId="2" fillId="0" borderId="43" xfId="1" applyNumberFormat="1" applyFont="1" applyFill="1" applyBorder="1"/>
    <xf numFmtId="10" fontId="2" fillId="0" borderId="44" xfId="1" applyNumberFormat="1" applyFont="1" applyFill="1" applyBorder="1"/>
    <xf numFmtId="0" fontId="2" fillId="0" borderId="44" xfId="1" applyFont="1" applyFill="1" applyBorder="1"/>
    <xf numFmtId="0" fontId="2" fillId="0" borderId="45" xfId="1" applyFont="1" applyFill="1" applyBorder="1"/>
    <xf numFmtId="165" fontId="2" fillId="0" borderId="46" xfId="1" applyNumberFormat="1" applyFont="1" applyFill="1" applyBorder="1"/>
    <xf numFmtId="10" fontId="2" fillId="0" borderId="47" xfId="1" applyNumberFormat="1" applyFont="1" applyFill="1" applyBorder="1"/>
    <xf numFmtId="0" fontId="2" fillId="0" borderId="48" xfId="0" applyFont="1" applyBorder="1"/>
    <xf numFmtId="0" fontId="2" fillId="0" borderId="49" xfId="0" applyFont="1" applyBorder="1"/>
    <xf numFmtId="165" fontId="2" fillId="0" borderId="50" xfId="1" applyNumberFormat="1" applyFont="1" applyFill="1" applyBorder="1"/>
    <xf numFmtId="10" fontId="2" fillId="0" borderId="51" xfId="1" applyNumberFormat="1" applyFont="1" applyFill="1" applyBorder="1"/>
    <xf numFmtId="0" fontId="2" fillId="0" borderId="52" xfId="0" applyFont="1" applyBorder="1"/>
    <xf numFmtId="0" fontId="2" fillId="0" borderId="53" xfId="0" applyFont="1" applyBorder="1"/>
    <xf numFmtId="0" fontId="2" fillId="0" borderId="54" xfId="0" applyFont="1" applyBorder="1"/>
    <xf numFmtId="165" fontId="2" fillId="0" borderId="55" xfId="1" applyNumberFormat="1" applyFont="1" applyFill="1" applyBorder="1"/>
    <xf numFmtId="10" fontId="2" fillId="0" borderId="56" xfId="1" applyNumberFormat="1" applyFont="1" applyFill="1" applyBorder="1"/>
    <xf numFmtId="0" fontId="2" fillId="0" borderId="56" xfId="1" applyFont="1" applyFill="1" applyBorder="1"/>
    <xf numFmtId="0" fontId="2" fillId="0" borderId="57" xfId="1" applyFont="1" applyFill="1" applyBorder="1"/>
    <xf numFmtId="0" fontId="2" fillId="0" borderId="51" xfId="1" applyFont="1" applyFill="1" applyBorder="1"/>
    <xf numFmtId="0" fontId="2" fillId="0" borderId="58" xfId="0" applyFont="1" applyBorder="1"/>
    <xf numFmtId="0" fontId="2" fillId="0" borderId="59" xfId="1" applyFont="1" applyFill="1" applyBorder="1"/>
    <xf numFmtId="0" fontId="4" fillId="0" borderId="58" xfId="0" applyFont="1" applyBorder="1"/>
    <xf numFmtId="0" fontId="4" fillId="0" borderId="54" xfId="0" applyFont="1" applyBorder="1"/>
    <xf numFmtId="165" fontId="4" fillId="0" borderId="50" xfId="1" applyNumberFormat="1" applyFont="1" applyFill="1" applyBorder="1"/>
    <xf numFmtId="10" fontId="4" fillId="0" borderId="51" xfId="1" applyNumberFormat="1" applyFont="1" applyFill="1" applyBorder="1"/>
    <xf numFmtId="0" fontId="4" fillId="0" borderId="51" xfId="1" applyFont="1" applyFill="1" applyBorder="1"/>
    <xf numFmtId="0" fontId="4" fillId="0" borderId="59" xfId="1" applyFont="1" applyFill="1" applyBorder="1"/>
    <xf numFmtId="0" fontId="2" fillId="0" borderId="60" xfId="0" applyFont="1" applyBorder="1"/>
    <xf numFmtId="0" fontId="2" fillId="0" borderId="61" xfId="0" applyFont="1" applyBorder="1"/>
    <xf numFmtId="0" fontId="2" fillId="0" borderId="62" xfId="0" applyFont="1" applyBorder="1"/>
    <xf numFmtId="0" fontId="2" fillId="0" borderId="63" xfId="0" applyFont="1" applyBorder="1"/>
    <xf numFmtId="0" fontId="2" fillId="0" borderId="64" xfId="0" applyFont="1" applyBorder="1"/>
    <xf numFmtId="0" fontId="2" fillId="0" borderId="65" xfId="0" applyFont="1" applyBorder="1"/>
    <xf numFmtId="0" fontId="0" fillId="0" borderId="66" xfId="0" applyBorder="1" applyAlignment="1">
      <alignment horizontal="right"/>
    </xf>
    <xf numFmtId="0" fontId="0" fillId="0" borderId="66" xfId="0" applyBorder="1" applyAlignment="1">
      <alignment horizontal="center"/>
    </xf>
    <xf numFmtId="0" fontId="0" fillId="0" borderId="3" xfId="0" applyBorder="1" applyAlignment="1"/>
    <xf numFmtId="10" fontId="0" fillId="0" borderId="4" xfId="0" applyNumberFormat="1" applyBorder="1" applyAlignment="1"/>
    <xf numFmtId="10" fontId="0" fillId="0" borderId="0" xfId="0" applyNumberFormat="1" applyBorder="1" applyAlignment="1"/>
    <xf numFmtId="0" fontId="0" fillId="0" borderId="0" xfId="0" applyBorder="1" applyAlignment="1">
      <alignment horizontal="center"/>
    </xf>
    <xf numFmtId="0" fontId="0" fillId="0" borderId="5" xfId="0" applyBorder="1" applyAlignment="1"/>
    <xf numFmtId="0" fontId="3" fillId="4" borderId="67" xfId="1" quotePrefix="1" applyFont="1" applyFill="1" applyBorder="1" applyAlignment="1">
      <alignment horizontal="center"/>
    </xf>
    <xf numFmtId="0" fontId="0" fillId="0" borderId="68" xfId="0" applyBorder="1" applyAlignment="1">
      <alignment horizontal="right"/>
    </xf>
    <xf numFmtId="0" fontId="3" fillId="4" borderId="68" xfId="1" quotePrefix="1" applyFont="1" applyFill="1" applyBorder="1" applyAlignment="1">
      <alignment horizontal="left"/>
    </xf>
    <xf numFmtId="0" fontId="0" fillId="0" borderId="68" xfId="0" applyBorder="1" applyAlignment="1">
      <alignment horizontal="right"/>
    </xf>
    <xf numFmtId="0" fontId="0" fillId="0" borderId="70" xfId="0" applyBorder="1"/>
    <xf numFmtId="0" fontId="0" fillId="0" borderId="71" xfId="0" applyBorder="1" applyAlignment="1">
      <alignment horizontal="right"/>
    </xf>
    <xf numFmtId="0" fontId="3" fillId="4" borderId="71" xfId="1" quotePrefix="1" applyFont="1" applyFill="1" applyBorder="1" applyAlignment="1">
      <alignment horizontal="left"/>
    </xf>
    <xf numFmtId="0" fontId="0" fillId="0" borderId="71" xfId="0" applyBorder="1" applyAlignment="1">
      <alignment horizontal="right"/>
    </xf>
    <xf numFmtId="166" fontId="0" fillId="0" borderId="81" xfId="0" applyNumberFormat="1" applyBorder="1" applyAlignment="1"/>
    <xf numFmtId="10" fontId="2" fillId="0" borderId="38" xfId="1" applyNumberFormat="1" applyFont="1" applyFill="1" applyBorder="1"/>
    <xf numFmtId="0" fontId="2" fillId="0" borderId="87" xfId="0" applyFont="1" applyBorder="1"/>
    <xf numFmtId="0" fontId="2" fillId="0" borderId="88" xfId="0" applyFont="1" applyBorder="1"/>
    <xf numFmtId="0" fontId="2" fillId="0" borderId="89" xfId="0" applyFont="1" applyBorder="1"/>
    <xf numFmtId="0" fontId="2" fillId="0" borderId="90" xfId="0" applyFont="1" applyBorder="1"/>
    <xf numFmtId="0" fontId="5" fillId="5" borderId="93" xfId="0" applyFont="1" applyFill="1" applyBorder="1"/>
    <xf numFmtId="0" fontId="5" fillId="5" borderId="94" xfId="0" applyFont="1" applyFill="1" applyBorder="1"/>
    <xf numFmtId="0" fontId="5" fillId="5" borderId="95" xfId="0" applyFont="1" applyFill="1" applyBorder="1"/>
    <xf numFmtId="0" fontId="5" fillId="6" borderId="93" xfId="0" applyFont="1" applyFill="1" applyBorder="1"/>
    <xf numFmtId="0" fontId="5" fillId="6" borderId="94" xfId="0" applyFont="1" applyFill="1" applyBorder="1"/>
    <xf numFmtId="0" fontId="5" fillId="6" borderId="95" xfId="0" applyFont="1" applyFill="1" applyBorder="1"/>
    <xf numFmtId="0" fontId="5" fillId="7" borderId="93" xfId="0" applyFont="1" applyFill="1" applyBorder="1"/>
    <xf numFmtId="0" fontId="5" fillId="7" borderId="94" xfId="0" applyFont="1" applyFill="1" applyBorder="1"/>
    <xf numFmtId="0" fontId="5" fillId="7" borderId="95" xfId="0" applyFont="1" applyFill="1" applyBorder="1"/>
    <xf numFmtId="0" fontId="5" fillId="8" borderId="93" xfId="0" applyFont="1" applyFill="1" applyBorder="1"/>
    <xf numFmtId="0" fontId="5" fillId="8" borderId="94" xfId="0" applyFont="1" applyFill="1" applyBorder="1"/>
    <xf numFmtId="0" fontId="5" fillId="8" borderId="95" xfId="0" applyFont="1" applyFill="1" applyBorder="1"/>
    <xf numFmtId="0" fontId="0" fillId="4" borderId="96" xfId="0" applyFill="1" applyBorder="1"/>
    <xf numFmtId="0" fontId="0" fillId="4" borderId="97" xfId="0" applyFill="1" applyBorder="1"/>
    <xf numFmtId="0" fontId="0" fillId="4" borderId="98" xfId="0" applyFill="1" applyBorder="1"/>
    <xf numFmtId="0" fontId="0" fillId="4" borderId="99" xfId="0" applyFill="1" applyBorder="1"/>
    <xf numFmtId="0" fontId="0" fillId="4" borderId="100" xfId="0" applyFill="1" applyBorder="1"/>
    <xf numFmtId="0" fontId="0" fillId="4" borderId="101" xfId="0" applyFill="1" applyBorder="1"/>
    <xf numFmtId="0" fontId="0" fillId="4" borderId="102" xfId="0" applyFill="1" applyBorder="1"/>
    <xf numFmtId="0" fontId="0" fillId="4" borderId="103" xfId="0" applyFill="1" applyBorder="1"/>
    <xf numFmtId="0" fontId="0" fillId="4" borderId="104" xfId="0" applyFill="1" applyBorder="1"/>
    <xf numFmtId="0" fontId="0" fillId="4" borderId="105" xfId="0" applyFill="1" applyBorder="1"/>
    <xf numFmtId="0" fontId="0" fillId="4" borderId="107" xfId="0" applyFill="1" applyBorder="1"/>
    <xf numFmtId="0" fontId="0" fillId="4" borderId="108" xfId="0" applyFill="1" applyBorder="1"/>
    <xf numFmtId="0" fontId="0" fillId="4" borderId="109" xfId="0" applyFill="1" applyBorder="1"/>
    <xf numFmtId="0" fontId="5" fillId="4" borderId="110" xfId="0" applyFont="1" applyFill="1" applyBorder="1"/>
    <xf numFmtId="0" fontId="0" fillId="4" borderId="111" xfId="0" applyFill="1" applyBorder="1"/>
    <xf numFmtId="0" fontId="0" fillId="4" borderId="112" xfId="0" applyFill="1" applyBorder="1"/>
    <xf numFmtId="0" fontId="5" fillId="4" borderId="113" xfId="0" applyFont="1" applyFill="1" applyBorder="1"/>
    <xf numFmtId="0" fontId="0" fillId="4" borderId="114" xfId="0" applyFill="1" applyBorder="1"/>
    <xf numFmtId="0" fontId="0" fillId="4" borderId="115" xfId="0" applyFill="1" applyBorder="1"/>
    <xf numFmtId="0" fontId="0" fillId="4" borderId="116" xfId="0" applyFill="1" applyBorder="1"/>
    <xf numFmtId="0" fontId="0" fillId="4" borderId="117" xfId="0" applyFill="1" applyBorder="1"/>
    <xf numFmtId="0" fontId="0" fillId="4" borderId="118" xfId="0" applyFill="1" applyBorder="1"/>
    <xf numFmtId="0" fontId="0" fillId="4" borderId="113" xfId="0" applyFill="1" applyBorder="1"/>
    <xf numFmtId="43" fontId="5" fillId="6" borderId="93" xfId="2" applyFont="1" applyFill="1" applyBorder="1"/>
    <xf numFmtId="43" fontId="5" fillId="6" borderId="94" xfId="2" applyFont="1" applyFill="1" applyBorder="1"/>
    <xf numFmtId="43" fontId="5" fillId="6" borderId="95" xfId="2" applyFont="1" applyFill="1" applyBorder="1"/>
    <xf numFmtId="0" fontId="5" fillId="9" borderId="93" xfId="0" applyFont="1" applyFill="1" applyBorder="1"/>
    <xf numFmtId="0" fontId="5" fillId="9" borderId="94" xfId="0" applyFont="1" applyFill="1" applyBorder="1"/>
    <xf numFmtId="0" fontId="5" fillId="9" borderId="95" xfId="0" applyFont="1" applyFill="1" applyBorder="1"/>
    <xf numFmtId="0" fontId="0" fillId="4" borderId="133" xfId="0" applyFill="1" applyBorder="1"/>
    <xf numFmtId="0" fontId="0" fillId="4" borderId="134" xfId="0" applyFill="1" applyBorder="1"/>
    <xf numFmtId="0" fontId="0" fillId="4" borderId="135" xfId="0" applyFill="1" applyBorder="1"/>
    <xf numFmtId="0" fontId="0" fillId="4" borderId="136" xfId="0" applyFill="1" applyBorder="1"/>
    <xf numFmtId="0" fontId="0" fillId="10" borderId="0" xfId="0" applyFill="1"/>
    <xf numFmtId="0" fontId="7" fillId="10" borderId="0" xfId="0" applyFont="1" applyFill="1"/>
    <xf numFmtId="0" fontId="5" fillId="4" borderId="94" xfId="0" applyFont="1" applyFill="1" applyBorder="1"/>
    <xf numFmtId="0" fontId="0" fillId="4" borderId="121" xfId="0" applyFill="1" applyBorder="1"/>
    <xf numFmtId="0" fontId="0" fillId="4" borderId="122" xfId="0" applyFill="1" applyBorder="1"/>
    <xf numFmtId="0" fontId="0" fillId="4" borderId="123" xfId="0" applyFill="1" applyBorder="1"/>
    <xf numFmtId="0" fontId="0" fillId="4" borderId="124" xfId="0" applyFill="1" applyBorder="1"/>
    <xf numFmtId="0" fontId="0" fillId="4" borderId="125" xfId="0" applyFill="1" applyBorder="1"/>
    <xf numFmtId="0" fontId="0" fillId="4" borderId="126" xfId="0" applyFill="1" applyBorder="1"/>
    <xf numFmtId="0" fontId="5" fillId="4" borderId="127" xfId="0" applyFont="1" applyFill="1" applyBorder="1"/>
    <xf numFmtId="0" fontId="0" fillId="4" borderId="128" xfId="0" applyFill="1" applyBorder="1"/>
    <xf numFmtId="0" fontId="0" fillId="4" borderId="129" xfId="0" applyFill="1" applyBorder="1"/>
    <xf numFmtId="0" fontId="0" fillId="4" borderId="127" xfId="0" applyFill="1" applyBorder="1"/>
    <xf numFmtId="0" fontId="0" fillId="4" borderId="130" xfId="0" applyFill="1" applyBorder="1"/>
    <xf numFmtId="0" fontId="0" fillId="4" borderId="131" xfId="0" applyFill="1" applyBorder="1"/>
    <xf numFmtId="0" fontId="0" fillId="4" borderId="132" xfId="0" applyFill="1" applyBorder="1"/>
    <xf numFmtId="2" fontId="0" fillId="4" borderId="114" xfId="0" applyNumberFormat="1" applyFill="1" applyBorder="1"/>
    <xf numFmtId="2" fontId="0" fillId="4" borderId="117" xfId="0" applyNumberFormat="1" applyFill="1" applyBorder="1"/>
    <xf numFmtId="16" fontId="2" fillId="0" borderId="54" xfId="0" applyNumberFormat="1" applyFont="1" applyBorder="1"/>
    <xf numFmtId="0" fontId="0" fillId="3" borderId="0" xfId="0" quotePrefix="1" applyFill="1"/>
    <xf numFmtId="0" fontId="0" fillId="10" borderId="0" xfId="0" applyFill="1" applyBorder="1"/>
    <xf numFmtId="0" fontId="5" fillId="11" borderId="0" xfId="0" applyFont="1" applyFill="1" applyBorder="1" applyAlignment="1">
      <alignment horizontal="center" wrapText="1"/>
    </xf>
    <xf numFmtId="0" fontId="5" fillId="13" borderId="0" xfId="0" applyFont="1" applyFill="1" applyBorder="1" applyAlignment="1">
      <alignment horizontal="center" wrapText="1"/>
    </xf>
    <xf numFmtId="0" fontId="5" fillId="10" borderId="0" xfId="0" applyFont="1" applyFill="1" applyBorder="1" applyAlignment="1">
      <alignment horizontal="center" wrapText="1"/>
    </xf>
    <xf numFmtId="0" fontId="5" fillId="15" borderId="0" xfId="0" applyFont="1" applyFill="1" applyBorder="1" applyAlignment="1">
      <alignment horizontal="center" wrapText="1"/>
    </xf>
    <xf numFmtId="0" fontId="5" fillId="14" borderId="0" xfId="0" applyFont="1" applyFill="1" applyBorder="1" applyAlignment="1">
      <alignment horizontal="center" wrapText="1"/>
    </xf>
    <xf numFmtId="0" fontId="5" fillId="16" borderId="0" xfId="0" applyFont="1" applyFill="1" applyBorder="1" applyAlignment="1">
      <alignment horizontal="center" wrapText="1"/>
    </xf>
    <xf numFmtId="0" fontId="0" fillId="4" borderId="141" xfId="0" applyFill="1" applyBorder="1"/>
    <xf numFmtId="0" fontId="0" fillId="4" borderId="140" xfId="0" applyFill="1" applyBorder="1"/>
    <xf numFmtId="0" fontId="0" fillId="4" borderId="142" xfId="0" applyFill="1" applyBorder="1"/>
    <xf numFmtId="0" fontId="0" fillId="4" borderId="143" xfId="0" applyFill="1" applyBorder="1"/>
    <xf numFmtId="0" fontId="11" fillId="14" borderId="0" xfId="0" applyFont="1" applyFill="1" applyBorder="1" applyAlignment="1">
      <alignment horizontal="center" wrapText="1"/>
    </xf>
    <xf numFmtId="16" fontId="2" fillId="4" borderId="54" xfId="0" applyNumberFormat="1" applyFont="1" applyFill="1" applyBorder="1"/>
    <xf numFmtId="0" fontId="2" fillId="4" borderId="53" xfId="0" applyFont="1" applyFill="1" applyBorder="1"/>
    <xf numFmtId="0" fontId="2" fillId="4" borderId="52" xfId="0" applyFont="1" applyFill="1" applyBorder="1"/>
    <xf numFmtId="10" fontId="2" fillId="4" borderId="51" xfId="1" applyNumberFormat="1" applyFont="1" applyFill="1" applyBorder="1"/>
    <xf numFmtId="165" fontId="2" fillId="4" borderId="50" xfId="1" applyNumberFormat="1" applyFont="1" applyFill="1" applyBorder="1"/>
    <xf numFmtId="16" fontId="2" fillId="17" borderId="54" xfId="0" applyNumberFormat="1" applyFont="1" applyFill="1" applyBorder="1"/>
    <xf numFmtId="0" fontId="2" fillId="17" borderId="53" xfId="0" applyFont="1" applyFill="1" applyBorder="1"/>
    <xf numFmtId="0" fontId="2" fillId="17" borderId="52" xfId="0" applyFont="1" applyFill="1" applyBorder="1"/>
    <xf numFmtId="10" fontId="2" fillId="17" borderId="51" xfId="1" applyNumberFormat="1" applyFont="1" applyFill="1" applyBorder="1"/>
    <xf numFmtId="165" fontId="2" fillId="17" borderId="50" xfId="1" applyNumberFormat="1" applyFont="1" applyFill="1" applyBorder="1"/>
    <xf numFmtId="165" fontId="12" fillId="17" borderId="50" xfId="1" applyNumberFormat="1" applyFont="1" applyFill="1" applyBorder="1"/>
    <xf numFmtId="0" fontId="7" fillId="3" borderId="0" xfId="0" applyFont="1" applyFill="1"/>
    <xf numFmtId="0" fontId="0" fillId="4" borderId="144" xfId="0" applyFill="1" applyBorder="1"/>
    <xf numFmtId="0" fontId="0" fillId="4" borderId="145" xfId="0" applyFill="1" applyBorder="1"/>
    <xf numFmtId="0" fontId="0" fillId="4" borderId="144" xfId="0" applyFill="1" applyBorder="1" applyAlignment="1">
      <alignment horizontal="center"/>
    </xf>
    <xf numFmtId="0" fontId="0" fillId="4" borderId="145" xfId="0" applyFill="1" applyBorder="1" applyAlignment="1">
      <alignment horizontal="center"/>
    </xf>
    <xf numFmtId="0" fontId="0" fillId="4" borderId="146" xfId="0" applyFill="1" applyBorder="1" applyAlignment="1">
      <alignment horizontal="center"/>
    </xf>
    <xf numFmtId="0" fontId="0" fillId="4" borderId="147" xfId="0" applyFill="1" applyBorder="1" applyAlignment="1">
      <alignment horizontal="center"/>
    </xf>
    <xf numFmtId="0" fontId="0" fillId="4" borderId="148" xfId="0" applyFill="1" applyBorder="1" applyAlignment="1">
      <alignment horizontal="center"/>
    </xf>
    <xf numFmtId="0" fontId="0" fillId="4" borderId="149" xfId="0" applyFill="1" applyBorder="1" applyAlignment="1">
      <alignment horizontal="center"/>
    </xf>
    <xf numFmtId="0" fontId="0" fillId="4" borderId="152" xfId="0" applyFill="1" applyBorder="1"/>
    <xf numFmtId="0" fontId="0" fillId="4" borderId="153" xfId="0" applyFill="1" applyBorder="1"/>
    <xf numFmtId="0" fontId="0" fillId="4" borderId="154" xfId="0" applyFill="1" applyBorder="1"/>
    <xf numFmtId="0" fontId="0" fillId="4" borderId="155" xfId="0" applyFill="1" applyBorder="1"/>
    <xf numFmtId="0" fontId="5" fillId="4" borderId="156" xfId="0" applyFont="1" applyFill="1" applyBorder="1"/>
    <xf numFmtId="0" fontId="0" fillId="4" borderId="157" xfId="0" applyFill="1" applyBorder="1"/>
    <xf numFmtId="0" fontId="0" fillId="4" borderId="158" xfId="0" applyFill="1" applyBorder="1"/>
    <xf numFmtId="0" fontId="0" fillId="4" borderId="159" xfId="0" applyFill="1" applyBorder="1"/>
    <xf numFmtId="0" fontId="5" fillId="4" borderId="160" xfId="0" applyFont="1" applyFill="1" applyBorder="1"/>
    <xf numFmtId="0" fontId="0" fillId="4" borderId="160" xfId="0" applyFill="1" applyBorder="1"/>
    <xf numFmtId="0" fontId="0" fillId="3" borderId="4" xfId="0" applyFill="1" applyBorder="1"/>
    <xf numFmtId="0" fontId="5" fillId="4" borderId="161" xfId="0" applyFont="1" applyFill="1" applyBorder="1"/>
    <xf numFmtId="0" fontId="0" fillId="4" borderId="162" xfId="0" applyFill="1" applyBorder="1"/>
    <xf numFmtId="0" fontId="0" fillId="4" borderId="163" xfId="0" applyFill="1" applyBorder="1"/>
    <xf numFmtId="0" fontId="0" fillId="4" borderId="164" xfId="0" applyFill="1" applyBorder="1"/>
    <xf numFmtId="0" fontId="0" fillId="4" borderId="165" xfId="0" applyFill="1" applyBorder="1"/>
    <xf numFmtId="0" fontId="0" fillId="3" borderId="5" xfId="0" applyFill="1" applyBorder="1"/>
    <xf numFmtId="0" fontId="0" fillId="3" borderId="17" xfId="0" applyFill="1" applyBorder="1"/>
    <xf numFmtId="0" fontId="0" fillId="4" borderId="148" xfId="0" applyFill="1" applyBorder="1"/>
    <xf numFmtId="0" fontId="0" fillId="4" borderId="149" xfId="0" applyFill="1" applyBorder="1"/>
    <xf numFmtId="0" fontId="0" fillId="4" borderId="168" xfId="0" applyFill="1" applyBorder="1"/>
    <xf numFmtId="0" fontId="0" fillId="4" borderId="173" xfId="0" applyFill="1" applyBorder="1"/>
    <xf numFmtId="0" fontId="0" fillId="4" borderId="120" xfId="0" applyFill="1" applyBorder="1"/>
    <xf numFmtId="0" fontId="0" fillId="4" borderId="174" xfId="0" applyFill="1" applyBorder="1"/>
    <xf numFmtId="0" fontId="0" fillId="4" borderId="175" xfId="0" applyFill="1" applyBorder="1"/>
    <xf numFmtId="0" fontId="0" fillId="4" borderId="176" xfId="0" applyFill="1" applyBorder="1"/>
    <xf numFmtId="0" fontId="0" fillId="4" borderId="177" xfId="0" applyFill="1" applyBorder="1"/>
    <xf numFmtId="164" fontId="2" fillId="0" borderId="4" xfId="1" applyNumberFormat="1" applyFont="1" applyFill="1" applyBorder="1" applyAlignment="1">
      <alignment horizontal="left"/>
    </xf>
    <xf numFmtId="164" fontId="2" fillId="0" borderId="2" xfId="1" applyNumberFormat="1" applyFont="1" applyFill="1" applyBorder="1" applyAlignment="1">
      <alignment horizontal="left"/>
    </xf>
    <xf numFmtId="0" fontId="0" fillId="0" borderId="17" xfId="0" applyBorder="1" applyAlignment="1">
      <alignment horizontal="right"/>
    </xf>
    <xf numFmtId="10" fontId="2" fillId="0" borderId="16" xfId="1" applyNumberFormat="1" applyFont="1" applyFill="1" applyBorder="1" applyAlignment="1">
      <alignment horizontal="center"/>
    </xf>
    <xf numFmtId="0" fontId="2" fillId="4" borderId="66" xfId="0" applyFont="1" applyFill="1" applyBorder="1" applyAlignment="1">
      <alignment horizontal="center" vertical="center"/>
    </xf>
    <xf numFmtId="0" fontId="2" fillId="4" borderId="2" xfId="0" applyFont="1" applyFill="1" applyBorder="1" applyAlignment="1">
      <alignment horizontal="left"/>
    </xf>
    <xf numFmtId="0" fontId="2" fillId="4" borderId="3" xfId="0" applyFont="1" applyFill="1" applyBorder="1" applyAlignment="1"/>
    <xf numFmtId="0" fontId="3" fillId="0" borderId="184" xfId="1" applyFont="1" applyFill="1" applyBorder="1"/>
    <xf numFmtId="0" fontId="3" fillId="0" borderId="45" xfId="0" applyFont="1" applyBorder="1"/>
    <xf numFmtId="0" fontId="3" fillId="0" borderId="44" xfId="0" applyFont="1" applyBorder="1"/>
    <xf numFmtId="0" fontId="3" fillId="0" borderId="43" xfId="0" applyFont="1" applyBorder="1"/>
    <xf numFmtId="0" fontId="0" fillId="0" borderId="2" xfId="0" applyBorder="1" applyAlignment="1">
      <alignment horizontal="center"/>
    </xf>
    <xf numFmtId="0" fontId="0" fillId="0" borderId="76" xfId="0" applyBorder="1" applyAlignment="1">
      <alignment horizontal="center"/>
    </xf>
    <xf numFmtId="0" fontId="0" fillId="0" borderId="79" xfId="0" applyBorder="1" applyAlignment="1">
      <alignment horizontal="center"/>
    </xf>
    <xf numFmtId="0" fontId="2" fillId="4" borderId="84" xfId="1" quotePrefix="1" applyFont="1" applyFill="1" applyBorder="1" applyAlignment="1">
      <alignment horizontal="center"/>
    </xf>
    <xf numFmtId="0" fontId="2" fillId="0" borderId="183" xfId="1" applyFont="1" applyFill="1" applyBorder="1"/>
    <xf numFmtId="0" fontId="2" fillId="0" borderId="186" xfId="1" applyFont="1" applyFill="1" applyBorder="1"/>
    <xf numFmtId="10" fontId="2" fillId="0" borderId="186" xfId="1" applyNumberFormat="1" applyFont="1" applyFill="1" applyBorder="1"/>
    <xf numFmtId="165" fontId="2" fillId="0" borderId="187" xfId="1" applyNumberFormat="1" applyFont="1" applyFill="1" applyBorder="1"/>
    <xf numFmtId="0" fontId="0" fillId="0" borderId="71" xfId="0" applyBorder="1" applyAlignment="1">
      <alignment horizontal="right"/>
    </xf>
    <xf numFmtId="0" fontId="0" fillId="0" borderId="68" xfId="0" applyBorder="1" applyAlignment="1">
      <alignment horizontal="right"/>
    </xf>
    <xf numFmtId="0" fontId="0" fillId="0" borderId="0" xfId="0" applyBorder="1" applyAlignment="1">
      <alignment horizontal="center"/>
    </xf>
    <xf numFmtId="0" fontId="0" fillId="0" borderId="0" xfId="0" applyBorder="1" applyAlignment="1">
      <alignment horizontal="center"/>
    </xf>
    <xf numFmtId="0" fontId="2" fillId="0" borderId="185" xfId="1" applyFont="1" applyFill="1" applyBorder="1" applyAlignment="1">
      <alignment horizontal="center"/>
    </xf>
    <xf numFmtId="10" fontId="0" fillId="0" borderId="4" xfId="0" applyNumberFormat="1" applyBorder="1" applyAlignment="1">
      <alignment horizontal="center"/>
    </xf>
    <xf numFmtId="0" fontId="2" fillId="0" borderId="12" xfId="1" applyFont="1" applyFill="1" applyBorder="1"/>
    <xf numFmtId="0" fontId="2" fillId="0" borderId="189" xfId="0" applyFont="1" applyBorder="1"/>
    <xf numFmtId="0" fontId="2" fillId="0" borderId="190" xfId="0" applyFont="1" applyBorder="1"/>
    <xf numFmtId="165" fontId="2" fillId="0" borderId="10" xfId="1" applyNumberFormat="1" applyFont="1" applyFill="1" applyBorder="1"/>
    <xf numFmtId="0" fontId="0" fillId="3" borderId="0" xfId="0" applyFill="1" applyAlignment="1">
      <alignment horizontal="center" vertical="center"/>
    </xf>
    <xf numFmtId="0" fontId="0" fillId="4" borderId="193" xfId="0" applyFill="1" applyBorder="1"/>
    <xf numFmtId="0" fontId="0" fillId="4" borderId="194" xfId="0" applyFill="1" applyBorder="1"/>
    <xf numFmtId="0" fontId="0" fillId="4" borderId="196" xfId="0" applyFill="1" applyBorder="1"/>
    <xf numFmtId="0" fontId="0" fillId="4" borderId="195" xfId="0" applyFill="1" applyBorder="1"/>
    <xf numFmtId="0" fontId="8" fillId="10" borderId="0" xfId="0" applyFont="1" applyFill="1" applyBorder="1"/>
    <xf numFmtId="0" fontId="0" fillId="0" borderId="71" xfId="0" applyBorder="1" applyAlignment="1">
      <alignment horizontal="right"/>
    </xf>
    <xf numFmtId="0" fontId="0" fillId="0" borderId="68" xfId="0" applyBorder="1" applyAlignment="1">
      <alignment horizontal="right"/>
    </xf>
    <xf numFmtId="0" fontId="0" fillId="0" borderId="0" xfId="0" applyBorder="1" applyAlignment="1">
      <alignment horizontal="center"/>
    </xf>
    <xf numFmtId="0" fontId="2" fillId="0" borderId="14" xfId="1" quotePrefix="1" applyFont="1" applyFill="1" applyBorder="1" applyAlignment="1">
      <alignment horizontal="right"/>
    </xf>
    <xf numFmtId="164" fontId="2" fillId="0" borderId="6" xfId="1" applyNumberFormat="1" applyFont="1" applyFill="1" applyBorder="1" applyAlignment="1">
      <alignment horizontal="right"/>
    </xf>
    <xf numFmtId="0" fontId="0" fillId="0" borderId="0" xfId="0" applyBorder="1" applyAlignment="1">
      <alignment horizontal="center"/>
    </xf>
    <xf numFmtId="0" fontId="5" fillId="11" borderId="0" xfId="0" applyFont="1" applyFill="1" applyBorder="1" applyAlignment="1">
      <alignment horizontal="center" vertical="center" wrapText="1"/>
    </xf>
    <xf numFmtId="0" fontId="5" fillId="13" borderId="0" xfId="0" applyFont="1" applyFill="1" applyBorder="1" applyAlignment="1">
      <alignment horizontal="center" vertical="center" wrapText="1"/>
    </xf>
    <xf numFmtId="0" fontId="5" fillId="10" borderId="0" xfId="0" applyFont="1" applyFill="1" applyBorder="1" applyAlignment="1">
      <alignment horizontal="center" vertical="center" wrapText="1"/>
    </xf>
    <xf numFmtId="0" fontId="5" fillId="12" borderId="0" xfId="0" applyFont="1" applyFill="1" applyBorder="1" applyAlignment="1">
      <alignment horizontal="center" vertical="center" wrapText="1"/>
    </xf>
    <xf numFmtId="0" fontId="5" fillId="15" borderId="0" xfId="0" applyFont="1" applyFill="1" applyBorder="1" applyAlignment="1">
      <alignment horizontal="center" vertical="center" wrapText="1"/>
    </xf>
    <xf numFmtId="0" fontId="5" fillId="14" borderId="0" xfId="0" applyFont="1" applyFill="1" applyBorder="1" applyAlignment="1">
      <alignment horizontal="center" vertical="center" wrapText="1"/>
    </xf>
    <xf numFmtId="0" fontId="5" fillId="16" borderId="0" xfId="0" applyFont="1" applyFill="1" applyBorder="1" applyAlignment="1">
      <alignment horizontal="center" vertical="center" wrapText="1"/>
    </xf>
    <xf numFmtId="167" fontId="10" fillId="12" borderId="197" xfId="0" applyNumberFormat="1" applyFont="1" applyFill="1" applyBorder="1" applyAlignment="1">
      <alignment horizontal="center" vertical="center" wrapText="1"/>
    </xf>
    <xf numFmtId="167" fontId="5" fillId="15" borderId="0" xfId="0" applyNumberFormat="1" applyFont="1" applyFill="1" applyBorder="1" applyAlignment="1">
      <alignment horizontal="center" vertical="center" wrapText="1"/>
    </xf>
    <xf numFmtId="167" fontId="5" fillId="14" borderId="0" xfId="0" applyNumberFormat="1" applyFont="1" applyFill="1" applyBorder="1" applyAlignment="1">
      <alignment horizontal="center" vertical="center" wrapText="1"/>
    </xf>
    <xf numFmtId="167" fontId="5" fillId="13" borderId="0" xfId="0" applyNumberFormat="1" applyFont="1" applyFill="1" applyBorder="1" applyAlignment="1">
      <alignment horizontal="center" vertical="center" wrapText="1"/>
    </xf>
    <xf numFmtId="167" fontId="14" fillId="10" borderId="0" xfId="0" applyNumberFormat="1" applyFont="1" applyFill="1" applyBorder="1" applyAlignment="1">
      <alignment horizontal="center" vertical="center" wrapText="1"/>
    </xf>
    <xf numFmtId="167" fontId="10" fillId="12" borderId="0" xfId="0" applyNumberFormat="1" applyFont="1" applyFill="1" applyBorder="1" applyAlignment="1">
      <alignment horizontal="center" vertical="center" wrapText="1"/>
    </xf>
    <xf numFmtId="167" fontId="5" fillId="16" borderId="0" xfId="0" applyNumberFormat="1" applyFont="1" applyFill="1" applyBorder="1" applyAlignment="1">
      <alignment horizontal="center" vertical="center" wrapText="1"/>
    </xf>
    <xf numFmtId="167" fontId="10" fillId="18" borderId="0" xfId="0" applyNumberFormat="1" applyFont="1" applyFill="1" applyBorder="1" applyAlignment="1">
      <alignment horizontal="center" vertical="center" wrapText="1"/>
    </xf>
    <xf numFmtId="0" fontId="9" fillId="12" borderId="0" xfId="0" applyFont="1" applyFill="1" applyBorder="1" applyAlignment="1">
      <alignment horizontal="center" vertical="center" wrapText="1"/>
    </xf>
    <xf numFmtId="0" fontId="5" fillId="18" borderId="0" xfId="0" applyFont="1" applyFill="1" applyBorder="1" applyAlignment="1">
      <alignment horizontal="center" vertical="center" wrapText="1"/>
    </xf>
    <xf numFmtId="0" fontId="0" fillId="10" borderId="0" xfId="0" applyFill="1" applyBorder="1" applyAlignment="1"/>
    <xf numFmtId="0" fontId="11" fillId="16" borderId="0" xfId="0" applyFont="1" applyFill="1" applyBorder="1" applyAlignment="1">
      <alignment horizontal="center" wrapText="1"/>
    </xf>
    <xf numFmtId="0" fontId="14" fillId="16" borderId="0" xfId="0" applyFont="1" applyFill="1" applyBorder="1" applyAlignment="1">
      <alignment horizontal="center" wrapText="1"/>
    </xf>
    <xf numFmtId="0" fontId="10" fillId="18" borderId="0" xfId="0" applyFont="1" applyFill="1" applyBorder="1" applyAlignment="1">
      <alignment horizontal="center" wrapText="1"/>
    </xf>
    <xf numFmtId="0" fontId="14" fillId="12" borderId="0" xfId="0" applyFont="1" applyFill="1" applyBorder="1" applyAlignment="1">
      <alignment horizontal="center" wrapText="1"/>
    </xf>
    <xf numFmtId="0" fontId="9" fillId="14" borderId="0" xfId="0" applyFont="1" applyFill="1" applyBorder="1" applyAlignment="1">
      <alignment horizontal="center" wrapText="1"/>
    </xf>
    <xf numFmtId="0" fontId="0" fillId="11" borderId="0" xfId="0" applyFill="1" applyBorder="1"/>
    <xf numFmtId="0" fontId="0" fillId="11" borderId="0" xfId="0" applyFill="1" applyBorder="1" applyAlignment="1"/>
    <xf numFmtId="0" fontId="5" fillId="11" borderId="0" xfId="0" applyFont="1" applyFill="1" applyBorder="1" applyAlignment="1">
      <alignment horizontal="center" vertical="center" textRotation="90" wrapText="1"/>
    </xf>
    <xf numFmtId="0" fontId="15" fillId="11" borderId="0" xfId="0" applyFont="1" applyFill="1" applyBorder="1" applyAlignment="1">
      <alignment horizontal="center" wrapText="1"/>
    </xf>
    <xf numFmtId="0" fontId="0" fillId="0" borderId="68" xfId="0" applyBorder="1" applyAlignment="1">
      <alignment horizontal="right"/>
    </xf>
    <xf numFmtId="0" fontId="0" fillId="0" borderId="0" xfId="0" applyBorder="1" applyAlignment="1">
      <alignment horizontal="center"/>
    </xf>
    <xf numFmtId="0" fontId="0" fillId="0" borderId="71" xfId="0" applyBorder="1" applyAlignment="1">
      <alignment horizontal="right"/>
    </xf>
    <xf numFmtId="0" fontId="2" fillId="0" borderId="5" xfId="1" applyFont="1" applyFill="1" applyBorder="1" applyAlignment="1">
      <alignment horizontal="center"/>
    </xf>
    <xf numFmtId="0" fontId="2" fillId="0" borderId="3" xfId="1" applyFont="1" applyFill="1" applyBorder="1" applyAlignment="1">
      <alignment horizontal="center"/>
    </xf>
    <xf numFmtId="0" fontId="0" fillId="11" borderId="0" xfId="0" applyFill="1" applyBorder="1" applyAlignment="1">
      <alignment horizontal="center" vertical="center"/>
    </xf>
    <xf numFmtId="0" fontId="0" fillId="10" borderId="0" xfId="0" applyFill="1" applyBorder="1" applyAlignment="1">
      <alignment horizontal="center" vertical="center"/>
    </xf>
    <xf numFmtId="0" fontId="14" fillId="14" borderId="0" xfId="0" applyFont="1" applyFill="1" applyBorder="1" applyAlignment="1">
      <alignment horizontal="center" wrapText="1"/>
    </xf>
    <xf numFmtId="0" fontId="5" fillId="12" borderId="0" xfId="0" applyFont="1" applyFill="1" applyBorder="1" applyAlignment="1">
      <alignment horizontal="center" vertical="top" wrapText="1"/>
    </xf>
    <xf numFmtId="0" fontId="0" fillId="10" borderId="0" xfId="0" applyFill="1" applyBorder="1" applyAlignment="1">
      <alignment wrapText="1"/>
    </xf>
    <xf numFmtId="0" fontId="16" fillId="11" borderId="0" xfId="0" applyFont="1" applyFill="1" applyBorder="1"/>
    <xf numFmtId="0" fontId="16" fillId="11" borderId="0" xfId="0" applyFont="1" applyFill="1" applyBorder="1" applyAlignment="1"/>
    <xf numFmtId="0" fontId="14" fillId="12" borderId="0" xfId="0" applyFont="1" applyFill="1" applyBorder="1" applyAlignment="1">
      <alignment horizontal="center" vertical="center" wrapText="1"/>
    </xf>
    <xf numFmtId="0" fontId="14" fillId="15" borderId="0" xfId="0" applyFont="1" applyFill="1" applyBorder="1" applyAlignment="1">
      <alignment horizontal="center" wrapText="1"/>
    </xf>
    <xf numFmtId="0" fontId="14" fillId="14" borderId="0" xfId="0" applyFont="1" applyFill="1" applyBorder="1" applyAlignment="1">
      <alignment horizontal="center" vertical="center" wrapText="1"/>
    </xf>
    <xf numFmtId="0" fontId="10" fillId="18" borderId="0" xfId="0" applyFont="1" applyFill="1" applyBorder="1" applyAlignment="1">
      <alignment horizontal="center" vertical="center" wrapText="1"/>
    </xf>
    <xf numFmtId="0" fontId="14" fillId="16" borderId="0" xfId="0" applyFont="1" applyFill="1" applyBorder="1" applyAlignment="1">
      <alignment horizontal="center" vertical="center" wrapText="1"/>
    </xf>
    <xf numFmtId="0" fontId="14" fillId="15" borderId="0"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0" fillId="13" borderId="0" xfId="0" applyFont="1" applyFill="1" applyBorder="1" applyAlignment="1">
      <alignment horizontal="center" wrapText="1"/>
    </xf>
    <xf numFmtId="0" fontId="0" fillId="4" borderId="198" xfId="0" applyFill="1" applyBorder="1"/>
    <xf numFmtId="0" fontId="0" fillId="4" borderId="147" xfId="0" applyFill="1" applyBorder="1"/>
    <xf numFmtId="0" fontId="0" fillId="4" borderId="199" xfId="0" applyFill="1" applyBorder="1"/>
    <xf numFmtId="0" fontId="0" fillId="4" borderId="200" xfId="0" applyFill="1" applyBorder="1"/>
    <xf numFmtId="0" fontId="0" fillId="4" borderId="201" xfId="0" applyFill="1" applyBorder="1"/>
    <xf numFmtId="0" fontId="0" fillId="4" borderId="119" xfId="0" applyFill="1" applyBorder="1"/>
    <xf numFmtId="0" fontId="0" fillId="4" borderId="202" xfId="0" applyFill="1" applyBorder="1"/>
    <xf numFmtId="0" fontId="0" fillId="4" borderId="203" xfId="0" applyFill="1" applyBorder="1"/>
    <xf numFmtId="0" fontId="0" fillId="4" borderId="204" xfId="0" applyFill="1" applyBorder="1"/>
    <xf numFmtId="0" fontId="0" fillId="4" borderId="205" xfId="0" applyFill="1" applyBorder="1"/>
    <xf numFmtId="0" fontId="13" fillId="11" borderId="0" xfId="0" applyFont="1" applyFill="1" applyBorder="1" applyAlignment="1">
      <alignment horizontal="center" wrapText="1"/>
    </xf>
    <xf numFmtId="0" fontId="13" fillId="11" borderId="0" xfId="0" applyFont="1" applyFill="1" applyBorder="1" applyAlignment="1">
      <alignment horizontal="center" vertical="center" wrapText="1"/>
    </xf>
    <xf numFmtId="0" fontId="16" fillId="11" borderId="0" xfId="0" applyFont="1" applyFill="1" applyBorder="1" applyAlignment="1">
      <alignment horizontal="right"/>
    </xf>
    <xf numFmtId="0" fontId="0" fillId="11" borderId="0" xfId="0" applyFill="1" applyBorder="1" applyAlignment="1">
      <alignment horizontal="right"/>
    </xf>
    <xf numFmtId="0" fontId="0" fillId="11" borderId="0" xfId="0" applyFill="1" applyBorder="1" applyAlignment="1">
      <alignment horizontal="right" vertical="center" textRotation="90"/>
    </xf>
    <xf numFmtId="0" fontId="0" fillId="10" borderId="0" xfId="0" applyFill="1" applyBorder="1" applyAlignment="1">
      <alignment horizontal="right"/>
    </xf>
    <xf numFmtId="0" fontId="10" fillId="12" borderId="0" xfId="0" applyFont="1" applyFill="1" applyBorder="1" applyAlignment="1">
      <alignment horizontal="center" wrapText="1"/>
    </xf>
    <xf numFmtId="0" fontId="5" fillId="16" borderId="0" xfId="0" applyFont="1" applyFill="1" applyBorder="1" applyAlignment="1">
      <alignment horizontal="center" vertical="top" wrapText="1"/>
    </xf>
    <xf numFmtId="0" fontId="0" fillId="4" borderId="97" xfId="0" applyFill="1" applyBorder="1" applyAlignment="1">
      <alignment horizontal="center"/>
    </xf>
    <xf numFmtId="0" fontId="0" fillId="4" borderId="100" xfId="0" applyFill="1" applyBorder="1" applyAlignment="1">
      <alignment horizontal="center"/>
    </xf>
    <xf numFmtId="0" fontId="0" fillId="4" borderId="103" xfId="0" applyFill="1" applyBorder="1" applyAlignment="1">
      <alignment horizontal="center"/>
    </xf>
    <xf numFmtId="0" fontId="0" fillId="4" borderId="102" xfId="0" applyFill="1" applyBorder="1" applyAlignment="1">
      <alignment horizontal="center"/>
    </xf>
    <xf numFmtId="0" fontId="0" fillId="4" borderId="105" xfId="0" applyFill="1" applyBorder="1" applyAlignment="1">
      <alignment horizontal="center"/>
    </xf>
    <xf numFmtId="0" fontId="0" fillId="4" borderId="109" xfId="0" applyFill="1" applyBorder="1" applyAlignment="1">
      <alignment horizontal="center"/>
    </xf>
    <xf numFmtId="0" fontId="0" fillId="4" borderId="106" xfId="0" applyFill="1" applyBorder="1" applyAlignment="1">
      <alignment horizontal="center"/>
    </xf>
    <xf numFmtId="0" fontId="2" fillId="0" borderId="206" xfId="0" applyFont="1" applyBorder="1"/>
    <xf numFmtId="0" fontId="2" fillId="0" borderId="207" xfId="0" applyFont="1" applyBorder="1"/>
    <xf numFmtId="16" fontId="0" fillId="0" borderId="30" xfId="0" applyNumberFormat="1" applyBorder="1"/>
    <xf numFmtId="16" fontId="0" fillId="0" borderId="27" xfId="0" applyNumberFormat="1" applyBorder="1"/>
    <xf numFmtId="16" fontId="0" fillId="0" borderId="33" xfId="0" applyNumberFormat="1" applyBorder="1"/>
    <xf numFmtId="0" fontId="22" fillId="0" borderId="71" xfId="0" applyFont="1" applyBorder="1" applyAlignment="1">
      <alignment horizontal="right"/>
    </xf>
    <xf numFmtId="0" fontId="22" fillId="0" borderId="68" xfId="0" applyFont="1" applyBorder="1" applyAlignment="1">
      <alignment horizontal="right"/>
    </xf>
    <xf numFmtId="0" fontId="10" fillId="12" borderId="0" xfId="0" applyFont="1" applyFill="1" applyBorder="1" applyAlignment="1">
      <alignment horizontal="center" vertical="center" wrapText="1"/>
    </xf>
    <xf numFmtId="0" fontId="5" fillId="12" borderId="0" xfId="0" quotePrefix="1" applyFont="1" applyFill="1" applyBorder="1" applyAlignment="1">
      <alignment horizontal="center" vertical="top" wrapText="1"/>
    </xf>
    <xf numFmtId="0" fontId="0" fillId="0" borderId="68" xfId="0" applyBorder="1" applyAlignment="1">
      <alignment horizontal="right"/>
    </xf>
    <xf numFmtId="0" fontId="0" fillId="0" borderId="0" xfId="0" applyBorder="1" applyAlignment="1">
      <alignment horizontal="center"/>
    </xf>
    <xf numFmtId="0" fontId="0" fillId="0" borderId="71" xfId="0" applyBorder="1" applyAlignment="1">
      <alignment horizontal="right"/>
    </xf>
    <xf numFmtId="0" fontId="0" fillId="4" borderId="0" xfId="0" applyFill="1"/>
    <xf numFmtId="0" fontId="22" fillId="0" borderId="70" xfId="0" applyFont="1" applyBorder="1"/>
    <xf numFmtId="0" fontId="5" fillId="8" borderId="127" xfId="0" applyFont="1" applyFill="1" applyBorder="1"/>
    <xf numFmtId="0" fontId="5" fillId="8" borderId="128" xfId="0" applyFont="1" applyFill="1" applyBorder="1"/>
    <xf numFmtId="0" fontId="5" fillId="8" borderId="129" xfId="0" applyFont="1" applyFill="1" applyBorder="1"/>
    <xf numFmtId="0" fontId="0" fillId="4" borderId="208" xfId="0" applyFill="1" applyBorder="1"/>
    <xf numFmtId="0" fontId="0" fillId="4" borderId="209" xfId="0" applyFill="1" applyBorder="1"/>
    <xf numFmtId="0" fontId="0" fillId="4" borderId="210" xfId="0" applyFill="1" applyBorder="1"/>
    <xf numFmtId="0" fontId="2" fillId="0" borderId="211" xfId="1" applyFont="1" applyFill="1" applyBorder="1"/>
    <xf numFmtId="0" fontId="2" fillId="0" borderId="13" xfId="1" quotePrefix="1" applyNumberFormat="1" applyFont="1" applyFill="1" applyBorder="1"/>
    <xf numFmtId="0" fontId="0" fillId="3" borderId="0" xfId="0" applyFill="1" applyAlignment="1">
      <alignment horizontal="center"/>
    </xf>
    <xf numFmtId="0" fontId="2" fillId="0" borderId="3" xfId="1" applyFont="1" applyFill="1" applyBorder="1" applyAlignment="1">
      <alignment horizontal="center"/>
    </xf>
    <xf numFmtId="0" fontId="2" fillId="0" borderId="5" xfId="1" applyFont="1" applyFill="1" applyBorder="1" applyAlignment="1">
      <alignment horizontal="center"/>
    </xf>
    <xf numFmtId="0" fontId="0" fillId="3" borderId="0" xfId="0" applyNumberFormat="1" applyFill="1"/>
    <xf numFmtId="0" fontId="0" fillId="3" borderId="0" xfId="0" quotePrefix="1" applyNumberFormat="1" applyFill="1"/>
    <xf numFmtId="0" fontId="2" fillId="0" borderId="5" xfId="1" applyFont="1" applyFill="1" applyBorder="1" applyAlignment="1">
      <alignment horizontal="center"/>
    </xf>
    <xf numFmtId="0" fontId="2" fillId="0" borderId="3" xfId="1" applyFont="1" applyFill="1" applyBorder="1" applyAlignment="1">
      <alignment horizontal="center"/>
    </xf>
    <xf numFmtId="0" fontId="2" fillId="0" borderId="25" xfId="1" applyNumberFormat="1" applyFont="1" applyFill="1" applyBorder="1"/>
    <xf numFmtId="0" fontId="2" fillId="0" borderId="26" xfId="1" applyNumberFormat="1" applyFont="1" applyFill="1" applyBorder="1"/>
    <xf numFmtId="0" fontId="2" fillId="0" borderId="5" xfId="1" applyFont="1" applyFill="1" applyBorder="1" applyAlignment="1">
      <alignment horizontal="center"/>
    </xf>
    <xf numFmtId="0" fontId="2" fillId="0" borderId="3" xfId="1" applyFont="1" applyFill="1" applyBorder="1" applyAlignment="1">
      <alignment horizontal="center"/>
    </xf>
    <xf numFmtId="0" fontId="0" fillId="0" borderId="69" xfId="0" applyBorder="1" applyAlignment="1">
      <alignment horizontal="right"/>
    </xf>
    <xf numFmtId="0" fontId="0" fillId="0" borderId="68" xfId="0" applyBorder="1" applyAlignment="1">
      <alignment horizontal="right"/>
    </xf>
    <xf numFmtId="0" fontId="0" fillId="0" borderId="5" xfId="0" applyBorder="1" applyAlignment="1">
      <alignment horizontal="center"/>
    </xf>
    <xf numFmtId="0" fontId="0" fillId="0" borderId="0" xfId="0" applyBorder="1" applyAlignment="1">
      <alignment horizontal="center"/>
    </xf>
    <xf numFmtId="0" fontId="0" fillId="0" borderId="4" xfId="0" applyBorder="1" applyAlignment="1">
      <alignment horizontal="center"/>
    </xf>
    <xf numFmtId="0" fontId="3" fillId="4" borderId="75" xfId="1" applyFont="1" applyFill="1" applyBorder="1" applyAlignment="1">
      <alignment horizontal="center"/>
    </xf>
    <xf numFmtId="0" fontId="3" fillId="4" borderId="74" xfId="1" applyFont="1" applyFill="1" applyBorder="1" applyAlignment="1">
      <alignment horizontal="center"/>
    </xf>
    <xf numFmtId="0" fontId="3" fillId="4" borderId="73" xfId="1" applyFont="1" applyFill="1" applyBorder="1" applyAlignment="1">
      <alignment horizontal="center"/>
    </xf>
    <xf numFmtId="0" fontId="0" fillId="0" borderId="72" xfId="0" applyBorder="1" applyAlignment="1">
      <alignment horizontal="right"/>
    </xf>
    <xf numFmtId="0" fontId="0" fillId="0" borderId="71" xfId="0" applyBorder="1" applyAlignment="1">
      <alignment horizontal="right"/>
    </xf>
    <xf numFmtId="0" fontId="2" fillId="0" borderId="5" xfId="1" applyFont="1" applyFill="1" applyBorder="1" applyAlignment="1">
      <alignment horizontal="center"/>
    </xf>
    <xf numFmtId="0" fontId="2" fillId="0" borderId="0" xfId="1" applyFont="1" applyFill="1" applyBorder="1" applyAlignment="1">
      <alignment horizontal="center"/>
    </xf>
    <xf numFmtId="0" fontId="2" fillId="0" borderId="9" xfId="0" applyFont="1" applyBorder="1" applyAlignment="1">
      <alignment horizontal="center"/>
    </xf>
    <xf numFmtId="0" fontId="2" fillId="0" borderId="86" xfId="0" applyFont="1" applyBorder="1" applyAlignment="1">
      <alignment horizontal="center"/>
    </xf>
    <xf numFmtId="0" fontId="2" fillId="0" borderId="8" xfId="0" applyFont="1" applyBorder="1" applyAlignment="1">
      <alignment horizontal="center"/>
    </xf>
    <xf numFmtId="0" fontId="2" fillId="0" borderId="138" xfId="1" applyFont="1" applyFill="1" applyBorder="1" applyAlignment="1">
      <alignment horizontal="center"/>
    </xf>
    <xf numFmtId="0" fontId="2" fillId="0" borderId="139" xfId="1" applyFont="1" applyFill="1" applyBorder="1" applyAlignment="1">
      <alignment horizontal="center"/>
    </xf>
    <xf numFmtId="0" fontId="0" fillId="0" borderId="9" xfId="0" applyBorder="1" applyAlignment="1">
      <alignment horizontal="center"/>
    </xf>
    <xf numFmtId="0" fontId="0" fillId="0" borderId="86" xfId="0" applyBorder="1" applyAlignment="1">
      <alignment horizontal="center"/>
    </xf>
    <xf numFmtId="0" fontId="0" fillId="0" borderId="8" xfId="0" applyBorder="1" applyAlignment="1">
      <alignment horizontal="center"/>
    </xf>
    <xf numFmtId="0" fontId="0" fillId="0" borderId="85" xfId="0" applyBorder="1" applyAlignment="1">
      <alignment horizontal="center"/>
    </xf>
    <xf numFmtId="0" fontId="0" fillId="0" borderId="82" xfId="0" applyBorder="1" applyAlignment="1">
      <alignment horizontal="center"/>
    </xf>
    <xf numFmtId="0" fontId="0" fillId="0" borderId="83" xfId="0" applyBorder="1" applyAlignment="1">
      <alignment horizontal="center"/>
    </xf>
    <xf numFmtId="0" fontId="0" fillId="0" borderId="80" xfId="0" applyBorder="1" applyAlignment="1">
      <alignment horizontal="center"/>
    </xf>
    <xf numFmtId="0" fontId="0" fillId="0" borderId="77" xfId="0" applyBorder="1" applyAlignment="1">
      <alignment horizontal="center"/>
    </xf>
    <xf numFmtId="0" fontId="0" fillId="0" borderId="78" xfId="0" applyBorder="1" applyAlignment="1">
      <alignment horizontal="center"/>
    </xf>
    <xf numFmtId="0" fontId="0" fillId="4" borderId="180" xfId="0" applyFill="1" applyBorder="1" applyAlignment="1">
      <alignment horizontal="center"/>
    </xf>
    <xf numFmtId="0" fontId="0" fillId="4" borderId="181" xfId="0" applyFill="1" applyBorder="1" applyAlignment="1">
      <alignment horizontal="center"/>
    </xf>
    <xf numFmtId="0" fontId="0" fillId="4" borderId="182" xfId="0" applyFill="1" applyBorder="1" applyAlignment="1">
      <alignment horizontal="center"/>
    </xf>
    <xf numFmtId="0" fontId="2" fillId="0" borderId="3" xfId="1" applyFont="1" applyFill="1" applyBorder="1" applyAlignment="1">
      <alignment horizontal="center"/>
    </xf>
    <xf numFmtId="0" fontId="2" fillId="0" borderId="66" xfId="1" applyFont="1" applyFill="1"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0" fillId="0" borderId="16" xfId="0" applyBorder="1" applyAlignment="1">
      <alignment horizontal="center"/>
    </xf>
    <xf numFmtId="165" fontId="2" fillId="0" borderId="188" xfId="1" applyNumberFormat="1" applyFont="1" applyFill="1" applyBorder="1" applyAlignment="1">
      <alignment horizontal="center"/>
    </xf>
    <xf numFmtId="165" fontId="2" fillId="0" borderId="16" xfId="1" applyNumberFormat="1" applyFont="1" applyFill="1" applyBorder="1" applyAlignment="1">
      <alignment horizontal="center"/>
    </xf>
    <xf numFmtId="0" fontId="3" fillId="0" borderId="44" xfId="0" applyFont="1" applyBorder="1" applyAlignment="1">
      <alignment horizontal="center"/>
    </xf>
    <xf numFmtId="0" fontId="3" fillId="4" borderId="75" xfId="1" quotePrefix="1" applyFont="1" applyFill="1" applyBorder="1" applyAlignment="1">
      <alignment horizontal="center"/>
    </xf>
    <xf numFmtId="0" fontId="3" fillId="0" borderId="191" xfId="0" applyFont="1" applyBorder="1" applyAlignment="1">
      <alignment horizontal="center"/>
    </xf>
    <xf numFmtId="0" fontId="3" fillId="0" borderId="192" xfId="0" applyFont="1" applyBorder="1" applyAlignment="1">
      <alignment horizontal="center"/>
    </xf>
    <xf numFmtId="0" fontId="0" fillId="4" borderId="66" xfId="0" applyFill="1" applyBorder="1" applyAlignment="1">
      <alignment horizontal="center"/>
    </xf>
    <xf numFmtId="0" fontId="0" fillId="4" borderId="3" xfId="0" applyFill="1" applyBorder="1" applyAlignment="1">
      <alignment horizontal="center"/>
    </xf>
    <xf numFmtId="0" fontId="0" fillId="4" borderId="2" xfId="0" applyFill="1" applyBorder="1" applyAlignment="1">
      <alignment horizontal="center"/>
    </xf>
    <xf numFmtId="0" fontId="0" fillId="8" borderId="91" xfId="0" quotePrefix="1" applyFill="1" applyBorder="1" applyAlignment="1">
      <alignment horizontal="center"/>
    </xf>
    <xf numFmtId="0" fontId="0" fillId="8" borderId="71" xfId="0" quotePrefix="1" applyFill="1" applyBorder="1" applyAlignment="1">
      <alignment horizontal="center"/>
    </xf>
    <xf numFmtId="0" fontId="0" fillId="8" borderId="92" xfId="0" quotePrefix="1" applyFill="1" applyBorder="1" applyAlignment="1">
      <alignment horizontal="center"/>
    </xf>
    <xf numFmtId="0" fontId="0" fillId="6" borderId="91" xfId="0" quotePrefix="1" applyFill="1" applyBorder="1" applyAlignment="1">
      <alignment horizontal="center"/>
    </xf>
    <xf numFmtId="0" fontId="0" fillId="6" borderId="71" xfId="0" quotePrefix="1" applyFill="1" applyBorder="1" applyAlignment="1">
      <alignment horizontal="center"/>
    </xf>
    <xf numFmtId="0" fontId="0" fillId="6" borderId="92" xfId="0" quotePrefix="1" applyFill="1" applyBorder="1" applyAlignment="1">
      <alignment horizontal="center"/>
    </xf>
    <xf numFmtId="0" fontId="7" fillId="10" borderId="0" xfId="0" applyFont="1" applyFill="1" applyBorder="1" applyAlignment="1">
      <alignment horizontal="center"/>
    </xf>
    <xf numFmtId="0" fontId="7" fillId="10" borderId="137" xfId="0" applyFont="1" applyFill="1" applyBorder="1" applyAlignment="1">
      <alignment horizontal="center"/>
    </xf>
    <xf numFmtId="0" fontId="0" fillId="5" borderId="91" xfId="0" applyFill="1" applyBorder="1" applyAlignment="1">
      <alignment horizontal="center"/>
    </xf>
    <xf numFmtId="0" fontId="0" fillId="5" borderId="71" xfId="0" applyFill="1" applyBorder="1" applyAlignment="1">
      <alignment horizontal="center"/>
    </xf>
    <xf numFmtId="0" fontId="0" fillId="5" borderId="92" xfId="0" applyFill="1" applyBorder="1" applyAlignment="1">
      <alignment horizontal="center"/>
    </xf>
    <xf numFmtId="0" fontId="0" fillId="6" borderId="91" xfId="0" applyFill="1" applyBorder="1" applyAlignment="1">
      <alignment horizontal="center"/>
    </xf>
    <xf numFmtId="0" fontId="0" fillId="6" borderId="71" xfId="0" applyFill="1" applyBorder="1" applyAlignment="1">
      <alignment horizontal="center"/>
    </xf>
    <xf numFmtId="0" fontId="0" fillId="6" borderId="92" xfId="0" applyFill="1" applyBorder="1" applyAlignment="1">
      <alignment horizontal="center"/>
    </xf>
    <xf numFmtId="0" fontId="0" fillId="7" borderId="91" xfId="0" quotePrefix="1" applyFill="1" applyBorder="1" applyAlignment="1">
      <alignment horizontal="center"/>
    </xf>
    <xf numFmtId="0" fontId="0" fillId="7" borderId="71" xfId="0" quotePrefix="1" applyFill="1" applyBorder="1" applyAlignment="1">
      <alignment horizontal="center"/>
    </xf>
    <xf numFmtId="0" fontId="0" fillId="7" borderId="92" xfId="0" quotePrefix="1" applyFill="1" applyBorder="1" applyAlignment="1">
      <alignment horizontal="center"/>
    </xf>
    <xf numFmtId="0" fontId="0" fillId="9" borderId="91" xfId="0" applyFill="1" applyBorder="1" applyAlignment="1">
      <alignment horizontal="center"/>
    </xf>
    <xf numFmtId="0" fontId="0" fillId="9" borderId="71" xfId="0" applyFill="1" applyBorder="1" applyAlignment="1">
      <alignment horizontal="center"/>
    </xf>
    <xf numFmtId="0" fontId="0" fillId="9" borderId="92" xfId="0" applyFill="1" applyBorder="1" applyAlignment="1">
      <alignment horizontal="center"/>
    </xf>
    <xf numFmtId="0" fontId="20" fillId="11" borderId="0" xfId="0" applyFont="1" applyFill="1" applyBorder="1" applyAlignment="1">
      <alignment horizontal="center" vertical="center" textRotation="180" wrapText="1"/>
    </xf>
    <xf numFmtId="0" fontId="16" fillId="11" borderId="0" xfId="0" applyFont="1" applyFill="1" applyBorder="1" applyAlignment="1">
      <alignment horizontal="center" vertical="center" wrapText="1"/>
    </xf>
    <xf numFmtId="0" fontId="0" fillId="11" borderId="0" xfId="0" applyFill="1" applyBorder="1" applyAlignment="1">
      <alignment horizontal="center" vertical="center" wrapText="1"/>
    </xf>
    <xf numFmtId="0" fontId="19" fillId="11" borderId="0" xfId="0" applyFont="1" applyFill="1" applyBorder="1" applyAlignment="1">
      <alignment horizontal="center"/>
    </xf>
    <xf numFmtId="0" fontId="13" fillId="11" borderId="0" xfId="0" applyFont="1" applyFill="1" applyBorder="1" applyAlignment="1">
      <alignment horizontal="center" vertical="top"/>
    </xf>
    <xf numFmtId="0" fontId="21" fillId="11" borderId="0" xfId="0" applyFont="1" applyFill="1" applyBorder="1" applyAlignment="1">
      <alignment horizontal="center"/>
    </xf>
    <xf numFmtId="0" fontId="17" fillId="11" borderId="0" xfId="0" applyFont="1" applyFill="1" applyBorder="1" applyAlignment="1">
      <alignment horizontal="center" vertical="top"/>
    </xf>
    <xf numFmtId="0" fontId="13" fillId="11" borderId="0" xfId="0" applyFont="1" applyFill="1" applyBorder="1" applyAlignment="1">
      <alignment horizontal="right" vertical="center" textRotation="90"/>
    </xf>
    <xf numFmtId="0" fontId="5" fillId="11" borderId="0" xfId="0" applyFont="1" applyFill="1" applyBorder="1" applyAlignment="1">
      <alignment horizontal="right" vertical="center" textRotation="90"/>
    </xf>
    <xf numFmtId="168" fontId="13" fillId="11" borderId="0" xfId="0" applyNumberFormat="1" applyFont="1" applyFill="1" applyBorder="1" applyAlignment="1">
      <alignment horizontal="center" vertical="center" textRotation="90"/>
    </xf>
    <xf numFmtId="168" fontId="5" fillId="11" borderId="0" xfId="0" applyNumberFormat="1" applyFont="1" applyFill="1" applyBorder="1" applyAlignment="1">
      <alignment horizontal="center" vertical="center" textRotation="90"/>
    </xf>
    <xf numFmtId="0" fontId="0" fillId="4" borderId="179" xfId="0" applyFill="1" applyBorder="1" applyAlignment="1">
      <alignment horizontal="center" wrapText="1"/>
    </xf>
    <xf numFmtId="0" fontId="0" fillId="4" borderId="167" xfId="0" applyFill="1" applyBorder="1" applyAlignment="1">
      <alignment horizontal="center" wrapText="1"/>
    </xf>
    <xf numFmtId="0" fontId="5" fillId="4" borderId="18" xfId="0" applyFont="1" applyFill="1" applyBorder="1" applyAlignment="1">
      <alignment horizontal="center"/>
    </xf>
    <xf numFmtId="0" fontId="5" fillId="4" borderId="17" xfId="0" applyFont="1" applyFill="1" applyBorder="1" applyAlignment="1">
      <alignment horizontal="center"/>
    </xf>
    <xf numFmtId="0" fontId="5" fillId="4" borderId="16" xfId="0" applyFont="1" applyFill="1" applyBorder="1" applyAlignment="1">
      <alignment horizontal="center"/>
    </xf>
    <xf numFmtId="0" fontId="0" fillId="4" borderId="150" xfId="0" applyFill="1" applyBorder="1" applyAlignment="1">
      <alignment horizontal="center"/>
    </xf>
    <xf numFmtId="0" fontId="0" fillId="4" borderId="151" xfId="0" applyFill="1" applyBorder="1" applyAlignment="1">
      <alignment horizontal="center"/>
    </xf>
    <xf numFmtId="0" fontId="0" fillId="4" borderId="71" xfId="0" quotePrefix="1" applyFill="1" applyBorder="1" applyAlignment="1">
      <alignment horizontal="center"/>
    </xf>
    <xf numFmtId="0" fontId="0" fillId="4" borderId="18" xfId="0" applyFill="1" applyBorder="1" applyAlignment="1">
      <alignment horizontal="center"/>
    </xf>
    <xf numFmtId="0" fontId="0" fillId="4" borderId="17" xfId="0" applyFill="1" applyBorder="1" applyAlignment="1">
      <alignment horizontal="center"/>
    </xf>
    <xf numFmtId="0" fontId="0" fillId="4" borderId="16" xfId="0" applyFill="1" applyBorder="1" applyAlignment="1">
      <alignment horizontal="center"/>
    </xf>
    <xf numFmtId="0" fontId="5" fillId="3" borderId="137" xfId="0" applyFont="1" applyFill="1" applyBorder="1" applyAlignment="1">
      <alignment horizontal="center"/>
    </xf>
    <xf numFmtId="0" fontId="0" fillId="4" borderId="178" xfId="0" applyFill="1" applyBorder="1" applyAlignment="1">
      <alignment horizontal="center" wrapText="1"/>
    </xf>
    <xf numFmtId="0" fontId="0" fillId="4" borderId="166" xfId="0" applyFill="1" applyBorder="1" applyAlignment="1">
      <alignment horizontal="center" wrapText="1"/>
    </xf>
    <xf numFmtId="0" fontId="0" fillId="4" borderId="114" xfId="0" applyFill="1" applyBorder="1" applyAlignment="1">
      <alignment horizontal="center" wrapText="1"/>
    </xf>
    <xf numFmtId="0" fontId="0" fillId="4" borderId="94" xfId="0" applyFill="1" applyBorder="1" applyAlignment="1">
      <alignment horizontal="center" wrapText="1"/>
    </xf>
    <xf numFmtId="0" fontId="0" fillId="4" borderId="169" xfId="0" applyFill="1" applyBorder="1" applyAlignment="1">
      <alignment horizontal="center"/>
    </xf>
    <xf numFmtId="0" fontId="0" fillId="4" borderId="170" xfId="0" applyFill="1" applyBorder="1" applyAlignment="1">
      <alignment horizontal="center"/>
    </xf>
    <xf numFmtId="0" fontId="0" fillId="4" borderId="171" xfId="0" applyFill="1" applyBorder="1" applyAlignment="1">
      <alignment horizontal="center"/>
    </xf>
    <xf numFmtId="0" fontId="0" fillId="4" borderId="172" xfId="0" applyFill="1" applyBorder="1" applyAlignment="1">
      <alignment horizontal="center"/>
    </xf>
  </cellXfs>
  <cellStyles count="3">
    <cellStyle name="Comma" xfId="2" builtinId="3"/>
    <cellStyle name="Normal" xfId="0" builtinId="0"/>
    <cellStyle name="Note" xfId="1" builtinId="10"/>
  </cellStyles>
  <dxfs count="86">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s>
  <tableStyles count="0" defaultTableStyle="TableStyleMedium2" defaultPivotStyle="PivotStyleLight16"/>
  <colors>
    <mruColors>
      <color rgb="FF896AB6"/>
      <color rgb="FF9966FF"/>
      <color rgb="FFCC6C6A"/>
      <color rgb="FFFF3737"/>
      <color rgb="FFE89B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GPA Outlook: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Settings!$C$18</c:f>
              <c:strCache>
                <c:ptCount val="1"/>
                <c:pt idx="0">
                  <c:v>Cumulative GPA</c:v>
                </c:pt>
              </c:strCache>
            </c:strRef>
          </c:tx>
          <c:spPr>
            <a:solidFill>
              <a:schemeClr val="accent1"/>
            </a:solidFill>
            <a:ln>
              <a:noFill/>
            </a:ln>
            <a:effectLst/>
          </c:spPr>
          <c:invertIfNegative val="0"/>
          <c:cat>
            <c:strRef>
              <c:f>Settings!$B$20:$B$27</c:f>
              <c:strCache>
                <c:ptCount val="8"/>
                <c:pt idx="0">
                  <c:v>Semester 1</c:v>
                </c:pt>
                <c:pt idx="1">
                  <c:v>Semester 2</c:v>
                </c:pt>
                <c:pt idx="2">
                  <c:v>Semester 3</c:v>
                </c:pt>
                <c:pt idx="3">
                  <c:v>Semester 4</c:v>
                </c:pt>
                <c:pt idx="4">
                  <c:v>Semester 5</c:v>
                </c:pt>
                <c:pt idx="5">
                  <c:v>Semester 6</c:v>
                </c:pt>
                <c:pt idx="6">
                  <c:v>Semester 7</c:v>
                </c:pt>
                <c:pt idx="7">
                  <c:v>Semester 8</c:v>
                </c:pt>
              </c:strCache>
            </c:strRef>
          </c:cat>
          <c:val>
            <c:numRef>
              <c:f>Settings!$C$20:$C$27</c:f>
              <c:numCache>
                <c:formatCode>General</c:formatCode>
                <c:ptCount val="8"/>
                <c:pt idx="0">
                  <c:v>3.3821428571428571</c:v>
                </c:pt>
                <c:pt idx="1">
                  <c:v>2.9782758620689656</c:v>
                </c:pt>
                <c:pt idx="2">
                  <c:v>2.8126086956521736</c:v>
                </c:pt>
                <c:pt idx="3">
                  <c:v>2.8176666666666668</c:v>
                </c:pt>
                <c:pt idx="4">
                  <c:v>2.7368831168831171</c:v>
                </c:pt>
                <c:pt idx="5">
                  <c:v>2.7974736842105261</c:v>
                </c:pt>
                <c:pt idx="6">
                  <c:v>2.8670093457943921</c:v>
                </c:pt>
                <c:pt idx="7">
                  <c:v>2.9581599999999999</c:v>
                </c:pt>
              </c:numCache>
            </c:numRef>
          </c:val>
          <c:extLst>
            <c:ext xmlns:c16="http://schemas.microsoft.com/office/drawing/2014/chart" uri="{C3380CC4-5D6E-409C-BE32-E72D297353CC}">
              <c16:uniqueId val="{00000000-3677-4694-93FC-4130160521B9}"/>
            </c:ext>
          </c:extLst>
        </c:ser>
        <c:dLbls>
          <c:showLegendKey val="0"/>
          <c:showVal val="0"/>
          <c:showCatName val="0"/>
          <c:showSerName val="0"/>
          <c:showPercent val="0"/>
          <c:showBubbleSize val="0"/>
        </c:dLbls>
        <c:gapWidth val="269"/>
        <c:axId val="1361998560"/>
        <c:axId val="1680433872"/>
      </c:barChart>
      <c:lineChart>
        <c:grouping val="standard"/>
        <c:varyColors val="0"/>
        <c:ser>
          <c:idx val="1"/>
          <c:order val="1"/>
          <c:tx>
            <c:strRef>
              <c:f>Settings!$D$18</c:f>
              <c:strCache>
                <c:ptCount val="1"/>
                <c:pt idx="0">
                  <c:v>GPA:</c:v>
                </c:pt>
              </c:strCache>
            </c:strRef>
          </c:tx>
          <c:spPr>
            <a:ln w="19050" cap="rnd">
              <a:solidFill>
                <a:srgbClr val="7030A0"/>
              </a:solidFill>
              <a:round/>
            </a:ln>
            <a:effectLst/>
          </c:spPr>
          <c:marker>
            <c:symbol val="none"/>
          </c:marker>
          <c:cat>
            <c:strRef>
              <c:f>Settings!$B$20:$B$27</c:f>
              <c:strCache>
                <c:ptCount val="8"/>
                <c:pt idx="0">
                  <c:v>Semester 1</c:v>
                </c:pt>
                <c:pt idx="1">
                  <c:v>Semester 2</c:v>
                </c:pt>
                <c:pt idx="2">
                  <c:v>Semester 3</c:v>
                </c:pt>
                <c:pt idx="3">
                  <c:v>Semester 4</c:v>
                </c:pt>
                <c:pt idx="4">
                  <c:v>Semester 5</c:v>
                </c:pt>
                <c:pt idx="5">
                  <c:v>Semester 6</c:v>
                </c:pt>
                <c:pt idx="6">
                  <c:v>Semester 7</c:v>
                </c:pt>
                <c:pt idx="7">
                  <c:v>Semester 8</c:v>
                </c:pt>
              </c:strCache>
            </c:strRef>
          </c:cat>
          <c:val>
            <c:numRef>
              <c:f>Settings!$D$20:$D$27</c:f>
              <c:numCache>
                <c:formatCode>General</c:formatCode>
                <c:ptCount val="8"/>
                <c:pt idx="0">
                  <c:v>3.3821428571428571</c:v>
                </c:pt>
                <c:pt idx="1">
                  <c:v>2.6013333333333337</c:v>
                </c:pt>
                <c:pt idx="2">
                  <c:v>2.5299999999999998</c:v>
                </c:pt>
                <c:pt idx="3">
                  <c:v>2.8342857142857141</c:v>
                </c:pt>
                <c:pt idx="4">
                  <c:v>2.4517647058823528</c:v>
                </c:pt>
                <c:pt idx="5">
                  <c:v>3.0566666666666666</c:v>
                </c:pt>
                <c:pt idx="6">
                  <c:v>3.4175</c:v>
                </c:pt>
                <c:pt idx="7">
                  <c:v>3.5339999999999998</c:v>
                </c:pt>
              </c:numCache>
            </c:numRef>
          </c:val>
          <c:smooth val="0"/>
          <c:extLst>
            <c:ext xmlns:c16="http://schemas.microsoft.com/office/drawing/2014/chart" uri="{C3380CC4-5D6E-409C-BE32-E72D297353CC}">
              <c16:uniqueId val="{00000001-3677-4694-93FC-4130160521B9}"/>
            </c:ext>
          </c:extLst>
        </c:ser>
        <c:ser>
          <c:idx val="2"/>
          <c:order val="2"/>
          <c:tx>
            <c:strRef>
              <c:f>Settings!$F$18</c:f>
              <c:strCache>
                <c:ptCount val="1"/>
                <c:pt idx="0">
                  <c:v>"2.8"</c:v>
                </c:pt>
              </c:strCache>
            </c:strRef>
          </c:tx>
          <c:spPr>
            <a:ln w="19050" cap="rnd">
              <a:solidFill>
                <a:srgbClr val="FFC000"/>
              </a:solidFill>
              <a:prstDash val="lgDash"/>
              <a:round/>
            </a:ln>
            <a:effectLst/>
          </c:spPr>
          <c:marker>
            <c:symbol val="none"/>
          </c:marker>
          <c:val>
            <c:numRef>
              <c:f>Settings!$F$20:$F$27</c:f>
              <c:numCache>
                <c:formatCode>General</c:formatCode>
                <c:ptCount val="8"/>
                <c:pt idx="0">
                  <c:v>2.8</c:v>
                </c:pt>
                <c:pt idx="1">
                  <c:v>2.8</c:v>
                </c:pt>
                <c:pt idx="2">
                  <c:v>2.8</c:v>
                </c:pt>
                <c:pt idx="3">
                  <c:v>2.8</c:v>
                </c:pt>
                <c:pt idx="4">
                  <c:v>2.8</c:v>
                </c:pt>
                <c:pt idx="5">
                  <c:v>2.8</c:v>
                </c:pt>
                <c:pt idx="6">
                  <c:v>2.8</c:v>
                </c:pt>
                <c:pt idx="7">
                  <c:v>2.8</c:v>
                </c:pt>
              </c:numCache>
            </c:numRef>
          </c:val>
          <c:smooth val="0"/>
          <c:extLst>
            <c:ext xmlns:c16="http://schemas.microsoft.com/office/drawing/2014/chart" uri="{C3380CC4-5D6E-409C-BE32-E72D297353CC}">
              <c16:uniqueId val="{00000002-3677-4694-93FC-4130160521B9}"/>
            </c:ext>
          </c:extLst>
        </c:ser>
        <c:ser>
          <c:idx val="3"/>
          <c:order val="3"/>
          <c:tx>
            <c:strRef>
              <c:f>Settings!$G$18</c:f>
              <c:strCache>
                <c:ptCount val="1"/>
                <c:pt idx="0">
                  <c:v>"3.0"</c:v>
                </c:pt>
              </c:strCache>
            </c:strRef>
          </c:tx>
          <c:spPr>
            <a:ln w="19050" cap="rnd" cmpd="sng">
              <a:solidFill>
                <a:schemeClr val="accent4">
                  <a:lumMod val="40000"/>
                  <a:lumOff val="60000"/>
                </a:schemeClr>
              </a:solidFill>
              <a:prstDash val="lgDash"/>
              <a:round/>
            </a:ln>
            <a:effectLst/>
          </c:spPr>
          <c:marker>
            <c:symbol val="none"/>
          </c:marker>
          <c:val>
            <c:numRef>
              <c:f>Settings!$G$20:$G$27</c:f>
              <c:numCache>
                <c:formatCode>General</c:formatCode>
                <c:ptCount val="8"/>
                <c:pt idx="0">
                  <c:v>3</c:v>
                </c:pt>
                <c:pt idx="1">
                  <c:v>3</c:v>
                </c:pt>
                <c:pt idx="2">
                  <c:v>3</c:v>
                </c:pt>
                <c:pt idx="3">
                  <c:v>3</c:v>
                </c:pt>
                <c:pt idx="4">
                  <c:v>3</c:v>
                </c:pt>
                <c:pt idx="5">
                  <c:v>3</c:v>
                </c:pt>
                <c:pt idx="6">
                  <c:v>3</c:v>
                </c:pt>
                <c:pt idx="7">
                  <c:v>3</c:v>
                </c:pt>
              </c:numCache>
            </c:numRef>
          </c:val>
          <c:smooth val="0"/>
          <c:extLst>
            <c:ext xmlns:c16="http://schemas.microsoft.com/office/drawing/2014/chart" uri="{C3380CC4-5D6E-409C-BE32-E72D297353CC}">
              <c16:uniqueId val="{00000003-3677-4694-93FC-4130160521B9}"/>
            </c:ext>
          </c:extLst>
        </c:ser>
        <c:ser>
          <c:idx val="4"/>
          <c:order val="4"/>
          <c:tx>
            <c:strRef>
              <c:f>Settings!$E$18</c:f>
              <c:strCache>
                <c:ptCount val="1"/>
                <c:pt idx="0">
                  <c:v>"2.5"</c:v>
                </c:pt>
              </c:strCache>
            </c:strRef>
          </c:tx>
          <c:spPr>
            <a:ln w="19050" cap="flat">
              <a:solidFill>
                <a:srgbClr val="FF0000"/>
              </a:solidFill>
              <a:prstDash val="lgDash"/>
              <a:round/>
            </a:ln>
            <a:effectLst/>
          </c:spPr>
          <c:marker>
            <c:symbol val="none"/>
          </c:marker>
          <c:val>
            <c:numRef>
              <c:f>Settings!$E$20:$E$27</c:f>
              <c:numCache>
                <c:formatCode>General</c:formatCode>
                <c:ptCount val="8"/>
                <c:pt idx="0">
                  <c:v>2.5</c:v>
                </c:pt>
                <c:pt idx="1">
                  <c:v>2.5</c:v>
                </c:pt>
                <c:pt idx="2">
                  <c:v>2.5</c:v>
                </c:pt>
                <c:pt idx="3">
                  <c:v>2.5</c:v>
                </c:pt>
                <c:pt idx="4">
                  <c:v>2.5</c:v>
                </c:pt>
                <c:pt idx="5">
                  <c:v>2.5</c:v>
                </c:pt>
                <c:pt idx="6">
                  <c:v>2.5</c:v>
                </c:pt>
                <c:pt idx="7">
                  <c:v>2.5</c:v>
                </c:pt>
              </c:numCache>
            </c:numRef>
          </c:val>
          <c:smooth val="0"/>
          <c:extLst>
            <c:ext xmlns:c16="http://schemas.microsoft.com/office/drawing/2014/chart" uri="{C3380CC4-5D6E-409C-BE32-E72D297353CC}">
              <c16:uniqueId val="{00000004-3677-4694-93FC-4130160521B9}"/>
            </c:ext>
          </c:extLst>
        </c:ser>
        <c:ser>
          <c:idx val="5"/>
          <c:order val="5"/>
          <c:tx>
            <c:strRef>
              <c:f>Settings!$H$18</c:f>
              <c:strCache>
                <c:ptCount val="1"/>
                <c:pt idx="0">
                  <c:v>"3.2"</c:v>
                </c:pt>
              </c:strCache>
            </c:strRef>
          </c:tx>
          <c:spPr>
            <a:ln w="19050" cap="rnd">
              <a:solidFill>
                <a:schemeClr val="accent6"/>
              </a:solidFill>
              <a:prstDash val="lgDash"/>
              <a:round/>
            </a:ln>
            <a:effectLst/>
          </c:spPr>
          <c:marker>
            <c:symbol val="none"/>
          </c:marker>
          <c:val>
            <c:numRef>
              <c:f>Settings!$H$20:$H$27</c:f>
              <c:numCache>
                <c:formatCode>General</c:formatCode>
                <c:ptCount val="8"/>
                <c:pt idx="0">
                  <c:v>3.2</c:v>
                </c:pt>
                <c:pt idx="1">
                  <c:v>3.2</c:v>
                </c:pt>
                <c:pt idx="2">
                  <c:v>3.2</c:v>
                </c:pt>
                <c:pt idx="3">
                  <c:v>3.2</c:v>
                </c:pt>
                <c:pt idx="4">
                  <c:v>3.2</c:v>
                </c:pt>
                <c:pt idx="5">
                  <c:v>3.2</c:v>
                </c:pt>
                <c:pt idx="6">
                  <c:v>3.2</c:v>
                </c:pt>
                <c:pt idx="7">
                  <c:v>3.2</c:v>
                </c:pt>
              </c:numCache>
            </c:numRef>
          </c:val>
          <c:smooth val="0"/>
          <c:extLst>
            <c:ext xmlns:c16="http://schemas.microsoft.com/office/drawing/2014/chart" uri="{C3380CC4-5D6E-409C-BE32-E72D297353CC}">
              <c16:uniqueId val="{00000000-F8E6-4A33-9AF2-7285C2044D4B}"/>
            </c:ext>
          </c:extLst>
        </c:ser>
        <c:ser>
          <c:idx val="6"/>
          <c:order val="6"/>
          <c:tx>
            <c:strRef>
              <c:f>Settings!$I$18</c:f>
              <c:strCache>
                <c:ptCount val="1"/>
                <c:pt idx="0">
                  <c:v>"3.5"</c:v>
                </c:pt>
              </c:strCache>
            </c:strRef>
          </c:tx>
          <c:spPr>
            <a:ln w="19050" cap="rnd">
              <a:solidFill>
                <a:srgbClr val="00B0F0"/>
              </a:solidFill>
              <a:prstDash val="lgDash"/>
              <a:round/>
            </a:ln>
            <a:effectLst/>
          </c:spPr>
          <c:marker>
            <c:symbol val="none"/>
          </c:marker>
          <c:val>
            <c:numRef>
              <c:f>Settings!$I$20:$I$27</c:f>
              <c:numCache>
                <c:formatCode>General</c:formatCode>
                <c:ptCount val="8"/>
                <c:pt idx="0">
                  <c:v>3.5</c:v>
                </c:pt>
                <c:pt idx="1">
                  <c:v>3.5</c:v>
                </c:pt>
                <c:pt idx="2">
                  <c:v>3.5</c:v>
                </c:pt>
                <c:pt idx="3">
                  <c:v>3.5</c:v>
                </c:pt>
                <c:pt idx="4">
                  <c:v>3.5</c:v>
                </c:pt>
                <c:pt idx="5">
                  <c:v>3.5</c:v>
                </c:pt>
                <c:pt idx="6">
                  <c:v>3.5</c:v>
                </c:pt>
                <c:pt idx="7">
                  <c:v>3.5</c:v>
                </c:pt>
              </c:numCache>
            </c:numRef>
          </c:val>
          <c:smooth val="0"/>
          <c:extLst>
            <c:ext xmlns:c16="http://schemas.microsoft.com/office/drawing/2014/chart" uri="{C3380CC4-5D6E-409C-BE32-E72D297353CC}">
              <c16:uniqueId val="{00000001-F8E6-4A33-9AF2-7285C2044D4B}"/>
            </c:ext>
          </c:extLst>
        </c:ser>
        <c:dLbls>
          <c:showLegendKey val="0"/>
          <c:showVal val="0"/>
          <c:showCatName val="0"/>
          <c:showSerName val="0"/>
          <c:showPercent val="0"/>
          <c:showBubbleSize val="0"/>
        </c:dLbls>
        <c:marker val="1"/>
        <c:smooth val="0"/>
        <c:axId val="1361998560"/>
        <c:axId val="1680433872"/>
      </c:lineChart>
      <c:catAx>
        <c:axId val="136199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33872"/>
        <c:crosses val="autoZero"/>
        <c:auto val="1"/>
        <c:lblAlgn val="ctr"/>
        <c:lblOffset val="100"/>
        <c:noMultiLvlLbl val="0"/>
      </c:catAx>
      <c:valAx>
        <c:axId val="1680433872"/>
        <c:scaling>
          <c:orientation val="minMax"/>
          <c:max val="4"/>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998560"/>
        <c:crosses val="autoZero"/>
        <c:crossBetween val="between"/>
      </c:valAx>
      <c:spPr>
        <a:noFill/>
        <a:ln>
          <a:noFill/>
        </a:ln>
        <a:effectLst/>
      </c:spPr>
    </c:plotArea>
    <c:legend>
      <c:legendPos val="b"/>
      <c:layout>
        <c:manualLayout>
          <c:xMode val="edge"/>
          <c:yMode val="edge"/>
          <c:x val="5.1567020299227176E-2"/>
          <c:y val="0.89240439881723643"/>
          <c:w val="0.89686577649761279"/>
          <c:h val="9.071796405196186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9523</xdr:colOff>
      <xdr:row>34</xdr:row>
      <xdr:rowOff>19050</xdr:rowOff>
    </xdr:from>
    <xdr:to>
      <xdr:col>18</xdr:col>
      <xdr:colOff>85725</xdr:colOff>
      <xdr:row>56</xdr:row>
      <xdr:rowOff>95250</xdr:rowOff>
    </xdr:to>
    <xdr:graphicFrame macro="">
      <xdr:nvGraphicFramePr>
        <xdr:cNvPr id="2" name="Chart 1">
          <a:extLst>
            <a:ext uri="{FF2B5EF4-FFF2-40B4-BE49-F238E27FC236}">
              <a16:creationId xmlns:a16="http://schemas.microsoft.com/office/drawing/2014/main" id="{BF69EC31-2E2C-48F6-A56F-23A6242D6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19</xdr:col>
      <xdr:colOff>0</xdr:colOff>
      <xdr:row>0</xdr:row>
      <xdr:rowOff>0</xdr:rowOff>
    </xdr:from>
    <xdr:to>
      <xdr:col>32</xdr:col>
      <xdr:colOff>476250</xdr:colOff>
      <xdr:row>42</xdr:row>
      <xdr:rowOff>2199</xdr:rowOff>
    </xdr:to>
    <xdr:pic>
      <xdr:nvPicPr>
        <xdr:cNvPr id="3" name="Picture 2">
          <a:extLst>
            <a:ext uri="{FF2B5EF4-FFF2-40B4-BE49-F238E27FC236}">
              <a16:creationId xmlns:a16="http://schemas.microsoft.com/office/drawing/2014/main" id="{587FFE98-22E0-4D4C-888D-53394C274C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96275" y="0"/>
          <a:ext cx="7972425" cy="102987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aptop\School\Yet%20to%20be%20Organized\Grades-Kirmei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ghschool 2012-2016"/>
      <sheetName val="Freshman-Fall 2016"/>
      <sheetName val="Spring 2017"/>
      <sheetName val="Summer 2017"/>
      <sheetName val="Template (4)"/>
      <sheetName val="Sophomore-Fall 2017"/>
      <sheetName val="Spring 2018"/>
      <sheetName val="Summer 2018"/>
      <sheetName val="Junior-Fall 2018"/>
      <sheetName val="Sheet1"/>
      <sheetName val="Spring 2019"/>
      <sheetName val="Summer 2019"/>
      <sheetName val="Senior-Fall 2019"/>
      <sheetName val="Spring 2020"/>
      <sheetName val="Transcript"/>
      <sheetName val="Audit"/>
      <sheetName val="test"/>
      <sheetName val="Spring 2019 old"/>
      <sheetName val="Semester Page Na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2">
          <cell r="A2" t="str">
            <v>jan</v>
          </cell>
          <cell r="B2">
            <v>10</v>
          </cell>
        </row>
        <row r="3">
          <cell r="A3" t="str">
            <v>feb</v>
          </cell>
          <cell r="B3">
            <v>20</v>
          </cell>
        </row>
        <row r="4">
          <cell r="A4" t="str">
            <v>mar</v>
          </cell>
          <cell r="B4">
            <v>30</v>
          </cell>
        </row>
      </sheetData>
      <sheetData sheetId="10" refreshError="1"/>
      <sheetData sheetId="11" refreshError="1"/>
      <sheetData sheetId="12" refreshError="1"/>
      <sheetData sheetId="13" refreshError="1"/>
      <sheetData sheetId="14">
        <row r="5">
          <cell r="AA5" t="str">
            <v>Cumulative GPA:</v>
          </cell>
        </row>
      </sheetData>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9151-65CA-484B-A3D1-F28F710FF285}">
  <sheetPr>
    <tabColor rgb="FF7030A0"/>
  </sheetPr>
  <dimension ref="B1:Y28"/>
  <sheetViews>
    <sheetView showGridLines="0" zoomScale="91" zoomScaleNormal="91" workbookViewId="0">
      <selection activeCell="D4" sqref="D4"/>
    </sheetView>
  </sheetViews>
  <sheetFormatPr defaultRowHeight="15" x14ac:dyDescent="0.25"/>
  <cols>
    <col min="1" max="1" width="4" style="1" customWidth="1"/>
    <col min="2" max="2" width="9.140625" style="1"/>
    <col min="3" max="3" width="7.7109375" style="1" customWidth="1"/>
    <col min="4" max="4" width="6" style="1" customWidth="1"/>
    <col min="5" max="5" width="8.140625" style="1" customWidth="1"/>
    <col min="6" max="6" width="10.140625" style="1" bestFit="1" customWidth="1"/>
    <col min="7" max="7" width="9.140625" style="1"/>
    <col min="8" max="8" width="2.85546875" style="1" customWidth="1"/>
    <col min="9" max="9" width="11.5703125" style="1" customWidth="1"/>
    <col min="10" max="10" width="6.42578125" style="1" customWidth="1"/>
    <col min="11" max="11" width="8.5703125" style="1" customWidth="1"/>
    <col min="12" max="12" width="10.28515625" style="1" customWidth="1"/>
    <col min="13" max="13" width="9.140625" style="1"/>
    <col min="14" max="14" width="2.85546875" style="1" customWidth="1"/>
    <col min="15" max="15" width="8.85546875" style="1" customWidth="1"/>
    <col min="16" max="16" width="6.140625" style="1" customWidth="1"/>
    <col min="17" max="17" width="8.28515625" style="1" customWidth="1"/>
    <col min="18" max="18" width="10.28515625" style="1" customWidth="1"/>
    <col min="19" max="19" width="9.140625" style="1"/>
    <col min="20" max="20" width="2.85546875" style="1" customWidth="1"/>
    <col min="21" max="21" width="9.140625" style="1"/>
    <col min="22" max="22" width="6.5703125" style="1" customWidth="1"/>
    <col min="23" max="23" width="8.8554687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16384" width="9.140625" style="1"/>
  </cols>
  <sheetData>
    <row r="1" spans="2:25" ht="15.75" thickBot="1" x14ac:dyDescent="0.3"/>
    <row r="2" spans="2:25" ht="16.5" thickTop="1" thickBot="1" x14ac:dyDescent="0.3">
      <c r="B2" s="394" t="s">
        <v>120</v>
      </c>
      <c r="C2" s="395"/>
      <c r="D2" s="395"/>
      <c r="E2" s="395" t="s">
        <v>530</v>
      </c>
      <c r="F2" s="395"/>
      <c r="G2" s="396"/>
    </row>
    <row r="3" spans="2:25" ht="15.75" thickTop="1" x14ac:dyDescent="0.25">
      <c r="B3" s="397" t="s">
        <v>118</v>
      </c>
      <c r="C3" s="398"/>
      <c r="D3" s="245">
        <f>COUNTIF(6:6,"*")</f>
        <v>4</v>
      </c>
      <c r="E3" s="399" t="s">
        <v>117</v>
      </c>
      <c r="F3" s="398"/>
      <c r="G3" s="101">
        <v>0</v>
      </c>
    </row>
    <row r="4" spans="2:25" ht="15.75" thickBot="1" x14ac:dyDescent="0.3">
      <c r="B4" s="400" t="s">
        <v>115</v>
      </c>
      <c r="C4" s="401"/>
      <c r="D4" s="244">
        <f>SUMIF(8:8,"&lt;&gt;#N/A")</f>
        <v>11</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0</v>
      </c>
    </row>
    <row r="5" spans="2:25" ht="16.5" thickTop="1" thickBot="1" x14ac:dyDescent="0.3"/>
    <row r="6" spans="2:25" ht="16.5" thickTop="1" thickBot="1" x14ac:dyDescent="0.3">
      <c r="C6" s="382" t="s">
        <v>138</v>
      </c>
      <c r="D6" s="383"/>
      <c r="E6" s="383"/>
      <c r="F6" s="383"/>
      <c r="G6" s="384"/>
      <c r="I6" s="382" t="s">
        <v>139</v>
      </c>
      <c r="J6" s="383"/>
      <c r="K6" s="383"/>
      <c r="L6" s="383"/>
      <c r="M6" s="384"/>
      <c r="O6" s="382" t="s">
        <v>500</v>
      </c>
      <c r="P6" s="383"/>
      <c r="Q6" s="383"/>
      <c r="R6" s="383"/>
      <c r="S6" s="384"/>
      <c r="U6" s="382" t="s">
        <v>137</v>
      </c>
      <c r="V6" s="383"/>
      <c r="W6" s="383"/>
      <c r="X6" s="383"/>
      <c r="Y6" s="384"/>
    </row>
    <row r="7" spans="2:25" x14ac:dyDescent="0.25">
      <c r="C7" s="385" t="s">
        <v>106</v>
      </c>
      <c r="D7" s="386"/>
      <c r="E7" s="99">
        <f ca="1">COUNTIF(F:F,"Weight*")</f>
        <v>1</v>
      </c>
      <c r="F7" s="301" t="s">
        <v>105</v>
      </c>
      <c r="G7" s="97" t="s">
        <v>425</v>
      </c>
      <c r="I7" s="385" t="s">
        <v>106</v>
      </c>
      <c r="J7" s="386"/>
      <c r="K7" s="99">
        <f ca="1">COUNTIF(L:L,"Weight*")</f>
        <v>1</v>
      </c>
      <c r="L7" s="301" t="s">
        <v>105</v>
      </c>
      <c r="M7" s="97" t="s">
        <v>425</v>
      </c>
      <c r="O7" s="385" t="s">
        <v>106</v>
      </c>
      <c r="P7" s="386"/>
      <c r="Q7" s="99">
        <f ca="1">COUNTIF(R:R,"Weight*")</f>
        <v>1</v>
      </c>
      <c r="R7" s="301" t="s">
        <v>105</v>
      </c>
      <c r="S7" s="97" t="s">
        <v>425</v>
      </c>
      <c r="U7" s="385" t="s">
        <v>106</v>
      </c>
      <c r="V7" s="386"/>
      <c r="W7" s="99">
        <f ca="1">COUNTIF(X:X,"Weight*")</f>
        <v>1</v>
      </c>
      <c r="X7" s="301" t="s">
        <v>105</v>
      </c>
      <c r="Y7" s="97" t="s">
        <v>425</v>
      </c>
    </row>
    <row r="8" spans="2:25" ht="15.75" thickBot="1" x14ac:dyDescent="0.3">
      <c r="C8" s="377" t="s">
        <v>102</v>
      </c>
      <c r="D8" s="378"/>
      <c r="E8" s="95">
        <v>3</v>
      </c>
      <c r="F8" s="299" t="s">
        <v>101</v>
      </c>
      <c r="G8" s="93" t="s">
        <v>127</v>
      </c>
      <c r="I8" s="377" t="s">
        <v>102</v>
      </c>
      <c r="J8" s="378"/>
      <c r="K8" s="95">
        <v>1</v>
      </c>
      <c r="L8" s="299" t="s">
        <v>101</v>
      </c>
      <c r="M8" s="93" t="s">
        <v>127</v>
      </c>
      <c r="O8" s="377" t="s">
        <v>102</v>
      </c>
      <c r="P8" s="378"/>
      <c r="Q8" s="95">
        <v>3</v>
      </c>
      <c r="R8" s="299" t="s">
        <v>101</v>
      </c>
      <c r="S8" s="93" t="s">
        <v>127</v>
      </c>
      <c r="U8" s="377" t="s">
        <v>102</v>
      </c>
      <c r="V8" s="378"/>
      <c r="W8" s="95">
        <v>4</v>
      </c>
      <c r="X8" s="299" t="s">
        <v>101</v>
      </c>
      <c r="Y8" s="93" t="s">
        <v>127</v>
      </c>
    </row>
    <row r="9" spans="2:25" ht="15.75" thickTop="1" x14ac:dyDescent="0.25">
      <c r="C9" s="379" t="s">
        <v>99</v>
      </c>
      <c r="D9" s="380"/>
      <c r="E9" s="380"/>
      <c r="F9" s="380"/>
      <c r="G9" s="381"/>
      <c r="I9" s="379" t="s">
        <v>99</v>
      </c>
      <c r="J9" s="380"/>
      <c r="K9" s="380"/>
      <c r="L9" s="380"/>
      <c r="M9" s="381"/>
      <c r="O9" s="379" t="s">
        <v>99</v>
      </c>
      <c r="P9" s="380"/>
      <c r="Q9" s="380"/>
      <c r="R9" s="380"/>
      <c r="S9" s="381"/>
      <c r="U9" s="379" t="s">
        <v>99</v>
      </c>
      <c r="V9" s="380"/>
      <c r="W9" s="380"/>
      <c r="X9" s="380"/>
      <c r="Y9" s="381"/>
    </row>
    <row r="10" spans="2:25" x14ac:dyDescent="0.25">
      <c r="C10" s="92" t="s">
        <v>98</v>
      </c>
      <c r="D10" s="300"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1</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v>
      </c>
      <c r="I10" s="92" t="s">
        <v>98</v>
      </c>
      <c r="J10" s="300" t="str" cm="1">
        <f t="array" aca="1" ref="J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K10" s="90" cm="1">
        <f t="array" aca="1" ref="K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1</v>
      </c>
      <c r="L10" s="12" t="s">
        <v>97</v>
      </c>
      <c r="M10" s="89" cm="1">
        <f t="array" aca="1" ref="M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v>
      </c>
      <c r="O10" s="92" t="s">
        <v>98</v>
      </c>
      <c r="P10" s="300" t="str" cm="1">
        <f t="array" aca="1" ref="P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Q10" s="90" cm="1">
        <f t="array" aca="1" ref="Q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1</v>
      </c>
      <c r="R10" s="12" t="s">
        <v>97</v>
      </c>
      <c r="S10" s="89" cm="1">
        <f t="array" aca="1" ref="S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v>
      </c>
      <c r="U10" s="92" t="s">
        <v>98</v>
      </c>
      <c r="V10" s="300" t="str" cm="1">
        <f t="array" aca="1" ref="V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W10" s="90" cm="1">
        <f t="array" aca="1" ref="W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1</v>
      </c>
      <c r="X10" s="12" t="s">
        <v>97</v>
      </c>
      <c r="Y10" s="89" cm="1">
        <f t="array" aca="1" ref="Y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v>
      </c>
    </row>
    <row r="11" spans="2:25" ht="15.75" thickBot="1" x14ac:dyDescent="0.3">
      <c r="C11" s="88" t="s">
        <v>96</v>
      </c>
      <c r="D11" s="87" t="str"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E11" s="86"/>
      <c r="F11" s="86" t="s">
        <v>95</v>
      </c>
      <c r="G11" s="242" t="str" cm="1">
        <f t="array" aca="1" ref="G11" ca="1">IF(OR(QPtCT="Dropped",QPtCT="P/F"),"NA",QPtGPA*QPtCR)</f>
        <v>NA</v>
      </c>
      <c r="I11" s="88" t="s">
        <v>96</v>
      </c>
      <c r="J11" s="87" t="str" cm="1">
        <f t="array" aca="1" ref="J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K11" s="86"/>
      <c r="L11" s="86" t="s">
        <v>95</v>
      </c>
      <c r="M11" s="242" t="str" cm="1">
        <f t="array" aca="1" ref="M11" ca="1">IF(OR(QPtCT="Dropped",QPtCT="P/F"),"NA",QPtGPA*QPtCR)</f>
        <v>NA</v>
      </c>
      <c r="O11" s="88" t="s">
        <v>96</v>
      </c>
      <c r="P11" s="87" t="str" cm="1">
        <f t="array" aca="1" ref="P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Q11" s="86"/>
      <c r="R11" s="86" t="s">
        <v>95</v>
      </c>
      <c r="S11" s="242" t="str" cm="1">
        <f t="array" aca="1" ref="S11" ca="1">IF(OR(QPtCT="Dropped",QPtCT="P/F"),"NA",QPtGPA*QPtCR)</f>
        <v>NA</v>
      </c>
      <c r="U11" s="88" t="s">
        <v>96</v>
      </c>
      <c r="V11" s="87" t="str" cm="1">
        <f t="array" aca="1" ref="V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W11" s="86"/>
      <c r="X11" s="86" t="s">
        <v>95</v>
      </c>
      <c r="Y11" s="242" t="str" cm="1">
        <f t="array" aca="1" ref="Y11" ca="1">IF(OR(QPtCT="Dropped",QPtCT="P/F"),"NA",QPtGPA*QPtCR)</f>
        <v>NA</v>
      </c>
    </row>
    <row r="12" spans="2:25" ht="12" customHeight="1" thickTop="1" thickBot="1" x14ac:dyDescent="0.3"/>
    <row r="13" spans="2:25" ht="16.5" thickTop="1" thickBot="1" x14ac:dyDescent="0.3">
      <c r="C13" s="389" t="s">
        <v>327</v>
      </c>
      <c r="D13" s="390"/>
      <c r="E13" s="390"/>
      <c r="F13" s="390"/>
      <c r="G13" s="391"/>
      <c r="I13" s="389" t="s">
        <v>327</v>
      </c>
      <c r="J13" s="390"/>
      <c r="K13" s="390"/>
      <c r="L13" s="390"/>
      <c r="M13" s="391"/>
      <c r="O13" s="389" t="s">
        <v>327</v>
      </c>
      <c r="P13" s="390"/>
      <c r="Q13" s="390"/>
      <c r="R13" s="390"/>
      <c r="S13" s="391"/>
      <c r="U13" s="389" t="s">
        <v>327</v>
      </c>
      <c r="V13" s="390"/>
      <c r="W13" s="390"/>
      <c r="X13" s="390"/>
      <c r="Y13" s="391"/>
    </row>
    <row r="14" spans="2:25" ht="15.75" thickTop="1" x14ac:dyDescent="0.25">
      <c r="C14" s="392" t="s">
        <v>13</v>
      </c>
      <c r="D14" s="393"/>
      <c r="E14" s="231">
        <f>0.92</f>
        <v>0.92</v>
      </c>
      <c r="F14" s="302" t="s">
        <v>6</v>
      </c>
      <c r="G14" s="4">
        <f>0.69</f>
        <v>0.69</v>
      </c>
      <c r="I14" s="392" t="s">
        <v>13</v>
      </c>
      <c r="J14" s="393"/>
      <c r="K14" s="231">
        <f>0.92</f>
        <v>0.92</v>
      </c>
      <c r="L14" s="302" t="s">
        <v>6</v>
      </c>
      <c r="M14" s="4">
        <f>0.69</f>
        <v>0.69</v>
      </c>
      <c r="O14" s="392" t="s">
        <v>13</v>
      </c>
      <c r="P14" s="393"/>
      <c r="Q14" s="231">
        <f>0.92</f>
        <v>0.92</v>
      </c>
      <c r="R14" s="302" t="s">
        <v>6</v>
      </c>
      <c r="S14" s="4">
        <f>0.69</f>
        <v>0.69</v>
      </c>
      <c r="U14" s="392" t="s">
        <v>13</v>
      </c>
      <c r="V14" s="393"/>
      <c r="W14" s="231">
        <f>0.92</f>
        <v>0.92</v>
      </c>
      <c r="X14" s="302" t="s">
        <v>6</v>
      </c>
      <c r="Y14" s="4">
        <f>0.69</f>
        <v>0.69</v>
      </c>
    </row>
    <row r="15" spans="2:25" x14ac:dyDescent="0.25">
      <c r="C15" s="387" t="s">
        <v>12</v>
      </c>
      <c r="D15" s="388"/>
      <c r="E15" s="231">
        <f>0.89</f>
        <v>0.89</v>
      </c>
      <c r="F15" s="302" t="s">
        <v>5</v>
      </c>
      <c r="G15" s="4">
        <f>0.66</f>
        <v>0.66</v>
      </c>
      <c r="I15" s="387" t="s">
        <v>12</v>
      </c>
      <c r="J15" s="388"/>
      <c r="K15" s="231">
        <f>0.89</f>
        <v>0.89</v>
      </c>
      <c r="L15" s="302" t="s">
        <v>5</v>
      </c>
      <c r="M15" s="4">
        <f>0.66</f>
        <v>0.66</v>
      </c>
      <c r="O15" s="387" t="s">
        <v>12</v>
      </c>
      <c r="P15" s="388"/>
      <c r="Q15" s="231">
        <f>0.89</f>
        <v>0.89</v>
      </c>
      <c r="R15" s="302" t="s">
        <v>5</v>
      </c>
      <c r="S15" s="4">
        <f>0.66</f>
        <v>0.66</v>
      </c>
      <c r="U15" s="387" t="s">
        <v>12</v>
      </c>
      <c r="V15" s="388"/>
      <c r="W15" s="231">
        <f>0.89</f>
        <v>0.89</v>
      </c>
      <c r="X15" s="302" t="s">
        <v>5</v>
      </c>
      <c r="Y15" s="4">
        <f>0.66</f>
        <v>0.66</v>
      </c>
    </row>
    <row r="16" spans="2:25" x14ac:dyDescent="0.25">
      <c r="C16" s="387" t="s">
        <v>11</v>
      </c>
      <c r="D16" s="388"/>
      <c r="E16" s="231">
        <f>0.86</f>
        <v>0.86</v>
      </c>
      <c r="F16" s="302" t="s">
        <v>4</v>
      </c>
      <c r="G16" s="4">
        <f>0.61</f>
        <v>0.61</v>
      </c>
      <c r="I16" s="387" t="s">
        <v>11</v>
      </c>
      <c r="J16" s="388"/>
      <c r="K16" s="231">
        <f>0.86</f>
        <v>0.86</v>
      </c>
      <c r="L16" s="302" t="s">
        <v>4</v>
      </c>
      <c r="M16" s="4">
        <f>0.61</f>
        <v>0.61</v>
      </c>
      <c r="O16" s="387" t="s">
        <v>11</v>
      </c>
      <c r="P16" s="388"/>
      <c r="Q16" s="231">
        <f>0.86</f>
        <v>0.86</v>
      </c>
      <c r="R16" s="302" t="s">
        <v>4</v>
      </c>
      <c r="S16" s="4">
        <f>0.61</f>
        <v>0.61</v>
      </c>
      <c r="U16" s="387" t="s">
        <v>11</v>
      </c>
      <c r="V16" s="388"/>
      <c r="W16" s="231">
        <f>0.86</f>
        <v>0.86</v>
      </c>
      <c r="X16" s="302" t="s">
        <v>4</v>
      </c>
      <c r="Y16" s="4">
        <f>0.61</f>
        <v>0.61</v>
      </c>
    </row>
    <row r="17" spans="3:25" x14ac:dyDescent="0.25">
      <c r="C17" s="387" t="s">
        <v>10</v>
      </c>
      <c r="D17" s="388"/>
      <c r="E17" s="231">
        <f>0.81</f>
        <v>0.81</v>
      </c>
      <c r="F17" s="302" t="s">
        <v>3</v>
      </c>
      <c r="G17" s="4">
        <v>0.56999999999999995</v>
      </c>
      <c r="I17" s="387" t="s">
        <v>10</v>
      </c>
      <c r="J17" s="388"/>
      <c r="K17" s="231">
        <f>0.81</f>
        <v>0.81</v>
      </c>
      <c r="L17" s="302" t="s">
        <v>3</v>
      </c>
      <c r="M17" s="4">
        <v>0.56999999999999995</v>
      </c>
      <c r="O17" s="387" t="s">
        <v>10</v>
      </c>
      <c r="P17" s="388"/>
      <c r="Q17" s="231">
        <f>0.81</f>
        <v>0.81</v>
      </c>
      <c r="R17" s="302" t="s">
        <v>3</v>
      </c>
      <c r="S17" s="4">
        <v>0.56999999999999995</v>
      </c>
      <c r="U17" s="387" t="s">
        <v>10</v>
      </c>
      <c r="V17" s="388"/>
      <c r="W17" s="231">
        <f>0.81</f>
        <v>0.81</v>
      </c>
      <c r="X17" s="302" t="s">
        <v>3</v>
      </c>
      <c r="Y17" s="4">
        <v>0.56999999999999995</v>
      </c>
    </row>
    <row r="18" spans="3:25" x14ac:dyDescent="0.25">
      <c r="C18" s="387" t="s">
        <v>9</v>
      </c>
      <c r="D18" s="388"/>
      <c r="E18" s="231">
        <f>0.79</f>
        <v>0.79</v>
      </c>
      <c r="F18" s="7" t="s">
        <v>2</v>
      </c>
      <c r="G18" s="6">
        <f>0.5</f>
        <v>0.5</v>
      </c>
      <c r="I18" s="387" t="s">
        <v>9</v>
      </c>
      <c r="J18" s="388"/>
      <c r="K18" s="231">
        <f>0.79</f>
        <v>0.79</v>
      </c>
      <c r="L18" s="7" t="s">
        <v>2</v>
      </c>
      <c r="M18" s="6">
        <f>0.5</f>
        <v>0.5</v>
      </c>
      <c r="O18" s="387" t="s">
        <v>9</v>
      </c>
      <c r="P18" s="388"/>
      <c r="Q18" s="231">
        <f>0.79</f>
        <v>0.79</v>
      </c>
      <c r="R18" s="7" t="s">
        <v>2</v>
      </c>
      <c r="S18" s="6">
        <f>0.5</f>
        <v>0.5</v>
      </c>
      <c r="U18" s="387" t="s">
        <v>9</v>
      </c>
      <c r="V18" s="388"/>
      <c r="W18" s="231">
        <f>0.79</f>
        <v>0.79</v>
      </c>
      <c r="X18" s="7" t="s">
        <v>2</v>
      </c>
      <c r="Y18" s="6">
        <f>0.5</f>
        <v>0.5</v>
      </c>
    </row>
    <row r="19" spans="3:25" x14ac:dyDescent="0.25">
      <c r="C19" s="387" t="s">
        <v>8</v>
      </c>
      <c r="D19" s="388"/>
      <c r="E19" s="231">
        <f>0.76</f>
        <v>0.76</v>
      </c>
      <c r="F19" s="302" t="s">
        <v>1</v>
      </c>
      <c r="G19" s="4">
        <f>G16</f>
        <v>0.61</v>
      </c>
      <c r="I19" s="387" t="s">
        <v>8</v>
      </c>
      <c r="J19" s="388"/>
      <c r="K19" s="231">
        <f>0.76</f>
        <v>0.76</v>
      </c>
      <c r="L19" s="302" t="s">
        <v>1</v>
      </c>
      <c r="M19" s="4">
        <f>M16</f>
        <v>0.61</v>
      </c>
      <c r="O19" s="387" t="s">
        <v>8</v>
      </c>
      <c r="P19" s="388"/>
      <c r="Q19" s="231">
        <f>0.76</f>
        <v>0.76</v>
      </c>
      <c r="R19" s="302" t="s">
        <v>1</v>
      </c>
      <c r="S19" s="4">
        <f>S16</f>
        <v>0.61</v>
      </c>
      <c r="U19" s="387" t="s">
        <v>8</v>
      </c>
      <c r="V19" s="388"/>
      <c r="W19" s="231">
        <f>0.76</f>
        <v>0.76</v>
      </c>
      <c r="X19" s="302" t="s">
        <v>1</v>
      </c>
      <c r="Y19" s="4">
        <f>Y16</f>
        <v>0.61</v>
      </c>
    </row>
    <row r="20" spans="3:25" ht="15.75" thickBot="1" x14ac:dyDescent="0.3">
      <c r="C20" s="406" t="s">
        <v>7</v>
      </c>
      <c r="D20" s="407"/>
      <c r="E20" s="232">
        <f>0.71</f>
        <v>0.71</v>
      </c>
      <c r="F20" s="303" t="s">
        <v>0</v>
      </c>
      <c r="G20" s="2">
        <f>IFERROR(#REF!/F20,0)</f>
        <v>0</v>
      </c>
      <c r="I20" s="406" t="s">
        <v>7</v>
      </c>
      <c r="J20" s="407"/>
      <c r="K20" s="232">
        <f>0.71</f>
        <v>0.71</v>
      </c>
      <c r="L20" s="303" t="s">
        <v>0</v>
      </c>
      <c r="M20" s="2">
        <f>IFERROR(#REF!/L20,0)</f>
        <v>0</v>
      </c>
      <c r="O20" s="406" t="s">
        <v>7</v>
      </c>
      <c r="P20" s="407"/>
      <c r="Q20" s="232">
        <f>0.71</f>
        <v>0.71</v>
      </c>
      <c r="R20" s="303" t="s">
        <v>0</v>
      </c>
      <c r="S20" s="2">
        <f>IFERROR(#REF!/R20,0)</f>
        <v>0</v>
      </c>
      <c r="U20" s="406" t="s">
        <v>7</v>
      </c>
      <c r="V20" s="407"/>
      <c r="W20" s="232">
        <f>0.71</f>
        <v>0.71</v>
      </c>
      <c r="X20" s="303" t="s">
        <v>0</v>
      </c>
      <c r="Y20" s="2">
        <f>IFERROR(#REF!/X20,0)</f>
        <v>0</v>
      </c>
    </row>
    <row r="21" spans="3:25" ht="16.5" thickTop="1" thickBot="1" x14ac:dyDescent="0.3"/>
    <row r="22" spans="3:25" ht="16.5" thickTop="1" thickBot="1" x14ac:dyDescent="0.3">
      <c r="C22" s="408" t="s">
        <v>98</v>
      </c>
      <c r="D22" s="409"/>
      <c r="E22" s="409"/>
      <c r="F22" s="409"/>
      <c r="G22" s="410"/>
      <c r="I22" s="408" t="s">
        <v>98</v>
      </c>
      <c r="J22" s="409"/>
      <c r="K22" s="409"/>
      <c r="L22" s="409"/>
      <c r="M22" s="410"/>
      <c r="O22" s="408" t="s">
        <v>98</v>
      </c>
      <c r="P22" s="409"/>
      <c r="Q22" s="409"/>
      <c r="R22" s="409"/>
      <c r="S22" s="410"/>
      <c r="U22" s="408" t="s">
        <v>98</v>
      </c>
      <c r="V22" s="409"/>
      <c r="W22" s="409"/>
      <c r="X22" s="409"/>
      <c r="Y22" s="410"/>
    </row>
    <row r="23" spans="3:25" ht="16.5" thickTop="1" thickBot="1" x14ac:dyDescent="0.3">
      <c r="C23" s="237">
        <v>1</v>
      </c>
      <c r="D23" s="235" t="s">
        <v>326</v>
      </c>
      <c r="E23" s="236">
        <v>1</v>
      </c>
      <c r="F23" s="233" t="s">
        <v>19</v>
      </c>
      <c r="G23" s="234">
        <f>1</f>
        <v>1</v>
      </c>
      <c r="I23" s="237">
        <v>1</v>
      </c>
      <c r="J23" s="235" t="s">
        <v>326</v>
      </c>
      <c r="K23" s="236">
        <v>1</v>
      </c>
      <c r="L23" s="233" t="s">
        <v>19</v>
      </c>
      <c r="M23" s="234">
        <f>1</f>
        <v>1</v>
      </c>
      <c r="O23" s="237">
        <v>1</v>
      </c>
      <c r="P23" s="235" t="s">
        <v>326</v>
      </c>
      <c r="Q23" s="236">
        <v>1</v>
      </c>
      <c r="R23" s="233" t="s">
        <v>19</v>
      </c>
      <c r="S23" s="234">
        <f>1</f>
        <v>1</v>
      </c>
      <c r="U23" s="237">
        <v>1</v>
      </c>
      <c r="V23" s="235" t="s">
        <v>326</v>
      </c>
      <c r="W23" s="236">
        <v>1</v>
      </c>
      <c r="X23" s="233" t="s">
        <v>19</v>
      </c>
      <c r="Y23" s="234">
        <f>1</f>
        <v>1</v>
      </c>
    </row>
    <row r="24" spans="3:25" ht="15.75" thickTop="1" x14ac:dyDescent="0.25">
      <c r="C24" s="238" t="s">
        <v>98</v>
      </c>
      <c r="D24" s="254">
        <f ca="1">SUM(EtCT:downtwo)</f>
        <v>100</v>
      </c>
      <c r="E24" s="254">
        <f ca="1">SUM(TtCT:downtwo)</f>
        <v>100</v>
      </c>
      <c r="F24" s="411">
        <f ca="1">IFERROR(D24/E24,0)</f>
        <v>1</v>
      </c>
      <c r="G24" s="412"/>
      <c r="I24" s="238" t="s">
        <v>98</v>
      </c>
      <c r="J24" s="254">
        <f ca="1">SUM(EtCT:downtwo)</f>
        <v>100</v>
      </c>
      <c r="K24" s="254">
        <f ca="1">SUM(TtCT:downtwo)</f>
        <v>100</v>
      </c>
      <c r="L24" s="411">
        <f ca="1">IFERROR(J24/K24,0)</f>
        <v>1</v>
      </c>
      <c r="M24" s="412"/>
      <c r="O24" s="238" t="s">
        <v>98</v>
      </c>
      <c r="P24" s="254">
        <f ca="1">SUM(EtCT:downtwo)</f>
        <v>100</v>
      </c>
      <c r="Q24" s="254">
        <f ca="1">SUM(TtCT:downtwo)</f>
        <v>100</v>
      </c>
      <c r="R24" s="411">
        <f ca="1">IFERROR(P24/Q24,0)</f>
        <v>1</v>
      </c>
      <c r="S24" s="412"/>
      <c r="U24" s="238" t="s">
        <v>98</v>
      </c>
      <c r="V24" s="254">
        <f ca="1">SUM(EtCT:downtwo)</f>
        <v>100</v>
      </c>
      <c r="W24" s="254">
        <f ca="1">SUM(TtCT:downtwo)</f>
        <v>100</v>
      </c>
      <c r="X24" s="411">
        <f ca="1">IFERROR(V24/W24,0)</f>
        <v>1</v>
      </c>
      <c r="Y24" s="412"/>
    </row>
    <row r="25" spans="3:25" ht="15.75" thickBot="1" x14ac:dyDescent="0.3">
      <c r="C25" s="239" t="s">
        <v>18</v>
      </c>
      <c r="D25" s="413" t="s">
        <v>17</v>
      </c>
      <c r="E25" s="413"/>
      <c r="F25" s="240" t="s">
        <v>16</v>
      </c>
      <c r="G25" s="241" t="s">
        <v>15</v>
      </c>
      <c r="I25" s="239" t="s">
        <v>18</v>
      </c>
      <c r="J25" s="413" t="s">
        <v>17</v>
      </c>
      <c r="K25" s="413"/>
      <c r="L25" s="240" t="s">
        <v>16</v>
      </c>
      <c r="M25" s="241" t="s">
        <v>15</v>
      </c>
      <c r="O25" s="239" t="s">
        <v>18</v>
      </c>
      <c r="P25" s="413" t="s">
        <v>17</v>
      </c>
      <c r="Q25" s="413"/>
      <c r="R25" s="240" t="s">
        <v>16</v>
      </c>
      <c r="S25" s="241" t="s">
        <v>15</v>
      </c>
      <c r="U25" s="239" t="s">
        <v>18</v>
      </c>
      <c r="V25" s="413" t="s">
        <v>17</v>
      </c>
      <c r="W25" s="413"/>
      <c r="X25" s="240" t="s">
        <v>16</v>
      </c>
      <c r="Y25" s="241" t="s">
        <v>15</v>
      </c>
    </row>
    <row r="26" spans="3:25" ht="16.5" thickTop="1" thickBot="1" x14ac:dyDescent="0.3">
      <c r="C26" s="11" t="s">
        <v>14</v>
      </c>
      <c r="D26" s="10">
        <v>100</v>
      </c>
      <c r="E26" s="10">
        <v>100</v>
      </c>
      <c r="F26" s="9">
        <f>IFERROR(D26/E26,0)</f>
        <v>1</v>
      </c>
      <c r="G26" s="8"/>
      <c r="I26" s="11" t="s">
        <v>14</v>
      </c>
      <c r="J26" s="10">
        <v>100</v>
      </c>
      <c r="K26" s="10">
        <v>100</v>
      </c>
      <c r="L26" s="9">
        <f>IFERROR(J26/K26,0)</f>
        <v>1</v>
      </c>
      <c r="M26" s="8"/>
      <c r="O26" s="11" t="s">
        <v>14</v>
      </c>
      <c r="P26" s="10">
        <v>100</v>
      </c>
      <c r="Q26" s="10">
        <v>100</v>
      </c>
      <c r="R26" s="9">
        <f>IFERROR(P26/Q26,0)</f>
        <v>1</v>
      </c>
      <c r="S26" s="8"/>
      <c r="U26" s="11" t="s">
        <v>14</v>
      </c>
      <c r="V26" s="10">
        <v>100</v>
      </c>
      <c r="W26" s="10">
        <v>100</v>
      </c>
      <c r="X26" s="9">
        <f>IFERROR(V26/W26,0)</f>
        <v>1</v>
      </c>
      <c r="Y26" s="8"/>
    </row>
    <row r="27" spans="3:25" ht="16.5" thickTop="1" thickBot="1" x14ac:dyDescent="0.3">
      <c r="C27" s="403"/>
      <c r="D27" s="404"/>
      <c r="E27" s="404"/>
      <c r="F27" s="404"/>
      <c r="G27" s="405"/>
      <c r="I27" s="403"/>
      <c r="J27" s="404"/>
      <c r="K27" s="404"/>
      <c r="L27" s="404"/>
      <c r="M27" s="405"/>
      <c r="O27" s="403"/>
      <c r="P27" s="404"/>
      <c r="Q27" s="404"/>
      <c r="R27" s="404"/>
      <c r="S27" s="405"/>
      <c r="U27" s="403"/>
      <c r="V27" s="404"/>
      <c r="W27" s="404"/>
      <c r="X27" s="404"/>
      <c r="Y27" s="405"/>
    </row>
    <row r="28" spans="3:25" ht="15.75" thickTop="1" x14ac:dyDescent="0.25"/>
  </sheetData>
  <mergeCells count="70">
    <mergeCell ref="O27:S27"/>
    <mergeCell ref="U20:V20"/>
    <mergeCell ref="U22:Y22"/>
    <mergeCell ref="X24:Y24"/>
    <mergeCell ref="V25:W25"/>
    <mergeCell ref="U27:Y27"/>
    <mergeCell ref="F24:G24"/>
    <mergeCell ref="D25:E25"/>
    <mergeCell ref="I19:J19"/>
    <mergeCell ref="O20:P20"/>
    <mergeCell ref="O22:S22"/>
    <mergeCell ref="R24:S24"/>
    <mergeCell ref="P25:Q25"/>
    <mergeCell ref="O19:P19"/>
    <mergeCell ref="C16:D16"/>
    <mergeCell ref="C17:D17"/>
    <mergeCell ref="C18:D18"/>
    <mergeCell ref="C27:G27"/>
    <mergeCell ref="I15:J15"/>
    <mergeCell ref="I16:J16"/>
    <mergeCell ref="I17:J17"/>
    <mergeCell ref="I18:J18"/>
    <mergeCell ref="I20:J20"/>
    <mergeCell ref="I22:M22"/>
    <mergeCell ref="L24:M24"/>
    <mergeCell ref="J25:K25"/>
    <mergeCell ref="I27:M27"/>
    <mergeCell ref="C19:D19"/>
    <mergeCell ref="C20:D20"/>
    <mergeCell ref="C22:G22"/>
    <mergeCell ref="C13:G13"/>
    <mergeCell ref="O15:P15"/>
    <mergeCell ref="I8:J8"/>
    <mergeCell ref="O8:P8"/>
    <mergeCell ref="C14:D14"/>
    <mergeCell ref="C15:D15"/>
    <mergeCell ref="B2:D2"/>
    <mergeCell ref="E2:G2"/>
    <mergeCell ref="B3:C3"/>
    <mergeCell ref="E3:F3"/>
    <mergeCell ref="B4:C4"/>
    <mergeCell ref="E4:F4"/>
    <mergeCell ref="U19:V19"/>
    <mergeCell ref="I13:M13"/>
    <mergeCell ref="O13:S13"/>
    <mergeCell ref="U13:Y13"/>
    <mergeCell ref="I14:J14"/>
    <mergeCell ref="O14:P14"/>
    <mergeCell ref="U14:V14"/>
    <mergeCell ref="O16:P16"/>
    <mergeCell ref="O17:P17"/>
    <mergeCell ref="O18:P18"/>
    <mergeCell ref="U15:V15"/>
    <mergeCell ref="U16:V16"/>
    <mergeCell ref="U17:V17"/>
    <mergeCell ref="U18:V18"/>
    <mergeCell ref="U8:V8"/>
    <mergeCell ref="I9:M9"/>
    <mergeCell ref="O9:S9"/>
    <mergeCell ref="U9:Y9"/>
    <mergeCell ref="C6:G6"/>
    <mergeCell ref="I6:M6"/>
    <mergeCell ref="O6:S6"/>
    <mergeCell ref="U6:Y6"/>
    <mergeCell ref="I7:J7"/>
    <mergeCell ref="O7:P7"/>
    <mergeCell ref="U7:V7"/>
    <mergeCell ref="C7:D7"/>
    <mergeCell ref="C8:D8"/>
    <mergeCell ref="C9:G9"/>
  </mergeCells>
  <dataValidations count="3">
    <dataValidation type="whole" operator="greaterThan" allowBlank="1" showInputMessage="1" showErrorMessage="1" sqref="E23 K23 Q23 W23" xr:uid="{4F52B140-FF1B-41F5-826F-1FD59AE94D02}">
      <formula1>0</formula1>
    </dataValidation>
    <dataValidation type="list" allowBlank="1" showInputMessage="1" showErrorMessage="1" sqref="E8 K8 Q8 W8" xr:uid="{87602607-5F51-4726-B157-F0FEE8E9B04B}">
      <formula1>"NA,1,2,3,4,5,6,7"</formula1>
    </dataValidation>
    <dataValidation type="list" allowBlank="1" showInputMessage="1" showErrorMessage="1" sqref="G8 M8 S8 Y8" xr:uid="{447493F9-9732-4C34-BF8E-8D8C3AA2651D}">
      <formula1>",Class,Retaken,Dropped,P/F,Research"</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17FD833-427E-452C-AAE4-CC64C2BCE37E}">
          <x14:formula1>
            <xm:f>OFFSET(Settings!$L$4,0,0,INDIRECT(ADDRESS(ROW(),COLUMN()+2))+1,1)</xm:f>
          </x14:formula1>
          <xm:sqref>C23 I23 O23 U23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85019-7B3F-468D-876D-35D02857E9A0}">
  <sheetPr>
    <tabColor theme="4"/>
  </sheetPr>
  <dimension ref="B1:AE28"/>
  <sheetViews>
    <sheetView showGridLines="0" zoomScale="91" zoomScaleNormal="91" workbookViewId="0">
      <selection activeCell="AC18" sqref="AC18"/>
    </sheetView>
  </sheetViews>
  <sheetFormatPr defaultRowHeight="15" x14ac:dyDescent="0.25"/>
  <cols>
    <col min="1" max="1" width="4" style="1" customWidth="1"/>
    <col min="2" max="2" width="9.140625" style="1"/>
    <col min="3" max="3" width="7.7109375" style="1" customWidth="1"/>
    <col min="4" max="4" width="6" style="1" customWidth="1"/>
    <col min="5" max="5" width="7.85546875" style="1" customWidth="1"/>
    <col min="6" max="6" width="10.140625" style="1" bestFit="1" customWidth="1"/>
    <col min="7" max="7" width="9.140625" style="1"/>
    <col min="8" max="8" width="3" style="1" customWidth="1"/>
    <col min="9" max="9" width="11.5703125" style="1" customWidth="1"/>
    <col min="10" max="10" width="6.42578125" style="1" customWidth="1"/>
    <col min="11" max="11" width="7.85546875" style="1" customWidth="1"/>
    <col min="12" max="12" width="10.28515625" style="1" customWidth="1"/>
    <col min="13" max="13" width="9.140625" style="1"/>
    <col min="14" max="14" width="3.28515625" style="1" customWidth="1"/>
    <col min="15" max="15" width="8.85546875" style="1" customWidth="1"/>
    <col min="16" max="16" width="6.140625" style="1" customWidth="1"/>
    <col min="17" max="17" width="7.42578125" style="1" customWidth="1"/>
    <col min="18" max="18" width="10.28515625" style="1" customWidth="1"/>
    <col min="19" max="19" width="9.140625" style="1"/>
    <col min="20" max="20" width="3.140625" style="1" customWidth="1"/>
    <col min="21" max="21" width="9.140625" style="1"/>
    <col min="22" max="22" width="6.5703125" style="1" customWidth="1"/>
    <col min="23" max="23" width="7.710937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16384" width="9.140625" style="1"/>
  </cols>
  <sheetData>
    <row r="1" spans="2:31" ht="15.75" thickBot="1" x14ac:dyDescent="0.3"/>
    <row r="2" spans="2:31" ht="16.5" thickTop="1" thickBot="1" x14ac:dyDescent="0.3">
      <c r="B2" s="394" t="s">
        <v>120</v>
      </c>
      <c r="C2" s="395"/>
      <c r="D2" s="395"/>
      <c r="E2" s="395" t="s">
        <v>203</v>
      </c>
      <c r="F2" s="395"/>
      <c r="G2" s="396"/>
    </row>
    <row r="3" spans="2:31" ht="15.75" thickTop="1" x14ac:dyDescent="0.25">
      <c r="B3" s="397" t="s">
        <v>118</v>
      </c>
      <c r="C3" s="398"/>
      <c r="D3" s="245">
        <f>COUNTIF(6:6,"*")</f>
        <v>5</v>
      </c>
      <c r="E3" s="399" t="s">
        <v>117</v>
      </c>
      <c r="F3" s="398"/>
      <c r="G3" s="101">
        <f ca="1">G4/SUM(IF(OR(G8="P/F",G8="Dropped",G8="Retaken"),0,E8),IF(OR(M8="P/F",M8="Dropped",M8="Retaken"),0,K8),IF(OR(S8="P/F",S8="Dropped",S8="Retaken"),0,Q8),IF(OR(Y8="P/F",Y8="Dropped",Y8="Retaken"),0,W8),IF(OR(AE8="P/F",AE8="Dropped",AE8="Retaken"),0,AC8),IF(OR(AK8="P/F",AK8="Dropped",AK8="Retaken"),0,AI8),IF(OR(AQ8="P/F",AQ8="Dropped",AQ8="Retaken"),0,AO8))</f>
        <v>3.3821428571428571</v>
      </c>
    </row>
    <row r="4" spans="2:31" ht="15.75" thickBot="1" x14ac:dyDescent="0.3">
      <c r="B4" s="400" t="s">
        <v>115</v>
      </c>
      <c r="C4" s="401"/>
      <c r="D4" s="244">
        <f>SUMIF(8:8,"&lt;&gt;#N/A")</f>
        <v>14</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47.35</v>
      </c>
    </row>
    <row r="5" spans="2:31" ht="16.5" thickTop="1" thickBot="1" x14ac:dyDescent="0.3"/>
    <row r="6" spans="2:31" ht="16.5" thickTop="1" thickBot="1" x14ac:dyDescent="0.3">
      <c r="C6" s="382" t="s">
        <v>121</v>
      </c>
      <c r="D6" s="383"/>
      <c r="E6" s="383"/>
      <c r="F6" s="383"/>
      <c r="G6" s="384"/>
      <c r="I6" s="382" t="s">
        <v>122</v>
      </c>
      <c r="J6" s="383"/>
      <c r="K6" s="383"/>
      <c r="L6" s="383"/>
      <c r="M6" s="384"/>
      <c r="O6" s="382" t="s">
        <v>497</v>
      </c>
      <c r="P6" s="383"/>
      <c r="Q6" s="383"/>
      <c r="R6" s="383"/>
      <c r="S6" s="384"/>
      <c r="U6" s="414" t="s">
        <v>124</v>
      </c>
      <c r="V6" s="383"/>
      <c r="W6" s="383"/>
      <c r="X6" s="383"/>
      <c r="Y6" s="384"/>
      <c r="AA6" s="382" t="s">
        <v>126</v>
      </c>
      <c r="AB6" s="383"/>
      <c r="AC6" s="383"/>
      <c r="AD6" s="383"/>
      <c r="AE6" s="384"/>
    </row>
    <row r="7" spans="2:31" x14ac:dyDescent="0.25">
      <c r="C7" s="385" t="s">
        <v>106</v>
      </c>
      <c r="D7" s="386"/>
      <c r="E7" s="99">
        <f ca="1">COUNTIF(F:F,"Weight*")</f>
        <v>1</v>
      </c>
      <c r="F7" s="98" t="s">
        <v>105</v>
      </c>
      <c r="G7" s="97" t="s">
        <v>123</v>
      </c>
      <c r="I7" s="385" t="s">
        <v>106</v>
      </c>
      <c r="J7" s="386"/>
      <c r="K7" s="99">
        <f ca="1">COUNTIF(L:L,"Weight*")</f>
        <v>1</v>
      </c>
      <c r="L7" s="98" t="s">
        <v>105</v>
      </c>
      <c r="M7" s="97"/>
      <c r="O7" s="385" t="s">
        <v>106</v>
      </c>
      <c r="P7" s="386"/>
      <c r="Q7" s="99">
        <f ca="1">COUNTIF(R:R,"Weight*")</f>
        <v>1</v>
      </c>
      <c r="R7" s="98" t="s">
        <v>105</v>
      </c>
      <c r="S7" s="97"/>
      <c r="U7" s="385" t="s">
        <v>106</v>
      </c>
      <c r="V7" s="386"/>
      <c r="W7" s="99">
        <f ca="1">COUNTIF(X:X,"Weight*")</f>
        <v>1</v>
      </c>
      <c r="X7" s="98" t="s">
        <v>105</v>
      </c>
      <c r="Y7" s="97" t="s">
        <v>125</v>
      </c>
      <c r="AA7" s="385" t="s">
        <v>106</v>
      </c>
      <c r="AB7" s="386"/>
      <c r="AC7" s="99">
        <f ca="1">COUNTIF(AD:AD,"Weight*")</f>
        <v>1</v>
      </c>
      <c r="AD7" s="98" t="s">
        <v>105</v>
      </c>
      <c r="AE7" s="97"/>
    </row>
    <row r="8" spans="2:31" ht="15.75" thickBot="1" x14ac:dyDescent="0.3">
      <c r="C8" s="377" t="s">
        <v>102</v>
      </c>
      <c r="D8" s="378"/>
      <c r="E8" s="95">
        <v>3</v>
      </c>
      <c r="F8" s="94" t="s">
        <v>101</v>
      </c>
      <c r="G8" s="93" t="s">
        <v>100</v>
      </c>
      <c r="I8" s="377" t="s">
        <v>102</v>
      </c>
      <c r="J8" s="378"/>
      <c r="K8" s="95">
        <v>4</v>
      </c>
      <c r="L8" s="94" t="s">
        <v>101</v>
      </c>
      <c r="M8" s="93" t="s">
        <v>100</v>
      </c>
      <c r="O8" s="377" t="s">
        <v>102</v>
      </c>
      <c r="P8" s="378"/>
      <c r="Q8" s="95">
        <v>3</v>
      </c>
      <c r="R8" s="94" t="s">
        <v>101</v>
      </c>
      <c r="S8" s="93" t="s">
        <v>100</v>
      </c>
      <c r="U8" s="377" t="s">
        <v>102</v>
      </c>
      <c r="V8" s="378"/>
      <c r="W8" s="95">
        <v>4</v>
      </c>
      <c r="X8" s="94" t="s">
        <v>101</v>
      </c>
      <c r="Y8" s="93" t="s">
        <v>100</v>
      </c>
      <c r="AA8" s="377" t="s">
        <v>102</v>
      </c>
      <c r="AB8" s="378"/>
      <c r="AC8" s="95" t="s">
        <v>277</v>
      </c>
      <c r="AD8" s="94" t="s">
        <v>101</v>
      </c>
      <c r="AE8" s="93" t="s">
        <v>127</v>
      </c>
    </row>
    <row r="9" spans="2:31" ht="15.75" thickTop="1" x14ac:dyDescent="0.25">
      <c r="C9" s="379" t="s">
        <v>99</v>
      </c>
      <c r="D9" s="380"/>
      <c r="E9" s="380"/>
      <c r="F9" s="380"/>
      <c r="G9" s="381"/>
      <c r="I9" s="379" t="s">
        <v>99</v>
      </c>
      <c r="J9" s="380"/>
      <c r="K9" s="380"/>
      <c r="L9" s="380"/>
      <c r="M9" s="381"/>
      <c r="O9" s="379" t="s">
        <v>99</v>
      </c>
      <c r="P9" s="380"/>
      <c r="Q9" s="380"/>
      <c r="R9" s="380"/>
      <c r="S9" s="381"/>
      <c r="U9" s="379" t="s">
        <v>99</v>
      </c>
      <c r="V9" s="380"/>
      <c r="W9" s="380"/>
      <c r="X9" s="380"/>
      <c r="Y9" s="381"/>
      <c r="AA9" s="379" t="s">
        <v>99</v>
      </c>
      <c r="AB9" s="380"/>
      <c r="AC9" s="380"/>
      <c r="AD9" s="380"/>
      <c r="AE9" s="381"/>
    </row>
    <row r="10" spans="2:31" x14ac:dyDescent="0.25">
      <c r="C10" s="92" t="s">
        <v>98</v>
      </c>
      <c r="D10" s="300"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B+</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0.87</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0.13</v>
      </c>
      <c r="I10" s="92" t="s">
        <v>98</v>
      </c>
      <c r="J10" s="300" t="str" cm="1">
        <f t="array" aca="1" ref="J10" ca="1">IF(GRDtCT="Dropped","NA",IF(GRDtCT="P/F",IF(GRDtP&gt;=PtNPass,PtLPass,PtLFail),IF(GRDtP&gt;=PtNA,PtLA,IF(GRDtP&gt;=PtNAm,PtLAm,IF(GRDtP&gt;=PtNBp,PtLBp,IF(GRDtP&gt;=PtNB,PtLB,IF(GRDtP&gt;=PtNBm,PtLBm,IF(GRDtP&gt;=PtNCp,PtLCp,IF(GRDtP&gt;=PtNC,PtLC,IF(GRDtP&gt;=PtNCm,PtLCm,IF(GRDtP&gt;=PtNDp,PtLDp,IF(GRDtP&gt;=PtND,PtLD,IF(GRDtP&gt;=PtNDm,PtLDm,PtLF)))))))))))))</f>
        <v>A-</v>
      </c>
      <c r="K10" s="90" cm="1">
        <f t="array" aca="1" ref="K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0.91</v>
      </c>
      <c r="L10" s="12" t="s">
        <v>97</v>
      </c>
      <c r="M10" s="89" cm="1">
        <f t="array" aca="1" ref="M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8.9999999999999969E-2</v>
      </c>
      <c r="O10" s="92" t="s">
        <v>98</v>
      </c>
      <c r="P10" s="300" t="str" cm="1">
        <f t="array" aca="1" ref="P10" ca="1">IF(GRDtCT="Dropped","NA",IF(GRDtCT="P/F",IF(GRDtP&gt;=PtNPass,PtLPass,PtLFail),IF(GRDtP&gt;=PtNA,PtLA,IF(GRDtP&gt;=PtNAm,PtLAm,IF(GRDtP&gt;=PtNBp,PtLBp,IF(GRDtP&gt;=PtNB,PtLB,IF(GRDtP&gt;=PtNBm,PtLBm,IF(GRDtP&gt;=PtNCp,PtLCp,IF(GRDtP&gt;=PtNC,PtLC,IF(GRDtP&gt;=PtNCm,PtLCm,IF(GRDtP&gt;=PtNDp,PtLDp,IF(GRDtP&gt;=PtND,PtLD,IF(GRDtP&gt;=PtNDm,PtLDm,PtLF)))))))))))))</f>
        <v>A</v>
      </c>
      <c r="Q10" s="90" cm="1">
        <f t="array" aca="1" ref="Q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0.95</v>
      </c>
      <c r="R10" s="12" t="s">
        <v>97</v>
      </c>
      <c r="S10" s="89" cm="1">
        <f t="array" aca="1" ref="S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5.0000000000000044E-2</v>
      </c>
      <c r="U10" s="92" t="s">
        <v>98</v>
      </c>
      <c r="V10" s="300" t="str" cm="1">
        <f t="array" aca="1" ref="V10" ca="1">IF(GRDtCT="Dropped","NA",IF(GRDtCT="P/F",IF(GRDtP&gt;=PtNPass,PtLPass,PtLFail),IF(GRDtP&gt;=PtNA,PtLA,IF(GRDtP&gt;=PtNAm,PtLAm,IF(GRDtP&gt;=PtNBp,PtLBp,IF(GRDtP&gt;=PtNB,PtLB,IF(GRDtP&gt;=PtNBm,PtLBm,IF(GRDtP&gt;=PtNCp,PtLCp,IF(GRDtP&gt;=PtNC,PtLC,IF(GRDtP&gt;=PtNCm,PtLCm,IF(GRDtP&gt;=PtNDp,PtLDp,IF(GRDtP&gt;=PtND,PtLD,IF(GRDtP&gt;=PtNDm,PtLDm,PtLF)))))))))))))</f>
        <v>B-</v>
      </c>
      <c r="W10" s="90" cm="1">
        <f t="array" aca="1" ref="W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v>
      </c>
      <c r="X10" s="12" t="s">
        <v>97</v>
      </c>
      <c r="Y10" s="89" cm="1">
        <f t="array" aca="1" ref="Y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0.19999999999999996</v>
      </c>
      <c r="AA10" s="92" t="s">
        <v>98</v>
      </c>
      <c r="AB10" s="300" t="str" cm="1">
        <f t="array" aca="1" ref="AB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AC10" s="90" cm="1">
        <f t="array" aca="1" ref="AC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0.95</v>
      </c>
      <c r="AD10" s="12" t="s">
        <v>97</v>
      </c>
      <c r="AE10" s="89" cm="1">
        <f t="array" aca="1" ref="AE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5.0000000000000044E-2</v>
      </c>
    </row>
    <row r="11" spans="2:31" ht="15.75" thickBot="1" x14ac:dyDescent="0.3">
      <c r="C11" s="88" t="s">
        <v>96</v>
      </c>
      <c r="D11" s="87"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3.33</v>
      </c>
      <c r="E11" s="86"/>
      <c r="F11" s="86" t="s">
        <v>95</v>
      </c>
      <c r="G11" s="242" cm="1">
        <f t="array" aca="1" ref="G11" ca="1">IF(OR(QPtCT="Dropped",QPtCT="P/F"),"NA",QPtGPA*QPtCR)</f>
        <v>9.99</v>
      </c>
      <c r="I11" s="88" t="s">
        <v>96</v>
      </c>
      <c r="J11" s="87" cm="1">
        <f t="array" aca="1" ref="J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3.67</v>
      </c>
      <c r="K11" s="86"/>
      <c r="L11" s="86" t="s">
        <v>95</v>
      </c>
      <c r="M11" s="242" cm="1">
        <f t="array" aca="1" ref="M11" ca="1">IF(OR(QPtCT="Dropped",QPtCT="P/F"),"NA",QPtGPA*QPtCR)</f>
        <v>14.68</v>
      </c>
      <c r="O11" s="88" t="s">
        <v>96</v>
      </c>
      <c r="P11" s="87" cm="1">
        <f t="array" aca="1" ref="P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4</v>
      </c>
      <c r="Q11" s="86"/>
      <c r="R11" s="86" t="s">
        <v>95</v>
      </c>
      <c r="S11" s="242" cm="1">
        <f t="array" aca="1" ref="S11" ca="1">IF(OR(QPtCT="Dropped",QPtCT="P/F"),"NA",QPtGPA*QPtCR)</f>
        <v>12</v>
      </c>
      <c r="U11" s="88" t="s">
        <v>96</v>
      </c>
      <c r="V11" s="87" cm="1">
        <f t="array" aca="1" ref="V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2.67</v>
      </c>
      <c r="W11" s="86"/>
      <c r="X11" s="86" t="s">
        <v>95</v>
      </c>
      <c r="Y11" s="242" cm="1">
        <f t="array" aca="1" ref="Y11" ca="1">IF(OR(QPtCT="Dropped",QPtCT="P/F"),"NA",QPtGPA*QPtCR)</f>
        <v>10.68</v>
      </c>
      <c r="AA11" s="88" t="s">
        <v>96</v>
      </c>
      <c r="AB11" s="87" t="str" cm="1">
        <f t="array" aca="1" ref="AB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AC11" s="86"/>
      <c r="AD11" s="86" t="s">
        <v>95</v>
      </c>
      <c r="AE11" s="242" t="str" cm="1">
        <f t="array" aca="1" ref="AE11" ca="1">IF(OR(QPtCT="Dropped",QPtCT="P/F"),"NA",QPtGPA*QPtCR)</f>
        <v>NA</v>
      </c>
    </row>
    <row r="12" spans="2:31" ht="12" customHeight="1" thickTop="1" thickBot="1" x14ac:dyDescent="0.3"/>
    <row r="13" spans="2:31" ht="16.5" thickTop="1" thickBot="1" x14ac:dyDescent="0.3">
      <c r="C13" s="389" t="s">
        <v>327</v>
      </c>
      <c r="D13" s="390"/>
      <c r="E13" s="390"/>
      <c r="F13" s="390"/>
      <c r="G13" s="391"/>
      <c r="I13" s="389" t="s">
        <v>327</v>
      </c>
      <c r="J13" s="390"/>
      <c r="K13" s="390"/>
      <c r="L13" s="390"/>
      <c r="M13" s="391"/>
      <c r="O13" s="389" t="s">
        <v>327</v>
      </c>
      <c r="P13" s="390"/>
      <c r="Q13" s="390"/>
      <c r="R13" s="390"/>
      <c r="S13" s="391"/>
      <c r="U13" s="389" t="s">
        <v>327</v>
      </c>
      <c r="V13" s="390"/>
      <c r="W13" s="390"/>
      <c r="X13" s="390"/>
      <c r="Y13" s="391"/>
      <c r="AA13" s="389" t="s">
        <v>327</v>
      </c>
      <c r="AB13" s="390"/>
      <c r="AC13" s="390"/>
      <c r="AD13" s="390"/>
      <c r="AE13" s="391"/>
    </row>
    <row r="14" spans="2:31" ht="15.75" thickTop="1" x14ac:dyDescent="0.25">
      <c r="C14" s="392" t="s">
        <v>13</v>
      </c>
      <c r="D14" s="393"/>
      <c r="E14" s="231">
        <f>0.92</f>
        <v>0.92</v>
      </c>
      <c r="F14" s="368" t="s">
        <v>6</v>
      </c>
      <c r="G14" s="4">
        <f>0.69</f>
        <v>0.69</v>
      </c>
      <c r="I14" s="392" t="s">
        <v>13</v>
      </c>
      <c r="J14" s="393"/>
      <c r="K14" s="231">
        <f>0.92</f>
        <v>0.92</v>
      </c>
      <c r="L14" s="368" t="s">
        <v>6</v>
      </c>
      <c r="M14" s="4">
        <f>0.69</f>
        <v>0.69</v>
      </c>
      <c r="O14" s="392" t="s">
        <v>13</v>
      </c>
      <c r="P14" s="393"/>
      <c r="Q14" s="231">
        <f>0.92</f>
        <v>0.92</v>
      </c>
      <c r="R14" s="368" t="s">
        <v>6</v>
      </c>
      <c r="S14" s="4">
        <f>0.69</f>
        <v>0.69</v>
      </c>
      <c r="U14" s="392" t="s">
        <v>13</v>
      </c>
      <c r="V14" s="393"/>
      <c r="W14" s="231">
        <f>0.92</f>
        <v>0.92</v>
      </c>
      <c r="X14" s="368" t="s">
        <v>6</v>
      </c>
      <c r="Y14" s="4">
        <f>0.69</f>
        <v>0.69</v>
      </c>
      <c r="AA14" s="392" t="s">
        <v>13</v>
      </c>
      <c r="AB14" s="393"/>
      <c r="AC14" s="231">
        <f>0.92</f>
        <v>0.92</v>
      </c>
      <c r="AD14" s="368" t="s">
        <v>6</v>
      </c>
      <c r="AE14" s="4">
        <f>0.69</f>
        <v>0.69</v>
      </c>
    </row>
    <row r="15" spans="2:31" x14ac:dyDescent="0.25">
      <c r="C15" s="387" t="s">
        <v>12</v>
      </c>
      <c r="D15" s="388"/>
      <c r="E15" s="231">
        <f>0.89</f>
        <v>0.89</v>
      </c>
      <c r="F15" s="368" t="s">
        <v>5</v>
      </c>
      <c r="G15" s="4">
        <f>0.66</f>
        <v>0.66</v>
      </c>
      <c r="I15" s="387" t="s">
        <v>12</v>
      </c>
      <c r="J15" s="388"/>
      <c r="K15" s="231">
        <f>0.89</f>
        <v>0.89</v>
      </c>
      <c r="L15" s="368" t="s">
        <v>5</v>
      </c>
      <c r="M15" s="4">
        <f>0.66</f>
        <v>0.66</v>
      </c>
      <c r="O15" s="387" t="s">
        <v>12</v>
      </c>
      <c r="P15" s="388"/>
      <c r="Q15" s="231">
        <f>0.89</f>
        <v>0.89</v>
      </c>
      <c r="R15" s="368" t="s">
        <v>5</v>
      </c>
      <c r="S15" s="4">
        <f>0.66</f>
        <v>0.66</v>
      </c>
      <c r="U15" s="387" t="s">
        <v>12</v>
      </c>
      <c r="V15" s="388"/>
      <c r="W15" s="231">
        <f>0.89</f>
        <v>0.89</v>
      </c>
      <c r="X15" s="368" t="s">
        <v>5</v>
      </c>
      <c r="Y15" s="4">
        <f>0.66</f>
        <v>0.66</v>
      </c>
      <c r="AA15" s="387" t="s">
        <v>12</v>
      </c>
      <c r="AB15" s="388"/>
      <c r="AC15" s="231">
        <f>0.89</f>
        <v>0.89</v>
      </c>
      <c r="AD15" s="368" t="s">
        <v>5</v>
      </c>
      <c r="AE15" s="4">
        <f>0.66</f>
        <v>0.66</v>
      </c>
    </row>
    <row r="16" spans="2:31" x14ac:dyDescent="0.25">
      <c r="C16" s="387" t="s">
        <v>11</v>
      </c>
      <c r="D16" s="388"/>
      <c r="E16" s="231">
        <f>0.86</f>
        <v>0.86</v>
      </c>
      <c r="F16" s="368" t="s">
        <v>4</v>
      </c>
      <c r="G16" s="4">
        <f>0.61</f>
        <v>0.61</v>
      </c>
      <c r="I16" s="387" t="s">
        <v>11</v>
      </c>
      <c r="J16" s="388"/>
      <c r="K16" s="231">
        <f>0.86</f>
        <v>0.86</v>
      </c>
      <c r="L16" s="368" t="s">
        <v>4</v>
      </c>
      <c r="M16" s="4">
        <f>0.61</f>
        <v>0.61</v>
      </c>
      <c r="O16" s="387" t="s">
        <v>11</v>
      </c>
      <c r="P16" s="388"/>
      <c r="Q16" s="231">
        <f>0.86</f>
        <v>0.86</v>
      </c>
      <c r="R16" s="368" t="s">
        <v>4</v>
      </c>
      <c r="S16" s="4">
        <f>0.61</f>
        <v>0.61</v>
      </c>
      <c r="U16" s="387" t="s">
        <v>11</v>
      </c>
      <c r="V16" s="388"/>
      <c r="W16" s="231">
        <f>0.86</f>
        <v>0.86</v>
      </c>
      <c r="X16" s="368" t="s">
        <v>4</v>
      </c>
      <c r="Y16" s="4">
        <f>0.61</f>
        <v>0.61</v>
      </c>
      <c r="AA16" s="387" t="s">
        <v>11</v>
      </c>
      <c r="AB16" s="388"/>
      <c r="AC16" s="231">
        <f>0.86</f>
        <v>0.86</v>
      </c>
      <c r="AD16" s="368" t="s">
        <v>4</v>
      </c>
      <c r="AE16" s="4">
        <f>0.61</f>
        <v>0.61</v>
      </c>
    </row>
    <row r="17" spans="3:31" x14ac:dyDescent="0.25">
      <c r="C17" s="387" t="s">
        <v>10</v>
      </c>
      <c r="D17" s="388"/>
      <c r="E17" s="231">
        <f>0.81</f>
        <v>0.81</v>
      </c>
      <c r="F17" s="368" t="s">
        <v>3</v>
      </c>
      <c r="G17" s="4">
        <v>0.56999999999999995</v>
      </c>
      <c r="I17" s="387" t="s">
        <v>10</v>
      </c>
      <c r="J17" s="388"/>
      <c r="K17" s="231">
        <f>0.81</f>
        <v>0.81</v>
      </c>
      <c r="L17" s="368" t="s">
        <v>3</v>
      </c>
      <c r="M17" s="4">
        <v>0.56999999999999995</v>
      </c>
      <c r="O17" s="387" t="s">
        <v>10</v>
      </c>
      <c r="P17" s="388"/>
      <c r="Q17" s="231">
        <f>0.81</f>
        <v>0.81</v>
      </c>
      <c r="R17" s="368" t="s">
        <v>3</v>
      </c>
      <c r="S17" s="4">
        <v>0.56999999999999995</v>
      </c>
      <c r="U17" s="387" t="s">
        <v>10</v>
      </c>
      <c r="V17" s="388"/>
      <c r="W17" s="231">
        <f>0.81</f>
        <v>0.81</v>
      </c>
      <c r="X17" s="368" t="s">
        <v>3</v>
      </c>
      <c r="Y17" s="4">
        <v>0.56999999999999995</v>
      </c>
      <c r="AA17" s="387" t="s">
        <v>10</v>
      </c>
      <c r="AB17" s="388"/>
      <c r="AC17" s="231">
        <f>0.81</f>
        <v>0.81</v>
      </c>
      <c r="AD17" s="368" t="s">
        <v>3</v>
      </c>
      <c r="AE17" s="4">
        <v>0.56999999999999995</v>
      </c>
    </row>
    <row r="18" spans="3:31" x14ac:dyDescent="0.25">
      <c r="C18" s="387" t="s">
        <v>9</v>
      </c>
      <c r="D18" s="388"/>
      <c r="E18" s="231">
        <f>0.79</f>
        <v>0.79</v>
      </c>
      <c r="F18" s="7" t="s">
        <v>2</v>
      </c>
      <c r="G18" s="270">
        <f>0.5</f>
        <v>0.5</v>
      </c>
      <c r="I18" s="387" t="s">
        <v>9</v>
      </c>
      <c r="J18" s="388"/>
      <c r="K18" s="231">
        <f>0.79</f>
        <v>0.79</v>
      </c>
      <c r="L18" s="7" t="s">
        <v>2</v>
      </c>
      <c r="M18" s="6">
        <f>0.5</f>
        <v>0.5</v>
      </c>
      <c r="O18" s="387" t="s">
        <v>9</v>
      </c>
      <c r="P18" s="388"/>
      <c r="Q18" s="231">
        <f>0.79</f>
        <v>0.79</v>
      </c>
      <c r="R18" s="7" t="s">
        <v>2</v>
      </c>
      <c r="S18" s="6">
        <f>0.5</f>
        <v>0.5</v>
      </c>
      <c r="U18" s="387" t="s">
        <v>9</v>
      </c>
      <c r="V18" s="388"/>
      <c r="W18" s="231">
        <f>0.79</f>
        <v>0.79</v>
      </c>
      <c r="X18" s="7" t="s">
        <v>2</v>
      </c>
      <c r="Y18" s="6">
        <f>0.5</f>
        <v>0.5</v>
      </c>
      <c r="AA18" s="387" t="s">
        <v>9</v>
      </c>
      <c r="AB18" s="388"/>
      <c r="AC18" s="231">
        <f>0.79</f>
        <v>0.79</v>
      </c>
      <c r="AD18" s="7" t="s">
        <v>2</v>
      </c>
      <c r="AE18" s="6">
        <f>0.5</f>
        <v>0.5</v>
      </c>
    </row>
    <row r="19" spans="3:31" x14ac:dyDescent="0.25">
      <c r="C19" s="387" t="s">
        <v>8</v>
      </c>
      <c r="D19" s="388"/>
      <c r="E19" s="231">
        <f>0.76</f>
        <v>0.76</v>
      </c>
      <c r="F19" s="368" t="s">
        <v>1</v>
      </c>
      <c r="G19" s="4">
        <f>G16</f>
        <v>0.61</v>
      </c>
      <c r="I19" s="387" t="s">
        <v>8</v>
      </c>
      <c r="J19" s="388"/>
      <c r="K19" s="231">
        <f>0.76</f>
        <v>0.76</v>
      </c>
      <c r="L19" s="368" t="s">
        <v>1</v>
      </c>
      <c r="M19" s="4">
        <f>M16</f>
        <v>0.61</v>
      </c>
      <c r="O19" s="387" t="s">
        <v>8</v>
      </c>
      <c r="P19" s="388"/>
      <c r="Q19" s="231">
        <f>0.76</f>
        <v>0.76</v>
      </c>
      <c r="R19" s="368" t="s">
        <v>1</v>
      </c>
      <c r="S19" s="4">
        <f>S16</f>
        <v>0.61</v>
      </c>
      <c r="U19" s="387" t="s">
        <v>8</v>
      </c>
      <c r="V19" s="388"/>
      <c r="W19" s="231">
        <f>0.76</f>
        <v>0.76</v>
      </c>
      <c r="X19" s="368" t="s">
        <v>1</v>
      </c>
      <c r="Y19" s="4">
        <f>Y16</f>
        <v>0.61</v>
      </c>
      <c r="AA19" s="387" t="s">
        <v>8</v>
      </c>
      <c r="AB19" s="388"/>
      <c r="AC19" s="231">
        <f>0.76</f>
        <v>0.76</v>
      </c>
      <c r="AD19" s="368" t="s">
        <v>1</v>
      </c>
      <c r="AE19" s="4">
        <f>AE16</f>
        <v>0.61</v>
      </c>
    </row>
    <row r="20" spans="3:31" ht="15.75" thickBot="1" x14ac:dyDescent="0.3">
      <c r="C20" s="406" t="s">
        <v>7</v>
      </c>
      <c r="D20" s="407"/>
      <c r="E20" s="232">
        <f>0.71</f>
        <v>0.71</v>
      </c>
      <c r="F20" s="367" t="s">
        <v>0</v>
      </c>
      <c r="G20" s="2">
        <f>IFERROR(H29/F20,0)</f>
        <v>0</v>
      </c>
      <c r="I20" s="406" t="s">
        <v>7</v>
      </c>
      <c r="J20" s="407"/>
      <c r="K20" s="232">
        <f>0.71</f>
        <v>0.71</v>
      </c>
      <c r="L20" s="367" t="s">
        <v>0</v>
      </c>
      <c r="M20" s="2">
        <f>IFERROR(N29/L20,0)</f>
        <v>0</v>
      </c>
      <c r="O20" s="406" t="s">
        <v>7</v>
      </c>
      <c r="P20" s="407"/>
      <c r="Q20" s="232">
        <f>0.71</f>
        <v>0.71</v>
      </c>
      <c r="R20" s="367" t="s">
        <v>0</v>
      </c>
      <c r="S20" s="2">
        <f>IFERROR(T29/R20,0)</f>
        <v>0</v>
      </c>
      <c r="U20" s="406" t="s">
        <v>7</v>
      </c>
      <c r="V20" s="407"/>
      <c r="W20" s="232">
        <f>0.71</f>
        <v>0.71</v>
      </c>
      <c r="X20" s="367" t="s">
        <v>0</v>
      </c>
      <c r="Y20" s="2">
        <f>IFERROR(Z29/X20,0)</f>
        <v>0</v>
      </c>
      <c r="AA20" s="406" t="s">
        <v>7</v>
      </c>
      <c r="AB20" s="407"/>
      <c r="AC20" s="232">
        <f>0.71</f>
        <v>0.71</v>
      </c>
      <c r="AD20" s="367" t="s">
        <v>0</v>
      </c>
      <c r="AE20" s="2">
        <f>IFERROR(AF29/AD20,0)</f>
        <v>0</v>
      </c>
    </row>
    <row r="21" spans="3:31" ht="16.5" thickTop="1" thickBot="1" x14ac:dyDescent="0.3"/>
    <row r="22" spans="3:31" ht="16.5" thickTop="1" thickBot="1" x14ac:dyDescent="0.3">
      <c r="C22" s="408" t="s">
        <v>426</v>
      </c>
      <c r="D22" s="409"/>
      <c r="E22" s="409"/>
      <c r="F22" s="409"/>
      <c r="G22" s="410"/>
      <c r="I22" s="408" t="s">
        <v>426</v>
      </c>
      <c r="J22" s="409"/>
      <c r="K22" s="409"/>
      <c r="L22" s="409"/>
      <c r="M22" s="410"/>
      <c r="O22" s="408" t="s">
        <v>426</v>
      </c>
      <c r="P22" s="409"/>
      <c r="Q22" s="409"/>
      <c r="R22" s="409"/>
      <c r="S22" s="410"/>
      <c r="U22" s="408" t="s">
        <v>426</v>
      </c>
      <c r="V22" s="409"/>
      <c r="W22" s="409"/>
      <c r="X22" s="409"/>
      <c r="Y22" s="410"/>
      <c r="AA22" s="408" t="s">
        <v>426</v>
      </c>
      <c r="AB22" s="409"/>
      <c r="AC22" s="409"/>
      <c r="AD22" s="409"/>
      <c r="AE22" s="410"/>
    </row>
    <row r="23" spans="3:31" ht="16.5" thickTop="1" thickBot="1" x14ac:dyDescent="0.3">
      <c r="C23" s="237">
        <v>1</v>
      </c>
      <c r="D23" s="235" t="s">
        <v>326</v>
      </c>
      <c r="E23" s="236">
        <v>1</v>
      </c>
      <c r="F23" s="233" t="s">
        <v>19</v>
      </c>
      <c r="G23" s="234">
        <f>1</f>
        <v>1</v>
      </c>
      <c r="I23" s="237">
        <v>1</v>
      </c>
      <c r="J23" s="235" t="s">
        <v>326</v>
      </c>
      <c r="K23" s="236">
        <v>1</v>
      </c>
      <c r="L23" s="233" t="s">
        <v>19</v>
      </c>
      <c r="M23" s="234">
        <f>1</f>
        <v>1</v>
      </c>
      <c r="O23" s="237">
        <v>1</v>
      </c>
      <c r="P23" s="235" t="s">
        <v>326</v>
      </c>
      <c r="Q23" s="236">
        <v>1</v>
      </c>
      <c r="R23" s="233" t="s">
        <v>19</v>
      </c>
      <c r="S23" s="234">
        <f>1</f>
        <v>1</v>
      </c>
      <c r="U23" s="237">
        <v>1</v>
      </c>
      <c r="V23" s="235" t="s">
        <v>326</v>
      </c>
      <c r="W23" s="236">
        <v>1</v>
      </c>
      <c r="X23" s="233" t="s">
        <v>19</v>
      </c>
      <c r="Y23" s="234">
        <f>1</f>
        <v>1</v>
      </c>
      <c r="AA23" s="237">
        <v>1</v>
      </c>
      <c r="AB23" s="235" t="s">
        <v>326</v>
      </c>
      <c r="AC23" s="236">
        <v>1</v>
      </c>
      <c r="AD23" s="233" t="s">
        <v>19</v>
      </c>
      <c r="AE23" s="234">
        <f>1</f>
        <v>1</v>
      </c>
    </row>
    <row r="24" spans="3:31" ht="15.75" thickTop="1" x14ac:dyDescent="0.25">
      <c r="C24" s="238" t="s">
        <v>98</v>
      </c>
      <c r="D24" s="254">
        <f ca="1">SUM(EtCT:downtwo)</f>
        <v>87</v>
      </c>
      <c r="E24" s="254">
        <f ca="1">SUM(TtCT:downtwo)</f>
        <v>100</v>
      </c>
      <c r="F24" s="411">
        <f ca="1">IFERROR(D24/E24,0)</f>
        <v>0.87</v>
      </c>
      <c r="G24" s="412"/>
      <c r="I24" s="238" t="s">
        <v>98</v>
      </c>
      <c r="J24" s="254">
        <f ca="1">SUM(EtCT:downtwo)</f>
        <v>91</v>
      </c>
      <c r="K24" s="254">
        <f ca="1">SUM(TtCT:downtwo)</f>
        <v>100</v>
      </c>
      <c r="L24" s="411">
        <f ca="1">IFERROR(J24/K24,0)</f>
        <v>0.91</v>
      </c>
      <c r="M24" s="412"/>
      <c r="O24" s="238" t="s">
        <v>98</v>
      </c>
      <c r="P24" s="254">
        <f ca="1">SUM(EtCT:downtwo)</f>
        <v>95</v>
      </c>
      <c r="Q24" s="254">
        <f ca="1">SUM(TtCT:downtwo)</f>
        <v>100</v>
      </c>
      <c r="R24" s="411">
        <f ca="1">IFERROR(P24/Q24,0)</f>
        <v>0.95</v>
      </c>
      <c r="S24" s="412"/>
      <c r="U24" s="238" t="s">
        <v>98</v>
      </c>
      <c r="V24" s="254">
        <f ca="1">SUM(EtCT:downtwo)</f>
        <v>80</v>
      </c>
      <c r="W24" s="254">
        <f ca="1">SUM(TtCT:downtwo)</f>
        <v>100</v>
      </c>
      <c r="X24" s="411">
        <f ca="1">IFERROR(V24/W24,0)</f>
        <v>0.8</v>
      </c>
      <c r="Y24" s="412"/>
      <c r="AA24" s="238" t="s">
        <v>98</v>
      </c>
      <c r="AB24" s="254">
        <f ca="1">SUM(EtCT:downtwo)</f>
        <v>95</v>
      </c>
      <c r="AC24" s="254">
        <f ca="1">SUM(TtCT:downtwo)</f>
        <v>100</v>
      </c>
      <c r="AD24" s="411">
        <f ca="1">IFERROR(AB24/AC24,0)</f>
        <v>0.95</v>
      </c>
      <c r="AE24" s="412"/>
    </row>
    <row r="25" spans="3:31" ht="15.75" thickBot="1" x14ac:dyDescent="0.3">
      <c r="C25" s="239" t="s">
        <v>18</v>
      </c>
      <c r="D25" s="413" t="s">
        <v>17</v>
      </c>
      <c r="E25" s="413"/>
      <c r="F25" s="240" t="s">
        <v>16</v>
      </c>
      <c r="G25" s="241" t="s">
        <v>15</v>
      </c>
      <c r="I25" s="239" t="s">
        <v>18</v>
      </c>
      <c r="J25" s="413" t="s">
        <v>17</v>
      </c>
      <c r="K25" s="413"/>
      <c r="L25" s="240" t="s">
        <v>16</v>
      </c>
      <c r="M25" s="241" t="s">
        <v>15</v>
      </c>
      <c r="O25" s="239" t="s">
        <v>18</v>
      </c>
      <c r="P25" s="413" t="s">
        <v>17</v>
      </c>
      <c r="Q25" s="413"/>
      <c r="R25" s="240" t="s">
        <v>16</v>
      </c>
      <c r="S25" s="241" t="s">
        <v>15</v>
      </c>
      <c r="U25" s="239" t="s">
        <v>18</v>
      </c>
      <c r="V25" s="413" t="s">
        <v>17</v>
      </c>
      <c r="W25" s="413"/>
      <c r="X25" s="240" t="s">
        <v>16</v>
      </c>
      <c r="Y25" s="241" t="s">
        <v>15</v>
      </c>
      <c r="AA25" s="239" t="s">
        <v>18</v>
      </c>
      <c r="AB25" s="413" t="s">
        <v>17</v>
      </c>
      <c r="AC25" s="413"/>
      <c r="AD25" s="240" t="s">
        <v>16</v>
      </c>
      <c r="AE25" s="241" t="s">
        <v>15</v>
      </c>
    </row>
    <row r="26" spans="3:31" ht="16.5" thickTop="1" thickBot="1" x14ac:dyDescent="0.3">
      <c r="C26" s="11" t="s">
        <v>14</v>
      </c>
      <c r="D26" s="10">
        <v>87</v>
      </c>
      <c r="E26" s="10">
        <v>100</v>
      </c>
      <c r="F26" s="9">
        <f>IFERROR(D26/E26,0)</f>
        <v>0.87</v>
      </c>
      <c r="G26" s="8"/>
      <c r="I26" s="11" t="s">
        <v>14</v>
      </c>
      <c r="J26" s="10">
        <v>91</v>
      </c>
      <c r="K26" s="10">
        <v>100</v>
      </c>
      <c r="L26" s="9">
        <f>IFERROR(J26/K26,0)</f>
        <v>0.91</v>
      </c>
      <c r="M26" s="8"/>
      <c r="O26" s="11" t="s">
        <v>14</v>
      </c>
      <c r="P26" s="10">
        <v>95</v>
      </c>
      <c r="Q26" s="10">
        <v>100</v>
      </c>
      <c r="R26" s="9">
        <f>IFERROR(P26/Q26,0)</f>
        <v>0.95</v>
      </c>
      <c r="S26" s="8"/>
      <c r="U26" s="11" t="s">
        <v>14</v>
      </c>
      <c r="V26" s="10">
        <v>80</v>
      </c>
      <c r="W26" s="10">
        <v>100</v>
      </c>
      <c r="X26" s="9">
        <f>IFERROR(V26/W26,0)</f>
        <v>0.8</v>
      </c>
      <c r="Y26" s="8"/>
      <c r="AA26" s="11" t="s">
        <v>14</v>
      </c>
      <c r="AB26" s="10">
        <v>95</v>
      </c>
      <c r="AC26" s="10">
        <v>100</v>
      </c>
      <c r="AD26" s="9">
        <f>IFERROR(AB26/AC26,0)</f>
        <v>0.95</v>
      </c>
      <c r="AE26" s="8"/>
    </row>
    <row r="27" spans="3:31" ht="16.5" thickTop="1" thickBot="1" x14ac:dyDescent="0.3">
      <c r="C27" s="403"/>
      <c r="D27" s="404"/>
      <c r="E27" s="404"/>
      <c r="F27" s="404"/>
      <c r="G27" s="405"/>
      <c r="I27" s="403"/>
      <c r="J27" s="404"/>
      <c r="K27" s="404"/>
      <c r="L27" s="404"/>
      <c r="M27" s="405"/>
      <c r="O27" s="403"/>
      <c r="P27" s="404"/>
      <c r="Q27" s="404"/>
      <c r="R27" s="404"/>
      <c r="S27" s="405"/>
      <c r="U27" s="403"/>
      <c r="V27" s="404"/>
      <c r="W27" s="404"/>
      <c r="X27" s="404"/>
      <c r="Y27" s="405"/>
      <c r="AA27" s="403"/>
      <c r="AB27" s="404"/>
      <c r="AC27" s="404"/>
      <c r="AD27" s="404"/>
      <c r="AE27" s="405"/>
    </row>
    <row r="28" spans="3:31" ht="15.75" thickTop="1" x14ac:dyDescent="0.25"/>
  </sheetData>
  <mergeCells count="86">
    <mergeCell ref="C27:G27"/>
    <mergeCell ref="I27:M27"/>
    <mergeCell ref="O27:S27"/>
    <mergeCell ref="U27:Y27"/>
    <mergeCell ref="AA27:AE27"/>
    <mergeCell ref="U16:V16"/>
    <mergeCell ref="U17:V17"/>
    <mergeCell ref="U18:V18"/>
    <mergeCell ref="U19:V19"/>
    <mergeCell ref="AA16:AB16"/>
    <mergeCell ref="AA17:AB17"/>
    <mergeCell ref="AA18:AB18"/>
    <mergeCell ref="AA19:AB19"/>
    <mergeCell ref="O20:P20"/>
    <mergeCell ref="O22:S22"/>
    <mergeCell ref="R24:S24"/>
    <mergeCell ref="P25:Q25"/>
    <mergeCell ref="AA22:AE22"/>
    <mergeCell ref="AD24:AE24"/>
    <mergeCell ref="AB25:AC25"/>
    <mergeCell ref="AA20:AB20"/>
    <mergeCell ref="U20:V20"/>
    <mergeCell ref="U22:Y22"/>
    <mergeCell ref="X24:Y24"/>
    <mergeCell ref="V25:W25"/>
    <mergeCell ref="C22:G22"/>
    <mergeCell ref="F24:G24"/>
    <mergeCell ref="D25:E25"/>
    <mergeCell ref="I15:J15"/>
    <mergeCell ref="I16:J16"/>
    <mergeCell ref="I17:J17"/>
    <mergeCell ref="I18:J18"/>
    <mergeCell ref="I20:J20"/>
    <mergeCell ref="I22:M22"/>
    <mergeCell ref="L24:M24"/>
    <mergeCell ref="C15:D15"/>
    <mergeCell ref="C16:D16"/>
    <mergeCell ref="C17:D17"/>
    <mergeCell ref="C18:D18"/>
    <mergeCell ref="C20:D20"/>
    <mergeCell ref="J25:K25"/>
    <mergeCell ref="B3:C3"/>
    <mergeCell ref="E3:F3"/>
    <mergeCell ref="B4:C4"/>
    <mergeCell ref="E4:F4"/>
    <mergeCell ref="B2:D2"/>
    <mergeCell ref="E2:G2"/>
    <mergeCell ref="C6:G6"/>
    <mergeCell ref="I6:M6"/>
    <mergeCell ref="O6:S6"/>
    <mergeCell ref="U6:Y6"/>
    <mergeCell ref="AA6:AE6"/>
    <mergeCell ref="C7:D7"/>
    <mergeCell ref="I7:J7"/>
    <mergeCell ref="O7:P7"/>
    <mergeCell ref="U7:V7"/>
    <mergeCell ref="AA7:AB7"/>
    <mergeCell ref="C8:D8"/>
    <mergeCell ref="I8:J8"/>
    <mergeCell ref="O8:P8"/>
    <mergeCell ref="U8:V8"/>
    <mergeCell ref="AA8:AB8"/>
    <mergeCell ref="C9:G9"/>
    <mergeCell ref="I9:M9"/>
    <mergeCell ref="O9:S9"/>
    <mergeCell ref="U9:Y9"/>
    <mergeCell ref="AA9:AE9"/>
    <mergeCell ref="U14:V14"/>
    <mergeCell ref="AA14:AB14"/>
    <mergeCell ref="U15:V15"/>
    <mergeCell ref="U13:Y13"/>
    <mergeCell ref="AA13:AE13"/>
    <mergeCell ref="AA15:AB15"/>
    <mergeCell ref="C14:D14"/>
    <mergeCell ref="I13:M13"/>
    <mergeCell ref="O13:S13"/>
    <mergeCell ref="C19:D19"/>
    <mergeCell ref="I19:J19"/>
    <mergeCell ref="I14:J14"/>
    <mergeCell ref="O14:P14"/>
    <mergeCell ref="C13:G13"/>
    <mergeCell ref="O15:P15"/>
    <mergeCell ref="O16:P16"/>
    <mergeCell ref="O17:P17"/>
    <mergeCell ref="O18:P18"/>
    <mergeCell ref="O19:P19"/>
  </mergeCells>
  <conditionalFormatting sqref="E14:E20">
    <cfRule type="expression" dxfId="85" priority="10">
      <formula>IF((CELLV)&gt;(1-LSFa),1,0)</formula>
    </cfRule>
  </conditionalFormatting>
  <conditionalFormatting sqref="G14:G20">
    <cfRule type="expression" dxfId="84" priority="9">
      <formula>IF((CELLV)&gt;(1-LSFa),1,0)</formula>
    </cfRule>
  </conditionalFormatting>
  <conditionalFormatting sqref="K14:K20">
    <cfRule type="expression" dxfId="83" priority="8">
      <formula>IF((CELLV)&gt;(1-LSFb),1,0)</formula>
    </cfRule>
  </conditionalFormatting>
  <conditionalFormatting sqref="M14:M20">
    <cfRule type="expression" dxfId="82" priority="7">
      <formula>IF((CELLV)&gt;(1-LSFb),1,0)</formula>
    </cfRule>
  </conditionalFormatting>
  <conditionalFormatting sqref="AE14:AE20">
    <cfRule type="expression" dxfId="81" priority="1">
      <formula>IF((CELLV)&gt;(1-LSFe),1,0)</formula>
    </cfRule>
  </conditionalFormatting>
  <conditionalFormatting sqref="Q14:Q20">
    <cfRule type="expression" dxfId="80" priority="6">
      <formula>IF((CELLV)&gt;(1-LSFc),1,0)</formula>
    </cfRule>
  </conditionalFormatting>
  <conditionalFormatting sqref="S14:S20">
    <cfRule type="expression" dxfId="79" priority="5">
      <formula>IF((CELLV)&gt;(1-LSFc),1,0)</formula>
    </cfRule>
  </conditionalFormatting>
  <conditionalFormatting sqref="W14:W20">
    <cfRule type="expression" dxfId="78" priority="4">
      <formula>IF((CELLV)&gt;(1-LSFd),1,0)</formula>
    </cfRule>
  </conditionalFormatting>
  <conditionalFormatting sqref="Y14:Y20">
    <cfRule type="expression" dxfId="77" priority="3">
      <formula>IF((CELLV)&gt;(1-LSFd),1,0)</formula>
    </cfRule>
  </conditionalFormatting>
  <conditionalFormatting sqref="AC14:AC20">
    <cfRule type="expression" dxfId="76" priority="2">
      <formula>IF((CELLV)&gt;(1-LSFe),1,0)</formula>
    </cfRule>
  </conditionalFormatting>
  <dataValidations count="3">
    <dataValidation type="list" allowBlank="1" showInputMessage="1" showErrorMessage="1" sqref="G8 M8 S8 Y8 AE8" xr:uid="{B4CCDA8A-3066-408F-8154-72F31F6A3961}">
      <formula1>",Class,Retake,Dropped,P/F,Research"</formula1>
    </dataValidation>
    <dataValidation type="whole" operator="greaterThan" allowBlank="1" showInputMessage="1" showErrorMessage="1" sqref="E23 K23 Q23 W23 AC23" xr:uid="{4F401822-B63A-4699-A39D-316BFEADD0AA}">
      <formula1>0</formula1>
    </dataValidation>
    <dataValidation type="list" allowBlank="1" showInputMessage="1" showErrorMessage="1" sqref="AC8 W8 Q8 K8 E8" xr:uid="{E57A45F1-B983-47B3-9446-988E62CD5B75}">
      <formula1>"NA,1,2,3,4,5,6,7"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F4DB2E2-09EE-4018-83D9-1CCB98F8ECBC}">
          <x14:formula1>
            <xm:f>OFFSET(Settings!$L$4,0,0,INDIRECT(ADDRESS(ROW(),COLUMN()+2))+1,1)</xm:f>
          </x14:formula1>
          <xm:sqref>C23 I23 O23 U23 AA23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A37D5-C430-484C-AE79-DA7E3BC6828E}">
  <sheetPr>
    <tabColor theme="4"/>
  </sheetPr>
  <dimension ref="B1:BC34"/>
  <sheetViews>
    <sheetView showGridLines="0" zoomScale="91" zoomScaleNormal="91" workbookViewId="0">
      <selection activeCell="AL11" sqref="AL11"/>
    </sheetView>
  </sheetViews>
  <sheetFormatPr defaultRowHeight="15" x14ac:dyDescent="0.25"/>
  <cols>
    <col min="1" max="1" width="4" style="1" customWidth="1"/>
    <col min="2" max="2" width="9.140625" style="1"/>
    <col min="3" max="3" width="7.7109375" style="1" customWidth="1"/>
    <col min="4" max="4" width="6" style="1" customWidth="1"/>
    <col min="5" max="5" width="7.85546875" style="1" customWidth="1"/>
    <col min="6" max="6" width="10.140625" style="1" bestFit="1" customWidth="1"/>
    <col min="7" max="7" width="9.140625" style="1"/>
    <col min="8" max="8" width="3" style="1" customWidth="1"/>
    <col min="9" max="9" width="11.5703125" style="1" customWidth="1"/>
    <col min="10" max="10" width="6.42578125" style="1" customWidth="1"/>
    <col min="11" max="11" width="7.85546875" style="1" customWidth="1"/>
    <col min="12" max="12" width="10.28515625" style="1" customWidth="1"/>
    <col min="13" max="13" width="9.140625" style="1"/>
    <col min="14" max="14" width="3.28515625" style="1" customWidth="1"/>
    <col min="15" max="15" width="8.85546875" style="1" customWidth="1"/>
    <col min="16" max="16" width="6.140625" style="1" customWidth="1"/>
    <col min="17" max="17" width="7.42578125" style="1" customWidth="1"/>
    <col min="18" max="18" width="10.28515625" style="1" customWidth="1"/>
    <col min="19" max="19" width="9.140625" style="1"/>
    <col min="20" max="20" width="3.140625" style="1" customWidth="1"/>
    <col min="21" max="21" width="9.140625" style="1"/>
    <col min="22" max="22" width="6.5703125" style="1" customWidth="1"/>
    <col min="23" max="23" width="8.2851562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37" width="9.140625" style="1"/>
    <col min="38" max="38" width="3.7109375" style="1" customWidth="1"/>
    <col min="39" max="41" width="9.140625" style="1"/>
    <col min="42" max="42" width="10.85546875" style="1" customWidth="1"/>
    <col min="43" max="16384" width="9.140625" style="1"/>
  </cols>
  <sheetData>
    <row r="1" spans="2:43" ht="15.75" thickBot="1" x14ac:dyDescent="0.3"/>
    <row r="2" spans="2:43" ht="16.5" thickTop="1" thickBot="1" x14ac:dyDescent="0.3">
      <c r="B2" s="394" t="s">
        <v>120</v>
      </c>
      <c r="C2" s="395"/>
      <c r="D2" s="395"/>
      <c r="E2" s="395" t="s">
        <v>210</v>
      </c>
      <c r="F2" s="395"/>
      <c r="G2" s="396"/>
    </row>
    <row r="3" spans="2:43" ht="15.75" thickTop="1" x14ac:dyDescent="0.25">
      <c r="B3" s="397" t="s">
        <v>118</v>
      </c>
      <c r="C3" s="398"/>
      <c r="D3" s="245">
        <f>COUNTIF(6:6,"*")</f>
        <v>7</v>
      </c>
      <c r="E3" s="399" t="s">
        <v>117</v>
      </c>
      <c r="F3" s="398"/>
      <c r="G3" s="101">
        <f ca="1">G4/SUM(IF(OR(G8="P/F",G8="Dropped",G8="Retaken"),0,E8),IF(OR(M8="P/F",M8="Dropped",M8="Retaken"),0,K8),IF(OR(S8="P/F",S8="Dropped",S8="Retaken"),0,Q8),IF(OR(Y8="P/F",Y8="Dropped",Y8="Retaken"),0,W8),IF(OR(AE8="P/F",AE8="Dropped",AE8="Retaken"),0,AC8),IF(OR(AK8="P/F",AK8="Dropped",AK8="Retaken"),0,AI8),IF(OR(AQ8="P/F",AQ8="Dropped",AQ8="Retaken"),0,AO8))</f>
        <v>2.6013333333333337</v>
      </c>
    </row>
    <row r="4" spans="2:43" ht="15.75" thickBot="1" x14ac:dyDescent="0.3">
      <c r="B4" s="400" t="s">
        <v>115</v>
      </c>
      <c r="C4" s="401"/>
      <c r="D4" s="244">
        <f>SUMIF(8:8,"&lt;&gt;#N/A")</f>
        <v>19</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39.020000000000003</v>
      </c>
    </row>
    <row r="5" spans="2:43" ht="16.5" thickTop="1" thickBot="1" x14ac:dyDescent="0.3"/>
    <row r="6" spans="2:43" ht="16.5" thickTop="1" thickBot="1" x14ac:dyDescent="0.3">
      <c r="C6" s="382" t="s">
        <v>130</v>
      </c>
      <c r="D6" s="383"/>
      <c r="E6" s="383"/>
      <c r="F6" s="383"/>
      <c r="G6" s="384"/>
      <c r="I6" s="382" t="s">
        <v>131</v>
      </c>
      <c r="J6" s="383"/>
      <c r="K6" s="383"/>
      <c r="L6" s="383"/>
      <c r="M6" s="384"/>
      <c r="O6" s="382" t="s">
        <v>132</v>
      </c>
      <c r="P6" s="383"/>
      <c r="Q6" s="383"/>
      <c r="R6" s="383"/>
      <c r="S6" s="384"/>
      <c r="U6" s="382" t="s">
        <v>493</v>
      </c>
      <c r="V6" s="383"/>
      <c r="W6" s="383"/>
      <c r="X6" s="383"/>
      <c r="Y6" s="384"/>
      <c r="AA6" s="382" t="s">
        <v>443</v>
      </c>
      <c r="AB6" s="383"/>
      <c r="AC6" s="383"/>
      <c r="AD6" s="383"/>
      <c r="AE6" s="384"/>
      <c r="AG6" s="382" t="s">
        <v>134</v>
      </c>
      <c r="AH6" s="383"/>
      <c r="AI6" s="383"/>
      <c r="AJ6" s="383"/>
      <c r="AK6" s="384"/>
      <c r="AM6" s="382" t="s">
        <v>478</v>
      </c>
      <c r="AN6" s="383"/>
      <c r="AO6" s="383"/>
      <c r="AP6" s="383"/>
      <c r="AQ6" s="384"/>
    </row>
    <row r="7" spans="2:43" x14ac:dyDescent="0.25">
      <c r="C7" s="385" t="s">
        <v>106</v>
      </c>
      <c r="D7" s="386"/>
      <c r="E7" s="99">
        <f ca="1">COUNTIF(F$6:F$225,"Weight*")</f>
        <v>1</v>
      </c>
      <c r="F7" s="301" t="s">
        <v>105</v>
      </c>
      <c r="G7" s="97" t="s">
        <v>425</v>
      </c>
      <c r="I7" s="385" t="s">
        <v>106</v>
      </c>
      <c r="J7" s="386"/>
      <c r="K7" s="99">
        <f ca="1">COUNTIF(L$6:L$225,"Weight*")</f>
        <v>1</v>
      </c>
      <c r="L7" s="301" t="s">
        <v>105</v>
      </c>
      <c r="M7" s="97" t="s">
        <v>425</v>
      </c>
      <c r="O7" s="385" t="s">
        <v>106</v>
      </c>
      <c r="P7" s="386"/>
      <c r="Q7" s="99">
        <f ca="1">COUNTIF(R$6:R$225,"Weight*")</f>
        <v>1</v>
      </c>
      <c r="R7" s="301" t="s">
        <v>105</v>
      </c>
      <c r="S7" s="97" t="s">
        <v>425</v>
      </c>
      <c r="U7" s="385" t="s">
        <v>106</v>
      </c>
      <c r="V7" s="386"/>
      <c r="W7" s="99">
        <f ca="1">COUNTIF(X$6:X$225,"Weight*")</f>
        <v>1</v>
      </c>
      <c r="X7" s="301" t="s">
        <v>105</v>
      </c>
      <c r="Y7" s="97" t="s">
        <v>425</v>
      </c>
      <c r="AA7" s="385" t="s">
        <v>106</v>
      </c>
      <c r="AB7" s="386"/>
      <c r="AC7" s="99">
        <f ca="1">COUNTIF(AD$6:AD$225,"Weight*")</f>
        <v>1</v>
      </c>
      <c r="AD7" s="301" t="s">
        <v>105</v>
      </c>
      <c r="AE7" s="97" t="s">
        <v>125</v>
      </c>
      <c r="AG7" s="385" t="s">
        <v>106</v>
      </c>
      <c r="AH7" s="386"/>
      <c r="AI7" s="99">
        <f ca="1">COUNTIF(AJ$6:AJ$225,"Weight*")</f>
        <v>1</v>
      </c>
      <c r="AJ7" s="301" t="s">
        <v>105</v>
      </c>
      <c r="AK7" s="97" t="s">
        <v>425</v>
      </c>
      <c r="AM7" s="385" t="s">
        <v>106</v>
      </c>
      <c r="AN7" s="386"/>
      <c r="AO7" s="99">
        <f ca="1">COUNTIF(AP$6:AP$225,"Weight*")</f>
        <v>1</v>
      </c>
      <c r="AP7" s="301" t="s">
        <v>105</v>
      </c>
      <c r="AQ7" s="97" t="s">
        <v>425</v>
      </c>
    </row>
    <row r="8" spans="2:43" ht="15.75" thickBot="1" x14ac:dyDescent="0.3">
      <c r="C8" s="377" t="s">
        <v>102</v>
      </c>
      <c r="D8" s="378"/>
      <c r="E8" s="95">
        <v>3</v>
      </c>
      <c r="F8" s="299" t="s">
        <v>101</v>
      </c>
      <c r="G8" s="93" t="s">
        <v>100</v>
      </c>
      <c r="I8" s="377" t="s">
        <v>102</v>
      </c>
      <c r="J8" s="378"/>
      <c r="K8" s="95">
        <v>0</v>
      </c>
      <c r="L8" s="299" t="s">
        <v>101</v>
      </c>
      <c r="M8" s="93" t="s">
        <v>127</v>
      </c>
      <c r="O8" s="377" t="s">
        <v>102</v>
      </c>
      <c r="P8" s="378"/>
      <c r="Q8" s="95">
        <v>3</v>
      </c>
      <c r="R8" s="299" t="s">
        <v>101</v>
      </c>
      <c r="S8" s="93" t="s">
        <v>100</v>
      </c>
      <c r="U8" s="377" t="s">
        <v>102</v>
      </c>
      <c r="V8" s="378"/>
      <c r="W8" s="95">
        <v>1</v>
      </c>
      <c r="X8" s="299" t="s">
        <v>101</v>
      </c>
      <c r="Y8" s="93" t="s">
        <v>127</v>
      </c>
      <c r="AA8" s="377" t="s">
        <v>102</v>
      </c>
      <c r="AB8" s="378"/>
      <c r="AC8" s="95">
        <v>4</v>
      </c>
      <c r="AD8" s="299" t="s">
        <v>101</v>
      </c>
      <c r="AE8" s="93" t="s">
        <v>100</v>
      </c>
      <c r="AG8" s="377" t="s">
        <v>102</v>
      </c>
      <c r="AH8" s="378"/>
      <c r="AI8" s="95">
        <v>5</v>
      </c>
      <c r="AJ8" s="299" t="s">
        <v>101</v>
      </c>
      <c r="AK8" s="93" t="s">
        <v>100</v>
      </c>
      <c r="AM8" s="377" t="s">
        <v>102</v>
      </c>
      <c r="AN8" s="378"/>
      <c r="AO8" s="95">
        <v>3</v>
      </c>
      <c r="AP8" s="299" t="s">
        <v>101</v>
      </c>
      <c r="AQ8" s="93" t="s">
        <v>127</v>
      </c>
    </row>
    <row r="9" spans="2:43" ht="15.75" thickTop="1" x14ac:dyDescent="0.25">
      <c r="C9" s="379" t="s">
        <v>99</v>
      </c>
      <c r="D9" s="380"/>
      <c r="E9" s="380"/>
      <c r="F9" s="380"/>
      <c r="G9" s="381"/>
      <c r="I9" s="379" t="s">
        <v>99</v>
      </c>
      <c r="J9" s="380"/>
      <c r="K9" s="380"/>
      <c r="L9" s="380"/>
      <c r="M9" s="381"/>
      <c r="O9" s="379" t="s">
        <v>99</v>
      </c>
      <c r="P9" s="380"/>
      <c r="Q9" s="380"/>
      <c r="R9" s="380"/>
      <c r="S9" s="381"/>
      <c r="U9" s="379" t="s">
        <v>99</v>
      </c>
      <c r="V9" s="380"/>
      <c r="W9" s="380"/>
      <c r="X9" s="380"/>
      <c r="Y9" s="381"/>
      <c r="AA9" s="379" t="s">
        <v>99</v>
      </c>
      <c r="AB9" s="380"/>
      <c r="AC9" s="380"/>
      <c r="AD9" s="380"/>
      <c r="AE9" s="381"/>
      <c r="AG9" s="379" t="s">
        <v>99</v>
      </c>
      <c r="AH9" s="380"/>
      <c r="AI9" s="380"/>
      <c r="AJ9" s="380"/>
      <c r="AK9" s="381"/>
      <c r="AM9" s="379" t="s">
        <v>99</v>
      </c>
      <c r="AN9" s="380"/>
      <c r="AO9" s="380"/>
      <c r="AP9" s="380"/>
      <c r="AQ9" s="381"/>
    </row>
    <row r="10" spans="2:43" x14ac:dyDescent="0.25">
      <c r="C10" s="92" t="s">
        <v>98</v>
      </c>
      <c r="D10" s="300"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B</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0.85</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0.15000000000000002</v>
      </c>
      <c r="I10" s="92" t="s">
        <v>98</v>
      </c>
      <c r="J10" s="300" t="str" cm="1">
        <f t="array" aca="1" ref="J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K10" s="90" cm="1">
        <f t="array" aca="1" ref="K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0.91</v>
      </c>
      <c r="L10" s="12" t="s">
        <v>97</v>
      </c>
      <c r="M10" s="89" cm="1">
        <f t="array" aca="1" ref="M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8.9999999999999969E-2</v>
      </c>
      <c r="O10" s="92" t="s">
        <v>98</v>
      </c>
      <c r="P10" s="300" t="str" cm="1">
        <f t="array" aca="1" ref="P10" ca="1">IF(GRDtCT="Dropped","NA",IF(GRDtCT="P/F",IF(GRDtP&gt;=PtNPass,PtLPass,PtLFail),IF(GRDtP&gt;=PtNA,PtLA,IF(GRDtP&gt;=PtNAm,PtLAm,IF(GRDtP&gt;=PtNBp,PtLBp,IF(GRDtP&gt;=PtNB,PtLB,IF(GRDtP&gt;=PtNBm,PtLBm,IF(GRDtP&gt;=PtNCp,PtLCp,IF(GRDtP&gt;=PtNC,PtLC,IF(GRDtP&gt;=PtNCm,PtLCm,IF(GRDtP&gt;=PtNDp,PtLDp,IF(GRDtP&gt;=PtND,PtLD,IF(GRDtP&gt;=PtNDm,PtLDm,PtLF)))))))))))))</f>
        <v>B+</v>
      </c>
      <c r="Q10" s="90" cm="1">
        <f t="array" aca="1" ref="Q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0.88</v>
      </c>
      <c r="R10" s="12" t="s">
        <v>97</v>
      </c>
      <c r="S10" s="89" cm="1">
        <f t="array" aca="1" ref="S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0.12</v>
      </c>
      <c r="U10" s="92" t="s">
        <v>98</v>
      </c>
      <c r="V10" s="300" t="str" cm="1">
        <f t="array" aca="1" ref="V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W10" s="90" cm="1">
        <f t="array" aca="1" ref="W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1</v>
      </c>
      <c r="X10" s="12" t="s">
        <v>97</v>
      </c>
      <c r="Y10" s="89" cm="1">
        <f t="array" aca="1" ref="Y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v>
      </c>
      <c r="AA10" s="92" t="s">
        <v>98</v>
      </c>
      <c r="AB10" s="300" t="str" cm="1">
        <f t="array" aca="1" ref="AB10" ca="1">IF(GRDtCT="Dropped","NA",IF(GRDtCT="P/F",IF(GRDtP&gt;=PtNPass,PtLPass,PtLFail),IF(GRDtP&gt;=PtNA,PtLA,IF(GRDtP&gt;=PtNAm,PtLAm,IF(GRDtP&gt;=PtNBp,PtLBp,IF(GRDtP&gt;=PtNB,PtLB,IF(GRDtP&gt;=PtNBm,PtLBm,IF(GRDtP&gt;=PtNCp,PtLCp,IF(GRDtP&gt;=PtNC,PtLC,IF(GRDtP&gt;=PtNCm,PtLCm,IF(GRDtP&gt;=PtNDp,PtLDp,IF(GRDtP&gt;=PtND,PtLD,IF(GRDtP&gt;=PtNDm,PtLDm,PtLF)))))))))))))</f>
        <v>C-</v>
      </c>
      <c r="AC10" s="90" cm="1">
        <f t="array" aca="1" ref="AC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v>
      </c>
      <c r="AD10" s="12" t="s">
        <v>97</v>
      </c>
      <c r="AE10" s="89" cm="1">
        <f t="array" aca="1" ref="AE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0.30000000000000004</v>
      </c>
      <c r="AG10" s="92" t="s">
        <v>98</v>
      </c>
      <c r="AH10" s="300" t="str" cm="1">
        <f t="array" aca="1" ref="AH10" ca="1">IF(GRDtCT="Dropped","NA",IF(GRDtCT="P/F",IF(GRDtP&gt;=PtNPass,PtLPass,PtLFail),IF(GRDtP&gt;=PtNA,PtLA,IF(GRDtP&gt;=PtNAm,PtLAm,IF(GRDtP&gt;=PtNBp,PtLBp,IF(GRDtP&gt;=PtNB,PtLB,IF(GRDtP&gt;=PtNBm,PtLBm,IF(GRDtP&gt;=PtNCp,PtLCp,IF(GRDtP&gt;=PtNC,PtLC,IF(GRDtP&gt;=PtNCm,PtLCm,IF(GRDtP&gt;=PtNDp,PtLDp,IF(GRDtP&gt;=PtND,PtLD,IF(GRDtP&gt;=PtNDm,PtLDm,PtLF)))))))))))))</f>
        <v>B-</v>
      </c>
      <c r="AI10" s="90" cm="1">
        <f t="array" aca="1" ref="AI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v>
      </c>
      <c r="AJ10" s="12" t="s">
        <v>97</v>
      </c>
      <c r="AK10" s="89" cm="1">
        <f t="array" aca="1" ref="AK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0.19999999999999996</v>
      </c>
      <c r="AM10" s="92" t="s">
        <v>98</v>
      </c>
      <c r="AN10" s="300" t="str" cm="1">
        <f t="array" aca="1" ref="AN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AO10" s="90" cm="1">
        <f t="array" aca="1" ref="AO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v>
      </c>
      <c r="AP10" s="12" t="s">
        <v>97</v>
      </c>
      <c r="AQ10" s="89" cm="1">
        <f t="array" aca="1" ref="AQ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0.19999999999999996</v>
      </c>
    </row>
    <row r="11" spans="2:43" ht="15.75" thickBot="1" x14ac:dyDescent="0.3">
      <c r="C11" s="88" t="s">
        <v>96</v>
      </c>
      <c r="D11" s="87"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v>
      </c>
      <c r="E11" s="86"/>
      <c r="F11" s="86" t="s">
        <v>95</v>
      </c>
      <c r="G11" s="242" cm="1">
        <f t="array" aca="1" ref="G11" ca="1">IF(OR(QPtCT="Dropped",QPtCT="P/F"),"NA",QPtGPA*QPtCR)</f>
        <v>9</v>
      </c>
      <c r="I11" s="88" t="s">
        <v>96</v>
      </c>
      <c r="J11" s="87" t="str" cm="1">
        <f t="array" aca="1" ref="J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K11" s="86"/>
      <c r="L11" s="86" t="s">
        <v>95</v>
      </c>
      <c r="M11" s="242" t="str" cm="1">
        <f t="array" aca="1" ref="M11" ca="1">IF(OR(QPtCT="Dropped",QPtCT="P/F"),"NA",QPtGPA*QPtCR)</f>
        <v>NA</v>
      </c>
      <c r="O11" s="88" t="s">
        <v>96</v>
      </c>
      <c r="P11" s="87" cm="1">
        <f t="array" aca="1" ref="P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3.33</v>
      </c>
      <c r="Q11" s="86"/>
      <c r="R11" s="86" t="s">
        <v>95</v>
      </c>
      <c r="S11" s="242" cm="1">
        <f t="array" aca="1" ref="S11" ca="1">IF(OR(QPtCT="Dropped",QPtCT="P/F"),"NA",QPtGPA*QPtCR)</f>
        <v>9.99</v>
      </c>
      <c r="U11" s="88" t="s">
        <v>96</v>
      </c>
      <c r="V11" s="87" t="str" cm="1">
        <f t="array" aca="1" ref="V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W11" s="86"/>
      <c r="X11" s="86" t="s">
        <v>95</v>
      </c>
      <c r="Y11" s="242" t="str" cm="1">
        <f t="array" aca="1" ref="Y11" ca="1">IF(OR(QPtCT="Dropped",QPtCT="P/F"),"NA",QPtGPA*QPtCR)</f>
        <v>NA</v>
      </c>
      <c r="AA11" s="88" t="s">
        <v>96</v>
      </c>
      <c r="AB11" s="87" cm="1">
        <f t="array" aca="1" ref="AB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1.67</v>
      </c>
      <c r="AC11" s="86"/>
      <c r="AD11" s="86" t="s">
        <v>95</v>
      </c>
      <c r="AE11" s="242" cm="1">
        <f t="array" aca="1" ref="AE11" ca="1">IF(OR(QPtCT="Dropped",QPtCT="P/F"),"NA",QPtGPA*QPtCR)</f>
        <v>6.68</v>
      </c>
      <c r="AG11" s="88" t="s">
        <v>96</v>
      </c>
      <c r="AH11" s="87" cm="1">
        <f t="array" aca="1" ref="AH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2.67</v>
      </c>
      <c r="AI11" s="86"/>
      <c r="AJ11" s="86" t="s">
        <v>95</v>
      </c>
      <c r="AK11" s="242" cm="1">
        <f t="array" aca="1" ref="AK11" ca="1">IF(OR(QPtCT="Dropped",QPtCT="P/F"),"NA",QPtGPA*QPtCR)</f>
        <v>13.35</v>
      </c>
      <c r="AM11" s="88" t="s">
        <v>96</v>
      </c>
      <c r="AN11" s="87" t="str" cm="1">
        <f t="array" aca="1" ref="AN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AO11" s="86"/>
      <c r="AP11" s="86" t="s">
        <v>95</v>
      </c>
      <c r="AQ11" s="242" t="str" cm="1">
        <f t="array" aca="1" ref="AQ11" ca="1">IF(OR(QPtCT="Dropped",QPtCT="P/F"),"NA",QPtGPA*QPtCR)</f>
        <v>NA</v>
      </c>
    </row>
    <row r="12" spans="2:43" ht="12" customHeight="1" thickTop="1" thickBot="1" x14ac:dyDescent="0.3"/>
    <row r="13" spans="2:43" ht="16.5" thickTop="1" thickBot="1" x14ac:dyDescent="0.3">
      <c r="C13" s="389" t="s">
        <v>327</v>
      </c>
      <c r="D13" s="390"/>
      <c r="E13" s="390"/>
      <c r="F13" s="390"/>
      <c r="G13" s="391"/>
      <c r="I13" s="389" t="s">
        <v>327</v>
      </c>
      <c r="J13" s="390"/>
      <c r="K13" s="390"/>
      <c r="L13" s="390"/>
      <c r="M13" s="391"/>
      <c r="O13" s="389" t="s">
        <v>327</v>
      </c>
      <c r="P13" s="390"/>
      <c r="Q13" s="390"/>
      <c r="R13" s="390"/>
      <c r="S13" s="391"/>
      <c r="U13" s="389" t="s">
        <v>327</v>
      </c>
      <c r="V13" s="390"/>
      <c r="W13" s="390"/>
      <c r="X13" s="390"/>
      <c r="Y13" s="391"/>
      <c r="AA13" s="389" t="s">
        <v>327</v>
      </c>
      <c r="AB13" s="390"/>
      <c r="AC13" s="390"/>
      <c r="AD13" s="390"/>
      <c r="AE13" s="391"/>
      <c r="AG13" s="389" t="s">
        <v>327</v>
      </c>
      <c r="AH13" s="390"/>
      <c r="AI13" s="390"/>
      <c r="AJ13" s="390"/>
      <c r="AK13" s="391"/>
      <c r="AM13" s="389" t="s">
        <v>327</v>
      </c>
      <c r="AN13" s="390"/>
      <c r="AO13" s="390"/>
      <c r="AP13" s="390"/>
      <c r="AQ13" s="391"/>
    </row>
    <row r="14" spans="2:43" ht="15.75" thickTop="1" x14ac:dyDescent="0.25">
      <c r="C14" s="392" t="s">
        <v>13</v>
      </c>
      <c r="D14" s="393"/>
      <c r="E14" s="231">
        <f>0.92</f>
        <v>0.92</v>
      </c>
      <c r="F14" s="368" t="s">
        <v>6</v>
      </c>
      <c r="G14" s="4">
        <f>0.69</f>
        <v>0.69</v>
      </c>
      <c r="I14" s="392" t="s">
        <v>13</v>
      </c>
      <c r="J14" s="393"/>
      <c r="K14" s="231">
        <f>0.92</f>
        <v>0.92</v>
      </c>
      <c r="L14" s="368" t="s">
        <v>6</v>
      </c>
      <c r="M14" s="4">
        <f>0.69</f>
        <v>0.69</v>
      </c>
      <c r="O14" s="392" t="s">
        <v>13</v>
      </c>
      <c r="P14" s="393"/>
      <c r="Q14" s="231">
        <f>0.92</f>
        <v>0.92</v>
      </c>
      <c r="R14" s="368" t="s">
        <v>6</v>
      </c>
      <c r="S14" s="4">
        <f>0.69</f>
        <v>0.69</v>
      </c>
      <c r="U14" s="392" t="s">
        <v>13</v>
      </c>
      <c r="V14" s="393"/>
      <c r="W14" s="231">
        <f>0.92</f>
        <v>0.92</v>
      </c>
      <c r="X14" s="368" t="s">
        <v>6</v>
      </c>
      <c r="Y14" s="4">
        <f>0.69</f>
        <v>0.69</v>
      </c>
      <c r="AA14" s="392" t="s">
        <v>13</v>
      </c>
      <c r="AB14" s="393"/>
      <c r="AC14" s="231">
        <f>0.92</f>
        <v>0.92</v>
      </c>
      <c r="AD14" s="368" t="s">
        <v>6</v>
      </c>
      <c r="AE14" s="4">
        <f>0.69</f>
        <v>0.69</v>
      </c>
      <c r="AG14" s="392" t="s">
        <v>13</v>
      </c>
      <c r="AH14" s="393"/>
      <c r="AI14" s="231">
        <f>0.92</f>
        <v>0.92</v>
      </c>
      <c r="AJ14" s="368" t="s">
        <v>6</v>
      </c>
      <c r="AK14" s="4">
        <f>0.69</f>
        <v>0.69</v>
      </c>
      <c r="AM14" s="392" t="s">
        <v>13</v>
      </c>
      <c r="AN14" s="393"/>
      <c r="AO14" s="231">
        <f>0.92</f>
        <v>0.92</v>
      </c>
      <c r="AP14" s="371" t="s">
        <v>6</v>
      </c>
      <c r="AQ14" s="4">
        <f>0.69</f>
        <v>0.69</v>
      </c>
    </row>
    <row r="15" spans="2:43" x14ac:dyDescent="0.25">
      <c r="C15" s="387" t="s">
        <v>12</v>
      </c>
      <c r="D15" s="388"/>
      <c r="E15" s="231">
        <f>0.89</f>
        <v>0.89</v>
      </c>
      <c r="F15" s="368" t="s">
        <v>5</v>
      </c>
      <c r="G15" s="4">
        <f>0.66</f>
        <v>0.66</v>
      </c>
      <c r="I15" s="387" t="s">
        <v>12</v>
      </c>
      <c r="J15" s="388"/>
      <c r="K15" s="231">
        <f>0.89</f>
        <v>0.89</v>
      </c>
      <c r="L15" s="368" t="s">
        <v>5</v>
      </c>
      <c r="M15" s="4">
        <f>0.66</f>
        <v>0.66</v>
      </c>
      <c r="O15" s="387" t="s">
        <v>12</v>
      </c>
      <c r="P15" s="388"/>
      <c r="Q15" s="231">
        <f>0.89</f>
        <v>0.89</v>
      </c>
      <c r="R15" s="368" t="s">
        <v>5</v>
      </c>
      <c r="S15" s="4">
        <f>0.66</f>
        <v>0.66</v>
      </c>
      <c r="U15" s="387" t="s">
        <v>12</v>
      </c>
      <c r="V15" s="388"/>
      <c r="W15" s="231">
        <f>0.89</f>
        <v>0.89</v>
      </c>
      <c r="X15" s="368" t="s">
        <v>5</v>
      </c>
      <c r="Y15" s="4">
        <f>0.66</f>
        <v>0.66</v>
      </c>
      <c r="AA15" s="387" t="s">
        <v>12</v>
      </c>
      <c r="AB15" s="388"/>
      <c r="AC15" s="231">
        <f>0.89</f>
        <v>0.89</v>
      </c>
      <c r="AD15" s="368" t="s">
        <v>5</v>
      </c>
      <c r="AE15" s="4">
        <f>0.66</f>
        <v>0.66</v>
      </c>
      <c r="AG15" s="387" t="s">
        <v>12</v>
      </c>
      <c r="AH15" s="388"/>
      <c r="AI15" s="231">
        <f>0.89</f>
        <v>0.89</v>
      </c>
      <c r="AJ15" s="368" t="s">
        <v>5</v>
      </c>
      <c r="AK15" s="4">
        <f>0.66</f>
        <v>0.66</v>
      </c>
      <c r="AM15" s="387" t="s">
        <v>12</v>
      </c>
      <c r="AN15" s="388"/>
      <c r="AO15" s="231">
        <f>0.89</f>
        <v>0.89</v>
      </c>
      <c r="AP15" s="371" t="s">
        <v>5</v>
      </c>
      <c r="AQ15" s="4">
        <f>0.66</f>
        <v>0.66</v>
      </c>
    </row>
    <row r="16" spans="2:43" x14ac:dyDescent="0.25">
      <c r="C16" s="387" t="s">
        <v>11</v>
      </c>
      <c r="D16" s="388"/>
      <c r="E16" s="231">
        <f>0.86</f>
        <v>0.86</v>
      </c>
      <c r="F16" s="368" t="s">
        <v>4</v>
      </c>
      <c r="G16" s="4">
        <f>0.61</f>
        <v>0.61</v>
      </c>
      <c r="I16" s="387" t="s">
        <v>11</v>
      </c>
      <c r="J16" s="388"/>
      <c r="K16" s="231">
        <f>0.86</f>
        <v>0.86</v>
      </c>
      <c r="L16" s="368" t="s">
        <v>4</v>
      </c>
      <c r="M16" s="4">
        <f>0.61</f>
        <v>0.61</v>
      </c>
      <c r="O16" s="387" t="s">
        <v>11</v>
      </c>
      <c r="P16" s="388"/>
      <c r="Q16" s="231">
        <f>0.86</f>
        <v>0.86</v>
      </c>
      <c r="R16" s="368" t="s">
        <v>4</v>
      </c>
      <c r="S16" s="4">
        <f>0.61</f>
        <v>0.61</v>
      </c>
      <c r="U16" s="387" t="s">
        <v>11</v>
      </c>
      <c r="V16" s="388"/>
      <c r="W16" s="231">
        <f>0.86</f>
        <v>0.86</v>
      </c>
      <c r="X16" s="368" t="s">
        <v>4</v>
      </c>
      <c r="Y16" s="4">
        <f>0.61</f>
        <v>0.61</v>
      </c>
      <c r="AA16" s="387" t="s">
        <v>11</v>
      </c>
      <c r="AB16" s="388"/>
      <c r="AC16" s="231">
        <f>0.86</f>
        <v>0.86</v>
      </c>
      <c r="AD16" s="368" t="s">
        <v>4</v>
      </c>
      <c r="AE16" s="4">
        <f>0.61</f>
        <v>0.61</v>
      </c>
      <c r="AG16" s="387" t="s">
        <v>11</v>
      </c>
      <c r="AH16" s="388"/>
      <c r="AI16" s="231">
        <f>0.86</f>
        <v>0.86</v>
      </c>
      <c r="AJ16" s="368" t="s">
        <v>4</v>
      </c>
      <c r="AK16" s="4">
        <f>0.61</f>
        <v>0.61</v>
      </c>
      <c r="AM16" s="387" t="s">
        <v>11</v>
      </c>
      <c r="AN16" s="388"/>
      <c r="AO16" s="231">
        <f>0.86</f>
        <v>0.86</v>
      </c>
      <c r="AP16" s="371" t="s">
        <v>4</v>
      </c>
      <c r="AQ16" s="4">
        <f>0.61</f>
        <v>0.61</v>
      </c>
    </row>
    <row r="17" spans="3:43" x14ac:dyDescent="0.25">
      <c r="C17" s="387" t="s">
        <v>10</v>
      </c>
      <c r="D17" s="388"/>
      <c r="E17" s="231">
        <f>0.81</f>
        <v>0.81</v>
      </c>
      <c r="F17" s="368" t="s">
        <v>3</v>
      </c>
      <c r="G17" s="4">
        <v>0.56999999999999995</v>
      </c>
      <c r="I17" s="387" t="s">
        <v>10</v>
      </c>
      <c r="J17" s="388"/>
      <c r="K17" s="231">
        <f>0.81</f>
        <v>0.81</v>
      </c>
      <c r="L17" s="368" t="s">
        <v>3</v>
      </c>
      <c r="M17" s="4">
        <v>0.56999999999999995</v>
      </c>
      <c r="O17" s="387" t="s">
        <v>10</v>
      </c>
      <c r="P17" s="388"/>
      <c r="Q17" s="231">
        <f>0.81</f>
        <v>0.81</v>
      </c>
      <c r="R17" s="368" t="s">
        <v>3</v>
      </c>
      <c r="S17" s="4">
        <v>0.56999999999999995</v>
      </c>
      <c r="U17" s="387" t="s">
        <v>10</v>
      </c>
      <c r="V17" s="388"/>
      <c r="W17" s="231">
        <f>0.81</f>
        <v>0.81</v>
      </c>
      <c r="X17" s="368" t="s">
        <v>3</v>
      </c>
      <c r="Y17" s="4">
        <v>0.56999999999999995</v>
      </c>
      <c r="AA17" s="387" t="s">
        <v>10</v>
      </c>
      <c r="AB17" s="388"/>
      <c r="AC17" s="231">
        <f>0.81</f>
        <v>0.81</v>
      </c>
      <c r="AD17" s="368" t="s">
        <v>3</v>
      </c>
      <c r="AE17" s="4">
        <v>0.56999999999999995</v>
      </c>
      <c r="AG17" s="387" t="s">
        <v>10</v>
      </c>
      <c r="AH17" s="388"/>
      <c r="AI17" s="231">
        <f>0.81</f>
        <v>0.81</v>
      </c>
      <c r="AJ17" s="368" t="s">
        <v>3</v>
      </c>
      <c r="AK17" s="4">
        <v>0.56999999999999995</v>
      </c>
      <c r="AM17" s="387" t="s">
        <v>10</v>
      </c>
      <c r="AN17" s="388"/>
      <c r="AO17" s="231">
        <f>0.81</f>
        <v>0.81</v>
      </c>
      <c r="AP17" s="371" t="s">
        <v>3</v>
      </c>
      <c r="AQ17" s="4">
        <v>0.56999999999999995</v>
      </c>
    </row>
    <row r="18" spans="3:43" x14ac:dyDescent="0.25">
      <c r="C18" s="387" t="s">
        <v>9</v>
      </c>
      <c r="D18" s="388"/>
      <c r="E18" s="231">
        <f>0.79</f>
        <v>0.79</v>
      </c>
      <c r="F18" s="7" t="s">
        <v>2</v>
      </c>
      <c r="G18" s="270">
        <f>0.5</f>
        <v>0.5</v>
      </c>
      <c r="I18" s="387" t="s">
        <v>9</v>
      </c>
      <c r="J18" s="388"/>
      <c r="K18" s="231">
        <f>0.79</f>
        <v>0.79</v>
      </c>
      <c r="L18" s="7" t="s">
        <v>2</v>
      </c>
      <c r="M18" s="6">
        <f>0.5</f>
        <v>0.5</v>
      </c>
      <c r="O18" s="387" t="s">
        <v>9</v>
      </c>
      <c r="P18" s="388"/>
      <c r="Q18" s="231">
        <f>0.79</f>
        <v>0.79</v>
      </c>
      <c r="R18" s="7" t="s">
        <v>2</v>
      </c>
      <c r="S18" s="6">
        <f>0.5</f>
        <v>0.5</v>
      </c>
      <c r="U18" s="387" t="s">
        <v>9</v>
      </c>
      <c r="V18" s="388"/>
      <c r="W18" s="231">
        <f>0.79</f>
        <v>0.79</v>
      </c>
      <c r="X18" s="7" t="s">
        <v>2</v>
      </c>
      <c r="Y18" s="6">
        <f>0.5</f>
        <v>0.5</v>
      </c>
      <c r="AA18" s="387" t="s">
        <v>9</v>
      </c>
      <c r="AB18" s="388"/>
      <c r="AC18" s="231">
        <f>0.79</f>
        <v>0.79</v>
      </c>
      <c r="AD18" s="7" t="s">
        <v>2</v>
      </c>
      <c r="AE18" s="6">
        <f>0.5</f>
        <v>0.5</v>
      </c>
      <c r="AG18" s="387" t="s">
        <v>9</v>
      </c>
      <c r="AH18" s="388"/>
      <c r="AI18" s="231">
        <f>0.79</f>
        <v>0.79</v>
      </c>
      <c r="AJ18" s="7" t="s">
        <v>2</v>
      </c>
      <c r="AK18" s="6">
        <f>0.5</f>
        <v>0.5</v>
      </c>
      <c r="AM18" s="387" t="s">
        <v>9</v>
      </c>
      <c r="AN18" s="388"/>
      <c r="AO18" s="231">
        <f>0.79</f>
        <v>0.79</v>
      </c>
      <c r="AP18" s="7" t="s">
        <v>2</v>
      </c>
      <c r="AQ18" s="6">
        <f>0.5</f>
        <v>0.5</v>
      </c>
    </row>
    <row r="19" spans="3:43" x14ac:dyDescent="0.25">
      <c r="C19" s="387" t="s">
        <v>8</v>
      </c>
      <c r="D19" s="388"/>
      <c r="E19" s="231">
        <f>0.76</f>
        <v>0.76</v>
      </c>
      <c r="F19" s="368" t="s">
        <v>1</v>
      </c>
      <c r="G19" s="4">
        <f>G16</f>
        <v>0.61</v>
      </c>
      <c r="I19" s="387" t="s">
        <v>8</v>
      </c>
      <c r="J19" s="388"/>
      <c r="K19" s="231">
        <f>0.76</f>
        <v>0.76</v>
      </c>
      <c r="L19" s="368" t="s">
        <v>1</v>
      </c>
      <c r="M19" s="4">
        <f>M16</f>
        <v>0.61</v>
      </c>
      <c r="O19" s="387" t="s">
        <v>8</v>
      </c>
      <c r="P19" s="388"/>
      <c r="Q19" s="231">
        <f>0.76</f>
        <v>0.76</v>
      </c>
      <c r="R19" s="368" t="s">
        <v>1</v>
      </c>
      <c r="S19" s="4">
        <f>S16</f>
        <v>0.61</v>
      </c>
      <c r="U19" s="387" t="s">
        <v>8</v>
      </c>
      <c r="V19" s="388"/>
      <c r="W19" s="231">
        <f>0.76</f>
        <v>0.76</v>
      </c>
      <c r="X19" s="368" t="s">
        <v>1</v>
      </c>
      <c r="Y19" s="4">
        <f>Y16</f>
        <v>0.61</v>
      </c>
      <c r="AA19" s="387" t="s">
        <v>8</v>
      </c>
      <c r="AB19" s="388"/>
      <c r="AC19" s="231">
        <f>0.76</f>
        <v>0.76</v>
      </c>
      <c r="AD19" s="368" t="s">
        <v>1</v>
      </c>
      <c r="AE19" s="4">
        <f>AE16</f>
        <v>0.61</v>
      </c>
      <c r="AG19" s="387" t="s">
        <v>8</v>
      </c>
      <c r="AH19" s="388"/>
      <c r="AI19" s="231">
        <f>0.76</f>
        <v>0.76</v>
      </c>
      <c r="AJ19" s="368" t="s">
        <v>1</v>
      </c>
      <c r="AK19" s="4">
        <f>AK16</f>
        <v>0.61</v>
      </c>
      <c r="AM19" s="387" t="s">
        <v>8</v>
      </c>
      <c r="AN19" s="388"/>
      <c r="AO19" s="231">
        <f>0.76</f>
        <v>0.76</v>
      </c>
      <c r="AP19" s="371" t="s">
        <v>1</v>
      </c>
      <c r="AQ19" s="4">
        <f>AQ16</f>
        <v>0.61</v>
      </c>
    </row>
    <row r="20" spans="3:43" ht="15.75" thickBot="1" x14ac:dyDescent="0.3">
      <c r="C20" s="406" t="s">
        <v>7</v>
      </c>
      <c r="D20" s="407"/>
      <c r="E20" s="232">
        <f>0.71</f>
        <v>0.71</v>
      </c>
      <c r="F20" s="367" t="s">
        <v>0</v>
      </c>
      <c r="G20" s="2">
        <f>IFERROR('Semester 1'!#REF!/F20,0)</f>
        <v>0</v>
      </c>
      <c r="I20" s="406" t="s">
        <v>7</v>
      </c>
      <c r="J20" s="407"/>
      <c r="K20" s="232">
        <f>0.71</f>
        <v>0.71</v>
      </c>
      <c r="L20" s="367" t="s">
        <v>0</v>
      </c>
      <c r="M20" s="2">
        <f>IFERROR('Semester 1'!C30/L20,0)</f>
        <v>0</v>
      </c>
      <c r="O20" s="406" t="s">
        <v>7</v>
      </c>
      <c r="P20" s="407"/>
      <c r="Q20" s="232">
        <f>0.71</f>
        <v>0.71</v>
      </c>
      <c r="R20" s="367" t="s">
        <v>0</v>
      </c>
      <c r="S20" s="2">
        <f>IFERROR('Semester 1'!I30/R20,0)</f>
        <v>0</v>
      </c>
      <c r="U20" s="406" t="s">
        <v>7</v>
      </c>
      <c r="V20" s="407"/>
      <c r="W20" s="232">
        <f>0.71</f>
        <v>0.71</v>
      </c>
      <c r="X20" s="367" t="s">
        <v>0</v>
      </c>
      <c r="Y20" s="2">
        <f>IFERROR('Semester 1'!O30/X20,0)</f>
        <v>0</v>
      </c>
      <c r="AA20" s="406" t="s">
        <v>7</v>
      </c>
      <c r="AB20" s="407"/>
      <c r="AC20" s="232">
        <f>0.71</f>
        <v>0.71</v>
      </c>
      <c r="AD20" s="367" t="s">
        <v>0</v>
      </c>
      <c r="AE20" s="2">
        <f>IFERROR('Semester 1'!U30/AD20,0)</f>
        <v>0</v>
      </c>
      <c r="AG20" s="406" t="s">
        <v>7</v>
      </c>
      <c r="AH20" s="407"/>
      <c r="AI20" s="232">
        <f>0.71</f>
        <v>0.71</v>
      </c>
      <c r="AJ20" s="367" t="s">
        <v>0</v>
      </c>
      <c r="AK20" s="2">
        <f>IFERROR('Semester 1'!AA30/AJ20,0)</f>
        <v>0</v>
      </c>
      <c r="AM20" s="406" t="s">
        <v>7</v>
      </c>
      <c r="AN20" s="407"/>
      <c r="AO20" s="232">
        <f>0.71</f>
        <v>0.71</v>
      </c>
      <c r="AP20" s="372" t="s">
        <v>0</v>
      </c>
      <c r="AQ20" s="2">
        <f>IFERROR('Semester 1'!AG30/AP20,0)</f>
        <v>0</v>
      </c>
    </row>
    <row r="21" spans="3:43" ht="16.5" thickTop="1" thickBot="1" x14ac:dyDescent="0.3"/>
    <row r="22" spans="3:43" ht="16.5" thickTop="1" thickBot="1" x14ac:dyDescent="0.3">
      <c r="C22" s="408" t="s">
        <v>426</v>
      </c>
      <c r="D22" s="409"/>
      <c r="E22" s="409"/>
      <c r="F22" s="409"/>
      <c r="G22" s="410"/>
      <c r="I22" s="408" t="s">
        <v>426</v>
      </c>
      <c r="J22" s="409"/>
      <c r="K22" s="409"/>
      <c r="L22" s="409"/>
      <c r="M22" s="410"/>
      <c r="O22" s="408" t="s">
        <v>426</v>
      </c>
      <c r="P22" s="409"/>
      <c r="Q22" s="409"/>
      <c r="R22" s="409"/>
      <c r="S22" s="410"/>
      <c r="U22" s="408" t="s">
        <v>426</v>
      </c>
      <c r="V22" s="409"/>
      <c r="W22" s="409"/>
      <c r="X22" s="409"/>
      <c r="Y22" s="410"/>
      <c r="AA22" s="408" t="s">
        <v>426</v>
      </c>
      <c r="AB22" s="409"/>
      <c r="AC22" s="409"/>
      <c r="AD22" s="409"/>
      <c r="AE22" s="410"/>
      <c r="AG22" s="408" t="s">
        <v>426</v>
      </c>
      <c r="AH22" s="409"/>
      <c r="AI22" s="409"/>
      <c r="AJ22" s="409"/>
      <c r="AK22" s="410"/>
      <c r="AM22" s="408" t="s">
        <v>426</v>
      </c>
      <c r="AN22" s="409"/>
      <c r="AO22" s="409"/>
      <c r="AP22" s="409"/>
      <c r="AQ22" s="410"/>
    </row>
    <row r="23" spans="3:43" ht="16.5" thickTop="1" thickBot="1" x14ac:dyDescent="0.3">
      <c r="C23" s="237">
        <v>1</v>
      </c>
      <c r="D23" s="235" t="s">
        <v>326</v>
      </c>
      <c r="E23" s="236">
        <v>1</v>
      </c>
      <c r="F23" s="233" t="s">
        <v>19</v>
      </c>
      <c r="G23" s="234">
        <f>1</f>
        <v>1</v>
      </c>
      <c r="I23" s="237">
        <v>1</v>
      </c>
      <c r="J23" s="235" t="s">
        <v>326</v>
      </c>
      <c r="K23" s="236">
        <v>1</v>
      </c>
      <c r="L23" s="233" t="s">
        <v>19</v>
      </c>
      <c r="M23" s="234">
        <f>1</f>
        <v>1</v>
      </c>
      <c r="O23" s="237">
        <v>1</v>
      </c>
      <c r="P23" s="235" t="s">
        <v>326</v>
      </c>
      <c r="Q23" s="236">
        <v>1</v>
      </c>
      <c r="R23" s="233" t="s">
        <v>19</v>
      </c>
      <c r="S23" s="234">
        <f>1</f>
        <v>1</v>
      </c>
      <c r="U23" s="237">
        <v>1</v>
      </c>
      <c r="V23" s="235" t="s">
        <v>326</v>
      </c>
      <c r="W23" s="236">
        <v>1</v>
      </c>
      <c r="X23" s="233" t="s">
        <v>19</v>
      </c>
      <c r="Y23" s="234">
        <f>1</f>
        <v>1</v>
      </c>
      <c r="AA23" s="237">
        <v>1</v>
      </c>
      <c r="AB23" s="235" t="s">
        <v>326</v>
      </c>
      <c r="AC23" s="236">
        <v>1</v>
      </c>
      <c r="AD23" s="233" t="s">
        <v>19</v>
      </c>
      <c r="AE23" s="234">
        <f>1</f>
        <v>1</v>
      </c>
      <c r="AG23" s="237">
        <v>1</v>
      </c>
      <c r="AH23" s="235" t="s">
        <v>326</v>
      </c>
      <c r="AI23" s="236">
        <v>1</v>
      </c>
      <c r="AJ23" s="233" t="s">
        <v>19</v>
      </c>
      <c r="AK23" s="234">
        <f>1</f>
        <v>1</v>
      </c>
      <c r="AM23" s="237">
        <v>1</v>
      </c>
      <c r="AN23" s="235" t="s">
        <v>326</v>
      </c>
      <c r="AO23" s="236">
        <v>1</v>
      </c>
      <c r="AP23" s="233" t="s">
        <v>19</v>
      </c>
      <c r="AQ23" s="234">
        <f>1</f>
        <v>1</v>
      </c>
    </row>
    <row r="24" spans="3:43" ht="15.75" thickTop="1" x14ac:dyDescent="0.25">
      <c r="C24" s="238" t="s">
        <v>98</v>
      </c>
      <c r="D24" s="254">
        <f ca="1">SUM(EtCT:downtwo)</f>
        <v>85</v>
      </c>
      <c r="E24" s="254">
        <f ca="1">SUM(TtCT:downtwo)</f>
        <v>100</v>
      </c>
      <c r="F24" s="411">
        <f ca="1">IFERROR(D24/E24,0)</f>
        <v>0.85</v>
      </c>
      <c r="G24" s="412"/>
      <c r="I24" s="238" t="s">
        <v>98</v>
      </c>
      <c r="J24" s="254">
        <f ca="1">SUM(EtCT:downtwo)</f>
        <v>91</v>
      </c>
      <c r="K24" s="254">
        <f ca="1">SUM(TtCT:downtwo)</f>
        <v>100</v>
      </c>
      <c r="L24" s="411">
        <f ca="1">IFERROR(J24/K24,0)</f>
        <v>0.91</v>
      </c>
      <c r="M24" s="412"/>
      <c r="O24" s="238" t="s">
        <v>98</v>
      </c>
      <c r="P24" s="254">
        <f ca="1">SUM(EtCT:downtwo)</f>
        <v>88</v>
      </c>
      <c r="Q24" s="254">
        <f ca="1">SUM(TtCT:downtwo)</f>
        <v>100</v>
      </c>
      <c r="R24" s="411">
        <f ca="1">IFERROR(P24/Q24,0)</f>
        <v>0.88</v>
      </c>
      <c r="S24" s="412"/>
      <c r="U24" s="238" t="s">
        <v>98</v>
      </c>
      <c r="V24" s="254">
        <f ca="1">SUM(EtCT:downtwo)</f>
        <v>100</v>
      </c>
      <c r="W24" s="254">
        <f ca="1">SUM(TtCT:downtwo)</f>
        <v>100</v>
      </c>
      <c r="X24" s="411">
        <f ca="1">IFERROR(V24/W24,0)</f>
        <v>1</v>
      </c>
      <c r="Y24" s="412"/>
      <c r="AA24" s="238" t="s">
        <v>98</v>
      </c>
      <c r="AB24" s="254">
        <f ca="1">SUM(EtCT:downtwo)</f>
        <v>70</v>
      </c>
      <c r="AC24" s="254">
        <f ca="1">SUM(TtCT:downtwo)</f>
        <v>100</v>
      </c>
      <c r="AD24" s="411">
        <f ca="1">IFERROR(AB24/AC24,0)</f>
        <v>0.7</v>
      </c>
      <c r="AE24" s="412"/>
      <c r="AG24" s="238" t="s">
        <v>98</v>
      </c>
      <c r="AH24" s="254">
        <f ca="1">SUM(EtCT:downtwo)</f>
        <v>80</v>
      </c>
      <c r="AI24" s="254">
        <f ca="1">SUM(TtCT:downtwo)</f>
        <v>100</v>
      </c>
      <c r="AJ24" s="411">
        <f ca="1">IFERROR(AH24/AI24,0)</f>
        <v>0.8</v>
      </c>
      <c r="AK24" s="412"/>
      <c r="AM24" s="238" t="s">
        <v>98</v>
      </c>
      <c r="AN24" s="254">
        <f ca="1">SUM(EtCT:downtwo)</f>
        <v>80</v>
      </c>
      <c r="AO24" s="254">
        <f ca="1">SUM(TtCT:downtwo)</f>
        <v>100</v>
      </c>
      <c r="AP24" s="411">
        <f ca="1">IFERROR(AN24/AO24,0)</f>
        <v>0.8</v>
      </c>
      <c r="AQ24" s="412"/>
    </row>
    <row r="25" spans="3:43" ht="15.75" thickBot="1" x14ac:dyDescent="0.3">
      <c r="C25" s="239" t="s">
        <v>18</v>
      </c>
      <c r="D25" s="413" t="s">
        <v>17</v>
      </c>
      <c r="E25" s="413"/>
      <c r="F25" s="240" t="s">
        <v>16</v>
      </c>
      <c r="G25" s="241" t="s">
        <v>15</v>
      </c>
      <c r="I25" s="239" t="s">
        <v>18</v>
      </c>
      <c r="J25" s="413" t="s">
        <v>17</v>
      </c>
      <c r="K25" s="413"/>
      <c r="L25" s="240" t="s">
        <v>16</v>
      </c>
      <c r="M25" s="241" t="s">
        <v>15</v>
      </c>
      <c r="O25" s="239" t="s">
        <v>18</v>
      </c>
      <c r="P25" s="413" t="s">
        <v>17</v>
      </c>
      <c r="Q25" s="413"/>
      <c r="R25" s="240" t="s">
        <v>16</v>
      </c>
      <c r="S25" s="241" t="s">
        <v>15</v>
      </c>
      <c r="U25" s="239" t="s">
        <v>18</v>
      </c>
      <c r="V25" s="413" t="s">
        <v>17</v>
      </c>
      <c r="W25" s="413"/>
      <c r="X25" s="240" t="s">
        <v>16</v>
      </c>
      <c r="Y25" s="241" t="s">
        <v>15</v>
      </c>
      <c r="AA25" s="239" t="s">
        <v>18</v>
      </c>
      <c r="AB25" s="413" t="s">
        <v>17</v>
      </c>
      <c r="AC25" s="413"/>
      <c r="AD25" s="240" t="s">
        <v>16</v>
      </c>
      <c r="AE25" s="241" t="s">
        <v>15</v>
      </c>
      <c r="AG25" s="239" t="s">
        <v>18</v>
      </c>
      <c r="AH25" s="413" t="s">
        <v>17</v>
      </c>
      <c r="AI25" s="413"/>
      <c r="AJ25" s="240" t="s">
        <v>16</v>
      </c>
      <c r="AK25" s="241" t="s">
        <v>15</v>
      </c>
      <c r="AM25" s="239" t="s">
        <v>18</v>
      </c>
      <c r="AN25" s="413" t="s">
        <v>17</v>
      </c>
      <c r="AO25" s="413"/>
      <c r="AP25" s="240" t="s">
        <v>16</v>
      </c>
      <c r="AQ25" s="241" t="s">
        <v>15</v>
      </c>
    </row>
    <row r="26" spans="3:43" ht="16.5" thickTop="1" thickBot="1" x14ac:dyDescent="0.3">
      <c r="C26" s="11" t="s">
        <v>14</v>
      </c>
      <c r="D26" s="10">
        <v>85</v>
      </c>
      <c r="E26" s="10">
        <v>100</v>
      </c>
      <c r="F26" s="9">
        <f>IFERROR(D26/E26,0)</f>
        <v>0.85</v>
      </c>
      <c r="G26" s="8"/>
      <c r="I26" s="11" t="s">
        <v>14</v>
      </c>
      <c r="J26" s="10">
        <v>91</v>
      </c>
      <c r="K26" s="10">
        <v>100</v>
      </c>
      <c r="L26" s="9">
        <f>IFERROR(J26/K26,0)</f>
        <v>0.91</v>
      </c>
      <c r="M26" s="8"/>
      <c r="O26" s="11" t="s">
        <v>14</v>
      </c>
      <c r="P26" s="10">
        <v>88</v>
      </c>
      <c r="Q26" s="10">
        <v>100</v>
      </c>
      <c r="R26" s="9">
        <f>IFERROR(P26/Q26,0)</f>
        <v>0.88</v>
      </c>
      <c r="S26" s="8"/>
      <c r="U26" s="11" t="s">
        <v>14</v>
      </c>
      <c r="V26" s="10">
        <v>100</v>
      </c>
      <c r="W26" s="10">
        <v>100</v>
      </c>
      <c r="X26" s="9">
        <f>IFERROR(V26/W26,0)</f>
        <v>1</v>
      </c>
      <c r="Y26" s="8"/>
      <c r="AA26" s="11" t="s">
        <v>14</v>
      </c>
      <c r="AB26" s="10">
        <v>70</v>
      </c>
      <c r="AC26" s="10">
        <v>100</v>
      </c>
      <c r="AD26" s="9">
        <f>IFERROR(AB26/AC26,0)</f>
        <v>0.7</v>
      </c>
      <c r="AE26" s="8"/>
      <c r="AG26" s="11" t="s">
        <v>14</v>
      </c>
      <c r="AH26" s="10">
        <v>80</v>
      </c>
      <c r="AI26" s="10">
        <v>100</v>
      </c>
      <c r="AJ26" s="9">
        <f>IFERROR(AH26/AI26,0)</f>
        <v>0.8</v>
      </c>
      <c r="AK26" s="8"/>
      <c r="AM26" s="11" t="s">
        <v>14</v>
      </c>
      <c r="AN26" s="10">
        <v>80</v>
      </c>
      <c r="AO26" s="10">
        <v>100</v>
      </c>
      <c r="AP26" s="9">
        <f>IFERROR(AN26/AO26,0)</f>
        <v>0.8</v>
      </c>
      <c r="AQ26" s="8"/>
    </row>
    <row r="27" spans="3:43" ht="16.5" thickTop="1" thickBot="1" x14ac:dyDescent="0.3">
      <c r="C27" s="403"/>
      <c r="D27" s="404"/>
      <c r="E27" s="404"/>
      <c r="F27" s="404"/>
      <c r="G27" s="405"/>
      <c r="I27" s="403"/>
      <c r="J27" s="404"/>
      <c r="K27" s="404"/>
      <c r="L27" s="404"/>
      <c r="M27" s="405"/>
      <c r="O27" s="403"/>
      <c r="P27" s="404"/>
      <c r="Q27" s="404"/>
      <c r="R27" s="404"/>
      <c r="S27" s="405"/>
      <c r="U27" s="403"/>
      <c r="V27" s="404"/>
      <c r="W27" s="404"/>
      <c r="X27" s="404"/>
      <c r="Y27" s="405"/>
      <c r="AA27" s="403"/>
      <c r="AB27" s="404"/>
      <c r="AC27" s="404"/>
      <c r="AD27" s="404"/>
      <c r="AE27" s="405"/>
      <c r="AG27" s="403"/>
      <c r="AH27" s="404"/>
      <c r="AI27" s="404"/>
      <c r="AJ27" s="404"/>
      <c r="AK27" s="405"/>
      <c r="AM27" s="403"/>
      <c r="AN27" s="404"/>
      <c r="AO27" s="404"/>
      <c r="AP27" s="404"/>
      <c r="AQ27" s="405"/>
    </row>
    <row r="28" spans="3:43" ht="15.75" thickTop="1" x14ac:dyDescent="0.25"/>
    <row r="34" spans="55:55" x14ac:dyDescent="0.25">
      <c r="BC34" s="1" t="s">
        <v>529</v>
      </c>
    </row>
  </sheetData>
  <mergeCells count="118">
    <mergeCell ref="AG15:AH15"/>
    <mergeCell ref="AG16:AH16"/>
    <mergeCell ref="AG17:AH17"/>
    <mergeCell ref="AG18:AH18"/>
    <mergeCell ref="AG19:AH19"/>
    <mergeCell ref="AG20:AH20"/>
    <mergeCell ref="AA16:AB16"/>
    <mergeCell ref="AA17:AB17"/>
    <mergeCell ref="AA18:AB18"/>
    <mergeCell ref="AA20:AB20"/>
    <mergeCell ref="AA19:AB19"/>
    <mergeCell ref="AA15:AB15"/>
    <mergeCell ref="O27:S27"/>
    <mergeCell ref="I27:M27"/>
    <mergeCell ref="C27:G27"/>
    <mergeCell ref="AM22:AQ22"/>
    <mergeCell ref="AP24:AQ24"/>
    <mergeCell ref="AN25:AO25"/>
    <mergeCell ref="AM27:AQ27"/>
    <mergeCell ref="AG27:AK27"/>
    <mergeCell ref="R24:S24"/>
    <mergeCell ref="P25:Q25"/>
    <mergeCell ref="F24:G24"/>
    <mergeCell ref="D25:E25"/>
    <mergeCell ref="AD24:AE24"/>
    <mergeCell ref="AB25:AC25"/>
    <mergeCell ref="AG22:AK22"/>
    <mergeCell ref="AJ24:AK24"/>
    <mergeCell ref="AH25:AI25"/>
    <mergeCell ref="AA22:AE22"/>
    <mergeCell ref="J25:K25"/>
    <mergeCell ref="AA27:AE27"/>
    <mergeCell ref="U27:Y27"/>
    <mergeCell ref="U22:Y22"/>
    <mergeCell ref="X24:Y24"/>
    <mergeCell ref="V25:W25"/>
    <mergeCell ref="O16:P16"/>
    <mergeCell ref="O17:P17"/>
    <mergeCell ref="O18:P18"/>
    <mergeCell ref="O20:P20"/>
    <mergeCell ref="O22:S22"/>
    <mergeCell ref="O19:P19"/>
    <mergeCell ref="U19:V19"/>
    <mergeCell ref="O15:P15"/>
    <mergeCell ref="C9:G9"/>
    <mergeCell ref="I15:J15"/>
    <mergeCell ref="I16:J16"/>
    <mergeCell ref="I17:J17"/>
    <mergeCell ref="I18:J18"/>
    <mergeCell ref="I20:J20"/>
    <mergeCell ref="I22:M22"/>
    <mergeCell ref="U15:V15"/>
    <mergeCell ref="U16:V16"/>
    <mergeCell ref="U17:V17"/>
    <mergeCell ref="U18:V18"/>
    <mergeCell ref="U20:V20"/>
    <mergeCell ref="L24:M24"/>
    <mergeCell ref="C16:D16"/>
    <mergeCell ref="C17:D17"/>
    <mergeCell ref="C18:D18"/>
    <mergeCell ref="C20:D20"/>
    <mergeCell ref="C22:G22"/>
    <mergeCell ref="C19:D19"/>
    <mergeCell ref="I19:J19"/>
    <mergeCell ref="C15:D15"/>
    <mergeCell ref="B2:D2"/>
    <mergeCell ref="E2:G2"/>
    <mergeCell ref="B3:C3"/>
    <mergeCell ref="E3:F3"/>
    <mergeCell ref="B4:C4"/>
    <mergeCell ref="E4:F4"/>
    <mergeCell ref="C7:D7"/>
    <mergeCell ref="I7:J7"/>
    <mergeCell ref="O7:P7"/>
    <mergeCell ref="C6:G6"/>
    <mergeCell ref="I6:M6"/>
    <mergeCell ref="O6:S6"/>
    <mergeCell ref="AA13:AE13"/>
    <mergeCell ref="I9:M9"/>
    <mergeCell ref="O9:S9"/>
    <mergeCell ref="U9:Y9"/>
    <mergeCell ref="AA9:AE9"/>
    <mergeCell ref="AM6:AQ6"/>
    <mergeCell ref="AM7:AN7"/>
    <mergeCell ref="AM8:AN8"/>
    <mergeCell ref="AM9:AQ9"/>
    <mergeCell ref="AM13:AQ13"/>
    <mergeCell ref="U7:V7"/>
    <mergeCell ref="AA7:AB7"/>
    <mergeCell ref="U6:Y6"/>
    <mergeCell ref="AA6:AE6"/>
    <mergeCell ref="AG6:AK6"/>
    <mergeCell ref="AG7:AH7"/>
    <mergeCell ref="AG8:AH8"/>
    <mergeCell ref="AM14:AN14"/>
    <mergeCell ref="AM15:AN15"/>
    <mergeCell ref="AM16:AN16"/>
    <mergeCell ref="AM17:AN17"/>
    <mergeCell ref="AM18:AN18"/>
    <mergeCell ref="AM19:AN19"/>
    <mergeCell ref="AM20:AN20"/>
    <mergeCell ref="C8:D8"/>
    <mergeCell ref="I8:J8"/>
    <mergeCell ref="O8:P8"/>
    <mergeCell ref="U8:V8"/>
    <mergeCell ref="AA8:AB8"/>
    <mergeCell ref="AG9:AK9"/>
    <mergeCell ref="AG13:AK13"/>
    <mergeCell ref="AG14:AH14"/>
    <mergeCell ref="C14:D14"/>
    <mergeCell ref="I14:J14"/>
    <mergeCell ref="O14:P14"/>
    <mergeCell ref="U14:V14"/>
    <mergeCell ref="AA14:AB14"/>
    <mergeCell ref="C13:G13"/>
    <mergeCell ref="I13:M13"/>
    <mergeCell ref="O13:S13"/>
    <mergeCell ref="U13:Y13"/>
  </mergeCells>
  <conditionalFormatting sqref="E14:E20">
    <cfRule type="expression" dxfId="75" priority="10">
      <formula>IF((CELLV)&gt;(1-LSFa),1,0)</formula>
    </cfRule>
  </conditionalFormatting>
  <conditionalFormatting sqref="G14:G20">
    <cfRule type="expression" dxfId="74" priority="9">
      <formula>IF((CELLV)&gt;(1-LSFa),1,0)</formula>
    </cfRule>
  </conditionalFormatting>
  <conditionalFormatting sqref="K14:K20">
    <cfRule type="expression" dxfId="73" priority="8">
      <formula>IF((CELLV)&gt;(1-LSFb),1,0)</formula>
    </cfRule>
  </conditionalFormatting>
  <conditionalFormatting sqref="M14:M20">
    <cfRule type="expression" dxfId="72" priority="7">
      <formula>IF((CELLV)&gt;(1-LSFb),1,0)</formula>
    </cfRule>
  </conditionalFormatting>
  <conditionalFormatting sqref="AE14:AE20">
    <cfRule type="expression" dxfId="71" priority="1">
      <formula>IF((CELLV)&gt;(1-LSFe),1,0)</formula>
    </cfRule>
  </conditionalFormatting>
  <conditionalFormatting sqref="Q14:Q20">
    <cfRule type="expression" dxfId="70" priority="6">
      <formula>IF((CELLV)&gt;(1-LSFc),1,0)</formula>
    </cfRule>
  </conditionalFormatting>
  <conditionalFormatting sqref="S14:S20">
    <cfRule type="expression" dxfId="69" priority="5">
      <formula>IF((CELLV)&gt;(1-LSFc),1,0)</formula>
    </cfRule>
  </conditionalFormatting>
  <conditionalFormatting sqref="W14:W20">
    <cfRule type="expression" dxfId="68" priority="4">
      <formula>IF((CELLV)&gt;(1-LSFd),1,0)</formula>
    </cfRule>
  </conditionalFormatting>
  <conditionalFormatting sqref="Y14:Y20">
    <cfRule type="expression" dxfId="67" priority="3">
      <formula>IF((CELLV)&gt;(1-LSFd),1,0)</formula>
    </cfRule>
  </conditionalFormatting>
  <conditionalFormatting sqref="AC14:AC20">
    <cfRule type="expression" dxfId="66" priority="2">
      <formula>IF((CELLV)&gt;(1-LSFe),1,0)</formula>
    </cfRule>
  </conditionalFormatting>
  <dataValidations count="3">
    <dataValidation type="list" allowBlank="1" showInputMessage="1" showErrorMessage="1" sqref="K8 Q8 W8 AC8 AI8 E8 AO8" xr:uid="{8FA99D5D-5BDF-4C92-837A-5513E34145B9}">
      <formula1>"0,1,2,3,4,5,6,7"</formula1>
    </dataValidation>
    <dataValidation type="list" allowBlank="1" showInputMessage="1" showErrorMessage="1" sqref="G8 M8 S8 Y8 AK8 AE8 AQ8" xr:uid="{E2351F9E-600D-4386-B97D-258BFA474FE9}">
      <formula1>",Class,Retaken,Dropped,P/F,Research"</formula1>
    </dataValidation>
    <dataValidation type="whole" operator="greaterThan" allowBlank="1" showInputMessage="1" showErrorMessage="1" sqref="E23 K23 Q23 W23 AC23 AI23 AO23" xr:uid="{4F401822-B63A-4699-A39D-316BFEADD0AA}">
      <formula1>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F4DB2E2-09EE-4018-83D9-1CCB98F8ECBC}">
          <x14:formula1>
            <xm:f>OFFSET(Settings!$L$4,0,0,INDIRECT(ADDRESS(ROW(),COLUMN()+2))+1,1)</xm:f>
          </x14:formula1>
          <xm:sqref>C23 I23 O23 U23 AA23 AG23 AM23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1A4C-0598-47B1-9A8D-1C41BA18AEA8}">
  <sheetPr>
    <tabColor theme="4"/>
  </sheetPr>
  <dimension ref="B1:G28"/>
  <sheetViews>
    <sheetView showGridLines="0" zoomScale="91" zoomScaleNormal="91" workbookViewId="0">
      <selection activeCell="I10" sqref="I10"/>
    </sheetView>
  </sheetViews>
  <sheetFormatPr defaultRowHeight="15" x14ac:dyDescent="0.25"/>
  <cols>
    <col min="1" max="1" width="4" style="1" customWidth="1"/>
    <col min="2" max="2" width="9.140625" style="1"/>
    <col min="3" max="3" width="7.7109375" style="1" customWidth="1"/>
    <col min="4" max="4" width="6" style="1" customWidth="1"/>
    <col min="5" max="5" width="7.85546875" style="1" customWidth="1"/>
    <col min="6" max="6" width="10.140625" style="1" bestFit="1" customWidth="1"/>
    <col min="7" max="7" width="9.140625" style="1"/>
    <col min="8" max="8" width="3" style="1" customWidth="1"/>
    <col min="9" max="9" width="11.5703125" style="1" customWidth="1"/>
    <col min="10" max="10" width="6.42578125" style="1" customWidth="1"/>
    <col min="11" max="11" width="7.85546875" style="1" customWidth="1"/>
    <col min="12" max="12" width="10.28515625" style="1" customWidth="1"/>
    <col min="13" max="13" width="9.140625" style="1"/>
    <col min="14" max="14" width="3.28515625" style="1" customWidth="1"/>
    <col min="15" max="15" width="8.85546875" style="1" customWidth="1"/>
    <col min="16" max="16" width="6.140625" style="1" customWidth="1"/>
    <col min="17" max="17" width="7.42578125" style="1" customWidth="1"/>
    <col min="18" max="18" width="10.28515625" style="1" customWidth="1"/>
    <col min="19" max="19" width="9.140625" style="1"/>
    <col min="20" max="20" width="3.140625" style="1" customWidth="1"/>
    <col min="21" max="21" width="9.140625" style="1"/>
    <col min="22" max="22" width="6.5703125" style="1" customWidth="1"/>
    <col min="23" max="23" width="8.2851562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16384" width="9.140625" style="1"/>
  </cols>
  <sheetData>
    <row r="1" spans="2:7" ht="15.75" thickBot="1" x14ac:dyDescent="0.3"/>
    <row r="2" spans="2:7" ht="16.5" thickTop="1" thickBot="1" x14ac:dyDescent="0.3">
      <c r="B2" s="394" t="s">
        <v>120</v>
      </c>
      <c r="C2" s="395"/>
      <c r="D2" s="395"/>
      <c r="E2" s="395" t="s">
        <v>215</v>
      </c>
      <c r="F2" s="395"/>
      <c r="G2" s="396"/>
    </row>
    <row r="3" spans="2:7" ht="15.75" thickTop="1" x14ac:dyDescent="0.25">
      <c r="B3" s="397" t="s">
        <v>118</v>
      </c>
      <c r="C3" s="398"/>
      <c r="D3" s="245">
        <f>COUNTIF(6:6,"*")</f>
        <v>1</v>
      </c>
      <c r="E3" s="399" t="s">
        <v>117</v>
      </c>
      <c r="F3" s="398"/>
      <c r="G3" s="101">
        <f ca="1">G4/SUM(IF(OR(G8="P/F",G8="Dropped",G8="Retaken"),0,E8),IF(OR(M8="P/F",M8="Dropped",M8="Retaken"),0,K8),IF(OR(S8="P/F",S8="Dropped",S8="Retaken"),0,Q8),IF(OR(Y8="P/F",Y8="Dropped",Y8="Retaken"),0,W8),IF(OR(AE8="P/F",AE8="Dropped",AE8="Retaken"),0,AC8),IF(OR(AK8="P/F",AK8="Dropped",AK8="Retaken"),0,AI8),IF(OR(AQ8="P/F",AQ8="Dropped",AQ8="Retaken"),0,AO8))</f>
        <v>3</v>
      </c>
    </row>
    <row r="4" spans="2:7" ht="15.75" thickBot="1" x14ac:dyDescent="0.3">
      <c r="B4" s="400" t="s">
        <v>115</v>
      </c>
      <c r="C4" s="401"/>
      <c r="D4" s="244">
        <f>SUMIF(8:8,"&lt;&gt;#N/A")</f>
        <v>5</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15</v>
      </c>
    </row>
    <row r="5" spans="2:7" ht="16.5" thickTop="1" thickBot="1" x14ac:dyDescent="0.3"/>
    <row r="6" spans="2:7" ht="16.5" thickTop="1" thickBot="1" x14ac:dyDescent="0.3">
      <c r="C6" s="382" t="s">
        <v>140</v>
      </c>
      <c r="D6" s="383"/>
      <c r="E6" s="383"/>
      <c r="F6" s="383"/>
      <c r="G6" s="384"/>
    </row>
    <row r="7" spans="2:7" x14ac:dyDescent="0.25">
      <c r="C7" s="385" t="s">
        <v>106</v>
      </c>
      <c r="D7" s="386"/>
      <c r="E7" s="99">
        <f ca="1">COUNTIF(F$6:F$36,"Weight*")</f>
        <v>1</v>
      </c>
      <c r="F7" s="100" t="s">
        <v>105</v>
      </c>
      <c r="G7" s="97" t="s">
        <v>141</v>
      </c>
    </row>
    <row r="8" spans="2:7" ht="15.75" thickBot="1" x14ac:dyDescent="0.3">
      <c r="C8" s="377" t="s">
        <v>102</v>
      </c>
      <c r="D8" s="378"/>
      <c r="E8" s="95">
        <v>5</v>
      </c>
      <c r="F8" s="299" t="s">
        <v>101</v>
      </c>
      <c r="G8" s="93" t="s">
        <v>100</v>
      </c>
    </row>
    <row r="9" spans="2:7" ht="15.75" thickTop="1" x14ac:dyDescent="0.25">
      <c r="C9" s="379" t="s">
        <v>99</v>
      </c>
      <c r="D9" s="380"/>
      <c r="E9" s="380"/>
      <c r="F9" s="380"/>
      <c r="G9" s="381"/>
    </row>
    <row r="10" spans="2:7" x14ac:dyDescent="0.25">
      <c r="C10" s="92" t="s">
        <v>98</v>
      </c>
      <c r="D10" s="300"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B</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0.85</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0.15000000000000002</v>
      </c>
    </row>
    <row r="11" spans="2:7" ht="15.75" thickBot="1" x14ac:dyDescent="0.3">
      <c r="C11" s="88" t="s">
        <v>96</v>
      </c>
      <c r="D11" s="87"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v>
      </c>
      <c r="E11" s="86"/>
      <c r="F11" s="86" t="s">
        <v>95</v>
      </c>
      <c r="G11" s="242" cm="1">
        <f t="array" aca="1" ref="G11" ca="1">IF(OR(QPtCT="Dropped",QPtCT="P/F"),"NA",QPtGPA*QPtCR)</f>
        <v>15</v>
      </c>
    </row>
    <row r="12" spans="2:7" ht="12" customHeight="1" thickTop="1" thickBot="1" x14ac:dyDescent="0.3"/>
    <row r="13" spans="2:7" ht="16.5" thickTop="1" thickBot="1" x14ac:dyDescent="0.3">
      <c r="C13" s="389" t="s">
        <v>327</v>
      </c>
      <c r="D13" s="390"/>
      <c r="E13" s="390"/>
      <c r="F13" s="390"/>
      <c r="G13" s="391"/>
    </row>
    <row r="14" spans="2:7" ht="15.75" thickTop="1" x14ac:dyDescent="0.25">
      <c r="C14" s="392" t="s">
        <v>13</v>
      </c>
      <c r="D14" s="393"/>
      <c r="E14" s="231">
        <f>0.92</f>
        <v>0.92</v>
      </c>
      <c r="F14" s="368" t="s">
        <v>6</v>
      </c>
      <c r="G14" s="4">
        <f>0.69</f>
        <v>0.69</v>
      </c>
    </row>
    <row r="15" spans="2:7" x14ac:dyDescent="0.25">
      <c r="C15" s="387" t="s">
        <v>12</v>
      </c>
      <c r="D15" s="388"/>
      <c r="E15" s="231">
        <f>0.89</f>
        <v>0.89</v>
      </c>
      <c r="F15" s="368" t="s">
        <v>5</v>
      </c>
      <c r="G15" s="4">
        <f>0.66</f>
        <v>0.66</v>
      </c>
    </row>
    <row r="16" spans="2:7" x14ac:dyDescent="0.25">
      <c r="C16" s="387" t="s">
        <v>11</v>
      </c>
      <c r="D16" s="388"/>
      <c r="E16" s="231">
        <f>0.86</f>
        <v>0.86</v>
      </c>
      <c r="F16" s="368" t="s">
        <v>4</v>
      </c>
      <c r="G16" s="4">
        <f>0.61</f>
        <v>0.61</v>
      </c>
    </row>
    <row r="17" spans="3:7" x14ac:dyDescent="0.25">
      <c r="C17" s="387" t="s">
        <v>10</v>
      </c>
      <c r="D17" s="388"/>
      <c r="E17" s="231">
        <f>0.81</f>
        <v>0.81</v>
      </c>
      <c r="F17" s="368" t="s">
        <v>3</v>
      </c>
      <c r="G17" s="4">
        <v>0.56999999999999995</v>
      </c>
    </row>
    <row r="18" spans="3:7" x14ac:dyDescent="0.25">
      <c r="C18" s="387" t="s">
        <v>9</v>
      </c>
      <c r="D18" s="388"/>
      <c r="E18" s="231">
        <f>0.79</f>
        <v>0.79</v>
      </c>
      <c r="F18" s="7" t="s">
        <v>2</v>
      </c>
      <c r="G18" s="270">
        <f>0.5</f>
        <v>0.5</v>
      </c>
    </row>
    <row r="19" spans="3:7" x14ac:dyDescent="0.25">
      <c r="C19" s="387" t="s">
        <v>8</v>
      </c>
      <c r="D19" s="388"/>
      <c r="E19" s="231">
        <f>0.76</f>
        <v>0.76</v>
      </c>
      <c r="F19" s="368" t="s">
        <v>1</v>
      </c>
      <c r="G19" s="4">
        <f>G16</f>
        <v>0.61</v>
      </c>
    </row>
    <row r="20" spans="3:7" ht="15.75" thickBot="1" x14ac:dyDescent="0.3">
      <c r="C20" s="406" t="s">
        <v>7</v>
      </c>
      <c r="D20" s="407"/>
      <c r="E20" s="232">
        <f>0.71</f>
        <v>0.71</v>
      </c>
      <c r="F20" s="367" t="s">
        <v>0</v>
      </c>
      <c r="G20" s="2">
        <f>IFERROR('Semester 1'!AD30/F20,0)</f>
        <v>0</v>
      </c>
    </row>
    <row r="21" spans="3:7" ht="16.5" thickTop="1" thickBot="1" x14ac:dyDescent="0.3"/>
    <row r="22" spans="3:7" ht="16.5" thickTop="1" thickBot="1" x14ac:dyDescent="0.3">
      <c r="C22" s="408" t="s">
        <v>426</v>
      </c>
      <c r="D22" s="409"/>
      <c r="E22" s="409"/>
      <c r="F22" s="409"/>
      <c r="G22" s="410"/>
    </row>
    <row r="23" spans="3:7" ht="16.5" thickTop="1" thickBot="1" x14ac:dyDescent="0.3">
      <c r="C23" s="237">
        <v>1</v>
      </c>
      <c r="D23" s="235" t="s">
        <v>326</v>
      </c>
      <c r="E23" s="236">
        <v>1</v>
      </c>
      <c r="F23" s="233" t="s">
        <v>19</v>
      </c>
      <c r="G23" s="234">
        <f>1</f>
        <v>1</v>
      </c>
    </row>
    <row r="24" spans="3:7" ht="15.75" thickTop="1" x14ac:dyDescent="0.25">
      <c r="C24" s="238" t="s">
        <v>98</v>
      </c>
      <c r="D24" s="254">
        <f ca="1">SUM(EtCT:downtwo)</f>
        <v>85</v>
      </c>
      <c r="E24" s="254">
        <f ca="1">SUM(TtCT:downtwo)</f>
        <v>100</v>
      </c>
      <c r="F24" s="411">
        <f ca="1">IFERROR(D24/E24,0)</f>
        <v>0.85</v>
      </c>
      <c r="G24" s="412"/>
    </row>
    <row r="25" spans="3:7" ht="15.75" thickBot="1" x14ac:dyDescent="0.3">
      <c r="C25" s="239" t="s">
        <v>18</v>
      </c>
      <c r="D25" s="413" t="s">
        <v>17</v>
      </c>
      <c r="E25" s="413"/>
      <c r="F25" s="240" t="s">
        <v>16</v>
      </c>
      <c r="G25" s="241" t="s">
        <v>15</v>
      </c>
    </row>
    <row r="26" spans="3:7" ht="16.5" thickTop="1" thickBot="1" x14ac:dyDescent="0.3">
      <c r="C26" s="11" t="s">
        <v>14</v>
      </c>
      <c r="D26" s="10">
        <v>85</v>
      </c>
      <c r="E26" s="10">
        <v>100</v>
      </c>
      <c r="F26" s="9">
        <f>IFERROR(D26/E26,0)</f>
        <v>0.85</v>
      </c>
      <c r="G26" s="8"/>
    </row>
    <row r="27" spans="3:7" ht="16.5" thickTop="1" thickBot="1" x14ac:dyDescent="0.3">
      <c r="C27" s="403"/>
      <c r="D27" s="404"/>
      <c r="E27" s="404"/>
      <c r="F27" s="404"/>
      <c r="G27" s="405"/>
    </row>
    <row r="28" spans="3:7" ht="15.75" thickTop="1" x14ac:dyDescent="0.25"/>
  </sheetData>
  <mergeCells count="22">
    <mergeCell ref="C20:D20"/>
    <mergeCell ref="C22:G22"/>
    <mergeCell ref="F24:G24"/>
    <mergeCell ref="D25:E25"/>
    <mergeCell ref="C27:G27"/>
    <mergeCell ref="C19:D19"/>
    <mergeCell ref="C14:D14"/>
    <mergeCell ref="C13:G13"/>
    <mergeCell ref="C9:G9"/>
    <mergeCell ref="C15:D15"/>
    <mergeCell ref="C16:D16"/>
    <mergeCell ref="C17:D17"/>
    <mergeCell ref="C18:D18"/>
    <mergeCell ref="C8:D8"/>
    <mergeCell ref="C7:D7"/>
    <mergeCell ref="C6:G6"/>
    <mergeCell ref="B2:D2"/>
    <mergeCell ref="E2:G2"/>
    <mergeCell ref="B3:C3"/>
    <mergeCell ref="E3:F3"/>
    <mergeCell ref="B4:C4"/>
    <mergeCell ref="E4:F4"/>
  </mergeCells>
  <conditionalFormatting sqref="E14:E20">
    <cfRule type="expression" dxfId="65" priority="2">
      <formula>IF((CELLV)&gt;(1-LSFa),1,0)</formula>
    </cfRule>
  </conditionalFormatting>
  <conditionalFormatting sqref="G14:G20">
    <cfRule type="expression" dxfId="64" priority="1">
      <formula>IF((CELLV)&gt;(1-LSFa),1,0)</formula>
    </cfRule>
  </conditionalFormatting>
  <dataValidations count="3">
    <dataValidation type="whole" operator="greaterThan" allowBlank="1" showInputMessage="1" showErrorMessage="1" sqref="E23" xr:uid="{4F401822-B63A-4699-A39D-316BFEADD0AA}">
      <formula1>0</formula1>
    </dataValidation>
    <dataValidation type="list" allowBlank="1" showInputMessage="1" showErrorMessage="1" sqref="E8" xr:uid="{E57A45F1-B983-47B3-9446-988E62CD5B75}">
      <formula1>"NA,1,2,3,4,5,6,7"</formula1>
    </dataValidation>
    <dataValidation type="list" allowBlank="1" showInputMessage="1" showErrorMessage="1" sqref="G8" xr:uid="{E2351F9E-600D-4386-B97D-258BFA474FE9}">
      <formula1>",Class,Retaken,Dropped,P/F,Research"</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F4DB2E2-09EE-4018-83D9-1CCB98F8ECBC}">
          <x14:formula1>
            <xm:f>OFFSET(Settings!$L$4,0,0,INDIRECT(ADDRESS(ROW(),COLUMN()+2))+1,1)</xm:f>
          </x14:formula1>
          <xm:sqref>C23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18CB8-345E-41E7-A84D-4C7976447857}">
  <sheetPr>
    <tabColor theme="7"/>
  </sheetPr>
  <dimension ref="B1:AK28"/>
  <sheetViews>
    <sheetView showGridLines="0" topLeftCell="U1" zoomScaleNormal="100" workbookViewId="0">
      <selection activeCell="D34" sqref="D34"/>
    </sheetView>
  </sheetViews>
  <sheetFormatPr defaultRowHeight="15" x14ac:dyDescent="0.25"/>
  <cols>
    <col min="1" max="1" width="4" style="1" customWidth="1"/>
    <col min="2" max="2" width="9.140625" style="1"/>
    <col min="3" max="3" width="7.7109375" style="1" customWidth="1"/>
    <col min="4" max="4" width="6" style="1" customWidth="1"/>
    <col min="5" max="5" width="7.85546875" style="1" customWidth="1"/>
    <col min="6" max="6" width="10.140625" style="1" bestFit="1" customWidth="1"/>
    <col min="7" max="7" width="9.140625" style="1"/>
    <col min="8" max="8" width="3" style="1" customWidth="1"/>
    <col min="9" max="9" width="11.5703125" style="1" customWidth="1"/>
    <col min="10" max="10" width="6.42578125" style="1" customWidth="1"/>
    <col min="11" max="11" width="7.85546875" style="1" customWidth="1"/>
    <col min="12" max="12" width="10.28515625" style="1" customWidth="1"/>
    <col min="13" max="13" width="9.140625" style="1"/>
    <col min="14" max="14" width="3.28515625" style="1" customWidth="1"/>
    <col min="15" max="15" width="8.85546875" style="1" customWidth="1"/>
    <col min="16" max="16" width="6.140625" style="1" customWidth="1"/>
    <col min="17" max="17" width="7.42578125" style="1" customWidth="1"/>
    <col min="18" max="18" width="10.28515625" style="1" customWidth="1"/>
    <col min="19" max="19" width="9.140625" style="1"/>
    <col min="20" max="20" width="3.140625" style="1" customWidth="1"/>
    <col min="21" max="21" width="9.140625" style="1"/>
    <col min="22" max="22" width="6.5703125" style="1" customWidth="1"/>
    <col min="23" max="23" width="8.2851562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16384" width="9.140625" style="1"/>
  </cols>
  <sheetData>
    <row r="1" spans="2:37" ht="15.75" thickBot="1" x14ac:dyDescent="0.3"/>
    <row r="2" spans="2:37" ht="16.5" thickTop="1" thickBot="1" x14ac:dyDescent="0.3">
      <c r="B2" s="394" t="s">
        <v>120</v>
      </c>
      <c r="C2" s="395"/>
      <c r="D2" s="395"/>
      <c r="E2" s="395" t="s">
        <v>145</v>
      </c>
      <c r="F2" s="395"/>
      <c r="G2" s="396"/>
    </row>
    <row r="3" spans="2:37" ht="15.75" thickTop="1" x14ac:dyDescent="0.25">
      <c r="B3" s="397" t="s">
        <v>118</v>
      </c>
      <c r="C3" s="398"/>
      <c r="D3" s="245">
        <f>COUNTIF(6:6,"*")</f>
        <v>6</v>
      </c>
      <c r="E3" s="399" t="s">
        <v>117</v>
      </c>
      <c r="F3" s="398"/>
      <c r="G3" s="101">
        <f ca="1">G4/SUM(IF(OR(G8="P/F",G8="Dropped",G8="Retaken"),0,E8),IF(OR(M8="P/F",M8="Dropped",M8="Retaken"),0,K8),IF(OR(S8="P/F",S8="Dropped",S8="Retaken"),0,Q8),IF(OR(Y8="P/F",Y8="Dropped",Y8="Retaken"),0,W8),IF(OR(AE8="P/F",AE8="Dropped",AE8="Retaken"),0,AC8),IF(OR(AK8="P/F",AK8="Dropped",AK8="Retaken"),0,AI8),IF(OR(AQ8="P/F",AQ8="Dropped",AQ8="Retaken"),0,AO8))</f>
        <v>2.5299999999999998</v>
      </c>
    </row>
    <row r="4" spans="2:37" ht="15.75" thickBot="1" x14ac:dyDescent="0.3">
      <c r="B4" s="400" t="s">
        <v>115</v>
      </c>
      <c r="C4" s="401"/>
      <c r="D4" s="244">
        <f>SUMIF(8:8,"&lt;&gt;#N/A")</f>
        <v>17</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43.01</v>
      </c>
    </row>
    <row r="5" spans="2:37" ht="16.5" thickTop="1" thickBot="1" x14ac:dyDescent="0.3"/>
    <row r="6" spans="2:37" ht="16.5" thickTop="1" thickBot="1" x14ac:dyDescent="0.3">
      <c r="C6" s="382" t="s">
        <v>135</v>
      </c>
      <c r="D6" s="383"/>
      <c r="E6" s="383"/>
      <c r="F6" s="383"/>
      <c r="G6" s="384"/>
      <c r="I6" s="382" t="s">
        <v>498</v>
      </c>
      <c r="J6" s="383"/>
      <c r="K6" s="383"/>
      <c r="L6" s="383"/>
      <c r="M6" s="384"/>
      <c r="O6" s="382" t="s">
        <v>276</v>
      </c>
      <c r="P6" s="383"/>
      <c r="Q6" s="383"/>
      <c r="R6" s="383"/>
      <c r="S6" s="384"/>
      <c r="U6" s="382" t="s">
        <v>456</v>
      </c>
      <c r="V6" s="383"/>
      <c r="W6" s="383"/>
      <c r="X6" s="383"/>
      <c r="Y6" s="384"/>
      <c r="AA6" s="382" t="s">
        <v>275</v>
      </c>
      <c r="AB6" s="383"/>
      <c r="AC6" s="383"/>
      <c r="AD6" s="383"/>
      <c r="AE6" s="384"/>
      <c r="AG6" s="382" t="s">
        <v>502</v>
      </c>
      <c r="AH6" s="383"/>
      <c r="AI6" s="383"/>
      <c r="AJ6" s="383"/>
      <c r="AK6" s="384"/>
    </row>
    <row r="7" spans="2:37" x14ac:dyDescent="0.25">
      <c r="C7" s="385" t="s">
        <v>106</v>
      </c>
      <c r="D7" s="386"/>
      <c r="E7" s="99">
        <f ca="1">COUNTIF(F$6:F$225,"Weight*")</f>
        <v>1</v>
      </c>
      <c r="F7" s="98" t="s">
        <v>105</v>
      </c>
      <c r="G7" s="97"/>
      <c r="I7" s="385" t="s">
        <v>106</v>
      </c>
      <c r="J7" s="386"/>
      <c r="K7" s="99">
        <f ca="1">COUNTIF(L$6:L$225,"Weight*")</f>
        <v>1</v>
      </c>
      <c r="L7" s="98" t="s">
        <v>105</v>
      </c>
      <c r="M7" s="97"/>
      <c r="O7" s="385" t="s">
        <v>106</v>
      </c>
      <c r="P7" s="386"/>
      <c r="Q7" s="99">
        <f ca="1">COUNTIF(R$6:R$225,"Weight*")</f>
        <v>1</v>
      </c>
      <c r="R7" s="98" t="s">
        <v>105</v>
      </c>
      <c r="S7" s="97"/>
      <c r="U7" s="385" t="s">
        <v>106</v>
      </c>
      <c r="V7" s="386"/>
      <c r="W7" s="99">
        <f ca="1">COUNTIF(X$6:X$225,"Weight*")</f>
        <v>1</v>
      </c>
      <c r="X7" s="98" t="s">
        <v>105</v>
      </c>
      <c r="Y7" s="97"/>
      <c r="AA7" s="385" t="s">
        <v>106</v>
      </c>
      <c r="AB7" s="386"/>
      <c r="AC7" s="99">
        <f ca="1">COUNTIF(AD$6:AD$225,"Weight*")</f>
        <v>1</v>
      </c>
      <c r="AD7" s="98" t="s">
        <v>105</v>
      </c>
      <c r="AE7" s="97" t="s">
        <v>133</v>
      </c>
      <c r="AG7" s="385" t="s">
        <v>106</v>
      </c>
      <c r="AH7" s="386"/>
      <c r="AI7" s="99">
        <f ca="1">COUNTIF(AJ$6:AJ$225,"Weight*")</f>
        <v>1</v>
      </c>
      <c r="AJ7" s="98" t="s">
        <v>105</v>
      </c>
      <c r="AK7" s="97"/>
    </row>
    <row r="8" spans="2:37" ht="15.75" thickBot="1" x14ac:dyDescent="0.3">
      <c r="C8" s="377" t="s">
        <v>102</v>
      </c>
      <c r="D8" s="378"/>
      <c r="E8" s="95">
        <v>3</v>
      </c>
      <c r="F8" s="94" t="s">
        <v>101</v>
      </c>
      <c r="G8" s="93" t="s">
        <v>100</v>
      </c>
      <c r="I8" s="377" t="s">
        <v>102</v>
      </c>
      <c r="J8" s="378"/>
      <c r="K8" s="95">
        <v>3</v>
      </c>
      <c r="L8" s="94" t="s">
        <v>101</v>
      </c>
      <c r="M8" s="93" t="s">
        <v>100</v>
      </c>
      <c r="O8" s="377" t="s">
        <v>102</v>
      </c>
      <c r="P8" s="378"/>
      <c r="Q8" s="95">
        <v>3</v>
      </c>
      <c r="R8" s="94" t="s">
        <v>101</v>
      </c>
      <c r="S8" s="93" t="s">
        <v>100</v>
      </c>
      <c r="U8" s="377" t="s">
        <v>102</v>
      </c>
      <c r="V8" s="378"/>
      <c r="W8" s="95">
        <v>3</v>
      </c>
      <c r="X8" s="94" t="s">
        <v>101</v>
      </c>
      <c r="Y8" s="93" t="s">
        <v>100</v>
      </c>
      <c r="AA8" s="377" t="s">
        <v>102</v>
      </c>
      <c r="AB8" s="378"/>
      <c r="AC8" s="95">
        <v>4</v>
      </c>
      <c r="AD8" s="94" t="s">
        <v>101</v>
      </c>
      <c r="AE8" s="93" t="s">
        <v>100</v>
      </c>
      <c r="AG8" s="377" t="s">
        <v>102</v>
      </c>
      <c r="AH8" s="378"/>
      <c r="AI8" s="95">
        <v>1</v>
      </c>
      <c r="AJ8" s="94" t="s">
        <v>101</v>
      </c>
      <c r="AK8" s="93" t="s">
        <v>100</v>
      </c>
    </row>
    <row r="9" spans="2:37" ht="15.75" thickTop="1" x14ac:dyDescent="0.25">
      <c r="C9" s="379" t="s">
        <v>99</v>
      </c>
      <c r="D9" s="380"/>
      <c r="E9" s="380"/>
      <c r="F9" s="380"/>
      <c r="G9" s="381"/>
      <c r="I9" s="379" t="s">
        <v>99</v>
      </c>
      <c r="J9" s="380"/>
      <c r="K9" s="380"/>
      <c r="L9" s="380"/>
      <c r="M9" s="381"/>
      <c r="O9" s="379" t="s">
        <v>99</v>
      </c>
      <c r="P9" s="380"/>
      <c r="Q9" s="380"/>
      <c r="R9" s="380"/>
      <c r="S9" s="381"/>
      <c r="U9" s="379" t="s">
        <v>99</v>
      </c>
      <c r="V9" s="380"/>
      <c r="W9" s="380"/>
      <c r="X9" s="380"/>
      <c r="Y9" s="381"/>
      <c r="AA9" s="379" t="s">
        <v>99</v>
      </c>
      <c r="AB9" s="380"/>
      <c r="AC9" s="380"/>
      <c r="AD9" s="380"/>
      <c r="AE9" s="381"/>
      <c r="AG9" s="379" t="s">
        <v>99</v>
      </c>
      <c r="AH9" s="380"/>
      <c r="AI9" s="380"/>
      <c r="AJ9" s="380"/>
      <c r="AK9" s="381"/>
    </row>
    <row r="10" spans="2:37" x14ac:dyDescent="0.25">
      <c r="C10" s="92" t="s">
        <v>98</v>
      </c>
      <c r="D10" s="300"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B-</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0.19999999999999996</v>
      </c>
      <c r="I10" s="92" t="s">
        <v>98</v>
      </c>
      <c r="J10" s="300" t="str" cm="1">
        <f t="array" aca="1" ref="J10" ca="1">IF(GRDtCT="Dropped","NA",IF(GRDtCT="P/F",IF(GRDtP&gt;=PtNPass,PtLPass,PtLFail),IF(GRDtP&gt;=PtNA,PtLA,IF(GRDtP&gt;=PtNAm,PtLAm,IF(GRDtP&gt;=PtNBp,PtLBp,IF(GRDtP&gt;=PtNB,PtLB,IF(GRDtP&gt;=PtNBm,PtLBm,IF(GRDtP&gt;=PtNCp,PtLCp,IF(GRDtP&gt;=PtNC,PtLC,IF(GRDtP&gt;=PtNCm,PtLCm,IF(GRDtP&gt;=PtNDp,PtLDp,IF(GRDtP&gt;=PtND,PtLD,IF(GRDtP&gt;=PtNDm,PtLDm,PtLF)))))))))))))</f>
        <v>B</v>
      </c>
      <c r="K10" s="90" cm="1">
        <f t="array" aca="1" ref="K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0.85</v>
      </c>
      <c r="L10" s="12" t="s">
        <v>97</v>
      </c>
      <c r="M10" s="89" cm="1">
        <f t="array" aca="1" ref="M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0.15000000000000002</v>
      </c>
      <c r="O10" s="92" t="s">
        <v>98</v>
      </c>
      <c r="P10" s="300" t="str" cm="1">
        <f t="array" aca="1" ref="P10" ca="1">IF(GRDtCT="Dropped","NA",IF(GRDtCT="P/F",IF(GRDtP&gt;=PtNPass,PtLPass,PtLFail),IF(GRDtP&gt;=PtNA,PtLA,IF(GRDtP&gt;=PtNAm,PtLAm,IF(GRDtP&gt;=PtNBp,PtLBp,IF(GRDtP&gt;=PtNB,PtLB,IF(GRDtP&gt;=PtNBm,PtLBm,IF(GRDtP&gt;=PtNCp,PtLCp,IF(GRDtP&gt;=PtNC,PtLC,IF(GRDtP&gt;=PtNCm,PtLCm,IF(GRDtP&gt;=PtNDp,PtLDp,IF(GRDtP&gt;=PtND,PtLD,IF(GRDtP&gt;=PtNDm,PtLDm,PtLF)))))))))))))</f>
        <v>B</v>
      </c>
      <c r="Q10" s="90" cm="1">
        <f t="array" aca="1" ref="Q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0.85</v>
      </c>
      <c r="R10" s="12" t="s">
        <v>97</v>
      </c>
      <c r="S10" s="89" cm="1">
        <f t="array" aca="1" ref="S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0.15000000000000002</v>
      </c>
      <c r="U10" s="92" t="s">
        <v>98</v>
      </c>
      <c r="V10" s="300" t="str" cm="1">
        <f t="array" aca="1" ref="V10" ca="1">IF(GRDtCT="Dropped","NA",IF(GRDtCT="P/F",IF(GRDtP&gt;=PtNPass,PtLPass,PtLFail),IF(GRDtP&gt;=PtNA,PtLA,IF(GRDtP&gt;=PtNAm,PtLAm,IF(GRDtP&gt;=PtNBp,PtLBp,IF(GRDtP&gt;=PtNB,PtLB,IF(GRDtP&gt;=PtNBm,PtLBm,IF(GRDtP&gt;=PtNCp,PtLCp,IF(GRDtP&gt;=PtNC,PtLC,IF(GRDtP&gt;=PtNCm,PtLCm,IF(GRDtP&gt;=PtNDp,PtLDp,IF(GRDtP&gt;=PtND,PtLD,IF(GRDtP&gt;=PtNDm,PtLDm,PtLF)))))))))))))</f>
        <v>C-</v>
      </c>
      <c r="W10" s="90" cm="1">
        <f t="array" aca="1" ref="W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v>
      </c>
      <c r="X10" s="12" t="s">
        <v>97</v>
      </c>
      <c r="Y10" s="89" cm="1">
        <f t="array" aca="1" ref="Y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0.30000000000000004</v>
      </c>
      <c r="AA10" s="92" t="s">
        <v>98</v>
      </c>
      <c r="AB10" s="300" t="str" cm="1">
        <f t="array" aca="1" ref="AB10" ca="1">IF(GRDtCT="Dropped","NA",IF(GRDtCT="P/F",IF(GRDtP&gt;=PtNPass,PtLPass,PtLFail),IF(GRDtP&gt;=PtNA,PtLA,IF(GRDtP&gt;=PtNAm,PtLAm,IF(GRDtP&gt;=PtNBp,PtLBp,IF(GRDtP&gt;=PtNB,PtLB,IF(GRDtP&gt;=PtNBm,PtLBm,IF(GRDtP&gt;=PtNCp,PtLCp,IF(GRDtP&gt;=PtNC,PtLC,IF(GRDtP&gt;=PtNCm,PtLCm,IF(GRDtP&gt;=PtNDp,PtLDp,IF(GRDtP&gt;=PtND,PtLD,IF(GRDtP&gt;=PtNDm,PtLDm,PtLF)))))))))))))</f>
        <v>C+</v>
      </c>
      <c r="AC10" s="90" cm="1">
        <f t="array" aca="1" ref="AC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0.78</v>
      </c>
      <c r="AD10" s="12" t="s">
        <v>97</v>
      </c>
      <c r="AE10" s="89" cm="1">
        <f t="array" aca="1" ref="AE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0.21999999999999997</v>
      </c>
      <c r="AG10" s="92" t="s">
        <v>98</v>
      </c>
      <c r="AH10" s="300" t="str" cm="1">
        <f t="array" aca="1" ref="AH10" ca="1">IF(GRDtCT="Dropped","NA",IF(GRDtCT="P/F",IF(GRDtP&gt;=PtNPass,PtLPass,PtLFail),IF(GRDtP&gt;=PtNA,PtLA,IF(GRDtP&gt;=PtNAm,PtLAm,IF(GRDtP&gt;=PtNBp,PtLBp,IF(GRDtP&gt;=PtNB,PtLB,IF(GRDtP&gt;=PtNBm,PtLBm,IF(GRDtP&gt;=PtNCp,PtLCp,IF(GRDtP&gt;=PtNC,PtLC,IF(GRDtP&gt;=PtNCm,PtLCm,IF(GRDtP&gt;=PtNDp,PtLDp,IF(GRDtP&gt;=PtND,PtLD,IF(GRDtP&gt;=PtNDm,PtLDm,PtLF)))))))))))))</f>
        <v>B-</v>
      </c>
      <c r="AI10" s="90" cm="1">
        <f t="array" aca="1" ref="AI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v>
      </c>
      <c r="AJ10" s="12" t="s">
        <v>97</v>
      </c>
      <c r="AK10" s="89" cm="1">
        <f t="array" aca="1" ref="AK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0.19999999999999996</v>
      </c>
    </row>
    <row r="11" spans="2:37" ht="15.75" thickBot="1" x14ac:dyDescent="0.3">
      <c r="C11" s="88" t="s">
        <v>96</v>
      </c>
      <c r="D11" s="87"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2.67</v>
      </c>
      <c r="E11" s="86"/>
      <c r="F11" s="86" t="s">
        <v>95</v>
      </c>
      <c r="G11" s="242" cm="1">
        <f t="array" aca="1" ref="G11" ca="1">IF(OR(QPtCT="Dropped",QPtCT="P/F"),"NA",QPtGPA*QPtCR)</f>
        <v>8.01</v>
      </c>
      <c r="I11" s="88" t="s">
        <v>96</v>
      </c>
      <c r="J11" s="87" cm="1">
        <f t="array" aca="1" ref="J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v>
      </c>
      <c r="K11" s="86"/>
      <c r="L11" s="86" t="s">
        <v>95</v>
      </c>
      <c r="M11" s="242" cm="1">
        <f t="array" aca="1" ref="M11" ca="1">IF(OR(QPtCT="Dropped",QPtCT="P/F"),"NA",QPtGPA*QPtCR)</f>
        <v>9</v>
      </c>
      <c r="O11" s="88" t="s">
        <v>96</v>
      </c>
      <c r="P11" s="87" cm="1">
        <f t="array" aca="1" ref="P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v>
      </c>
      <c r="Q11" s="86"/>
      <c r="R11" s="86" t="s">
        <v>95</v>
      </c>
      <c r="S11" s="242" cm="1">
        <f t="array" aca="1" ref="S11" ca="1">IF(OR(QPtCT="Dropped",QPtCT="P/F"),"NA",QPtGPA*QPtCR)</f>
        <v>9</v>
      </c>
      <c r="U11" s="88" t="s">
        <v>96</v>
      </c>
      <c r="V11" s="87" cm="1">
        <f t="array" aca="1" ref="V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1.67</v>
      </c>
      <c r="W11" s="86"/>
      <c r="X11" s="86" t="s">
        <v>95</v>
      </c>
      <c r="Y11" s="242" cm="1">
        <f t="array" aca="1" ref="Y11" ca="1">IF(OR(QPtCT="Dropped",QPtCT="P/F"),"NA",QPtGPA*QPtCR)</f>
        <v>5.01</v>
      </c>
      <c r="AA11" s="88" t="s">
        <v>96</v>
      </c>
      <c r="AB11" s="87" cm="1">
        <f t="array" aca="1" ref="AB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2.33</v>
      </c>
      <c r="AC11" s="86"/>
      <c r="AD11" s="86" t="s">
        <v>95</v>
      </c>
      <c r="AE11" s="242" cm="1">
        <f t="array" aca="1" ref="AE11" ca="1">IF(OR(QPtCT="Dropped",QPtCT="P/F"),"NA",QPtGPA*QPtCR)</f>
        <v>9.32</v>
      </c>
      <c r="AG11" s="88" t="s">
        <v>96</v>
      </c>
      <c r="AH11" s="87" cm="1">
        <f t="array" aca="1" ref="AH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2.67</v>
      </c>
      <c r="AI11" s="86"/>
      <c r="AJ11" s="86" t="s">
        <v>95</v>
      </c>
      <c r="AK11" s="242" cm="1">
        <f t="array" aca="1" ref="AK11" ca="1">IF(OR(QPtCT="Dropped",QPtCT="P/F"),"NA",QPtGPA*QPtCR)</f>
        <v>2.67</v>
      </c>
    </row>
    <row r="12" spans="2:37" ht="12" customHeight="1" thickTop="1" thickBot="1" x14ac:dyDescent="0.3"/>
    <row r="13" spans="2:37" ht="16.5" thickTop="1" thickBot="1" x14ac:dyDescent="0.3">
      <c r="C13" s="389" t="s">
        <v>327</v>
      </c>
      <c r="D13" s="390"/>
      <c r="E13" s="390"/>
      <c r="F13" s="390"/>
      <c r="G13" s="391"/>
      <c r="I13" s="389" t="s">
        <v>327</v>
      </c>
      <c r="J13" s="390"/>
      <c r="K13" s="390"/>
      <c r="L13" s="390"/>
      <c r="M13" s="391"/>
      <c r="O13" s="389" t="s">
        <v>327</v>
      </c>
      <c r="P13" s="390"/>
      <c r="Q13" s="390"/>
      <c r="R13" s="390"/>
      <c r="S13" s="391"/>
      <c r="U13" s="389" t="s">
        <v>327</v>
      </c>
      <c r="V13" s="390"/>
      <c r="W13" s="390"/>
      <c r="X13" s="390"/>
      <c r="Y13" s="391"/>
      <c r="AA13" s="389" t="s">
        <v>327</v>
      </c>
      <c r="AB13" s="390"/>
      <c r="AC13" s="390"/>
      <c r="AD13" s="390"/>
      <c r="AE13" s="391"/>
      <c r="AG13" s="389" t="s">
        <v>327</v>
      </c>
      <c r="AH13" s="390"/>
      <c r="AI13" s="390"/>
      <c r="AJ13" s="390"/>
      <c r="AK13" s="391"/>
    </row>
    <row r="14" spans="2:37" ht="15.75" thickTop="1" x14ac:dyDescent="0.25">
      <c r="C14" s="392" t="s">
        <v>13</v>
      </c>
      <c r="D14" s="393"/>
      <c r="E14" s="231">
        <f>0.92</f>
        <v>0.92</v>
      </c>
      <c r="F14" s="368" t="s">
        <v>6</v>
      </c>
      <c r="G14" s="4">
        <f>0.69</f>
        <v>0.69</v>
      </c>
      <c r="I14" s="392" t="s">
        <v>13</v>
      </c>
      <c r="J14" s="393"/>
      <c r="K14" s="231">
        <f>0.92</f>
        <v>0.92</v>
      </c>
      <c r="L14" s="368" t="s">
        <v>6</v>
      </c>
      <c r="M14" s="4">
        <f>0.69</f>
        <v>0.69</v>
      </c>
      <c r="O14" s="392" t="s">
        <v>13</v>
      </c>
      <c r="P14" s="393"/>
      <c r="Q14" s="231">
        <f>0.92</f>
        <v>0.92</v>
      </c>
      <c r="R14" s="368" t="s">
        <v>6</v>
      </c>
      <c r="S14" s="4">
        <f>0.69</f>
        <v>0.69</v>
      </c>
      <c r="U14" s="392" t="s">
        <v>13</v>
      </c>
      <c r="V14" s="393"/>
      <c r="W14" s="231">
        <f>0.92</f>
        <v>0.92</v>
      </c>
      <c r="X14" s="368" t="s">
        <v>6</v>
      </c>
      <c r="Y14" s="4">
        <f>0.69</f>
        <v>0.69</v>
      </c>
      <c r="AA14" s="392" t="s">
        <v>13</v>
      </c>
      <c r="AB14" s="393"/>
      <c r="AC14" s="231">
        <f>0.92</f>
        <v>0.92</v>
      </c>
      <c r="AD14" s="368" t="s">
        <v>6</v>
      </c>
      <c r="AE14" s="4">
        <f>0.69</f>
        <v>0.69</v>
      </c>
      <c r="AG14" s="392" t="s">
        <v>13</v>
      </c>
      <c r="AH14" s="393"/>
      <c r="AI14" s="231">
        <f>0.92</f>
        <v>0.92</v>
      </c>
      <c r="AJ14" s="368" t="s">
        <v>6</v>
      </c>
      <c r="AK14" s="4">
        <f>0.69</f>
        <v>0.69</v>
      </c>
    </row>
    <row r="15" spans="2:37" x14ac:dyDescent="0.25">
      <c r="C15" s="387" t="s">
        <v>12</v>
      </c>
      <c r="D15" s="388"/>
      <c r="E15" s="231">
        <f>0.89</f>
        <v>0.89</v>
      </c>
      <c r="F15" s="368" t="s">
        <v>5</v>
      </c>
      <c r="G15" s="4">
        <f>0.66</f>
        <v>0.66</v>
      </c>
      <c r="I15" s="387" t="s">
        <v>12</v>
      </c>
      <c r="J15" s="388"/>
      <c r="K15" s="231">
        <f>0.89</f>
        <v>0.89</v>
      </c>
      <c r="L15" s="368" t="s">
        <v>5</v>
      </c>
      <c r="M15" s="4">
        <f>0.66</f>
        <v>0.66</v>
      </c>
      <c r="O15" s="387" t="s">
        <v>12</v>
      </c>
      <c r="P15" s="388"/>
      <c r="Q15" s="231">
        <f>0.89</f>
        <v>0.89</v>
      </c>
      <c r="R15" s="368" t="s">
        <v>5</v>
      </c>
      <c r="S15" s="4">
        <f>0.66</f>
        <v>0.66</v>
      </c>
      <c r="U15" s="387" t="s">
        <v>12</v>
      </c>
      <c r="V15" s="388"/>
      <c r="W15" s="231">
        <f>0.89</f>
        <v>0.89</v>
      </c>
      <c r="X15" s="368" t="s">
        <v>5</v>
      </c>
      <c r="Y15" s="4">
        <f>0.66</f>
        <v>0.66</v>
      </c>
      <c r="AA15" s="387" t="s">
        <v>12</v>
      </c>
      <c r="AB15" s="388"/>
      <c r="AC15" s="231">
        <f>0.89</f>
        <v>0.89</v>
      </c>
      <c r="AD15" s="368" t="s">
        <v>5</v>
      </c>
      <c r="AE15" s="4">
        <f>0.66</f>
        <v>0.66</v>
      </c>
      <c r="AG15" s="387" t="s">
        <v>12</v>
      </c>
      <c r="AH15" s="388"/>
      <c r="AI15" s="231">
        <f>0.89</f>
        <v>0.89</v>
      </c>
      <c r="AJ15" s="368" t="s">
        <v>5</v>
      </c>
      <c r="AK15" s="4">
        <f>0.66</f>
        <v>0.66</v>
      </c>
    </row>
    <row r="16" spans="2:37" x14ac:dyDescent="0.25">
      <c r="C16" s="387" t="s">
        <v>11</v>
      </c>
      <c r="D16" s="388"/>
      <c r="E16" s="231">
        <f>0.86</f>
        <v>0.86</v>
      </c>
      <c r="F16" s="368" t="s">
        <v>4</v>
      </c>
      <c r="G16" s="4">
        <f>0.61</f>
        <v>0.61</v>
      </c>
      <c r="I16" s="387" t="s">
        <v>11</v>
      </c>
      <c r="J16" s="388"/>
      <c r="K16" s="231">
        <f>0.86</f>
        <v>0.86</v>
      </c>
      <c r="L16" s="368" t="s">
        <v>4</v>
      </c>
      <c r="M16" s="4">
        <f>0.61</f>
        <v>0.61</v>
      </c>
      <c r="O16" s="387" t="s">
        <v>11</v>
      </c>
      <c r="P16" s="388"/>
      <c r="Q16" s="231">
        <f>0.86</f>
        <v>0.86</v>
      </c>
      <c r="R16" s="368" t="s">
        <v>4</v>
      </c>
      <c r="S16" s="4">
        <f>0.61</f>
        <v>0.61</v>
      </c>
      <c r="U16" s="387" t="s">
        <v>11</v>
      </c>
      <c r="V16" s="388"/>
      <c r="W16" s="231">
        <f>0.86</f>
        <v>0.86</v>
      </c>
      <c r="X16" s="368" t="s">
        <v>4</v>
      </c>
      <c r="Y16" s="4">
        <f>0.61</f>
        <v>0.61</v>
      </c>
      <c r="AA16" s="387" t="s">
        <v>11</v>
      </c>
      <c r="AB16" s="388"/>
      <c r="AC16" s="231">
        <f>0.86</f>
        <v>0.86</v>
      </c>
      <c r="AD16" s="368" t="s">
        <v>4</v>
      </c>
      <c r="AE16" s="4">
        <f>0.61</f>
        <v>0.61</v>
      </c>
      <c r="AG16" s="387" t="s">
        <v>11</v>
      </c>
      <c r="AH16" s="388"/>
      <c r="AI16" s="231">
        <f>0.86</f>
        <v>0.86</v>
      </c>
      <c r="AJ16" s="368" t="s">
        <v>4</v>
      </c>
      <c r="AK16" s="4">
        <f>0.61</f>
        <v>0.61</v>
      </c>
    </row>
    <row r="17" spans="3:37" x14ac:dyDescent="0.25">
      <c r="C17" s="387" t="s">
        <v>10</v>
      </c>
      <c r="D17" s="388"/>
      <c r="E17" s="231">
        <f>0.81</f>
        <v>0.81</v>
      </c>
      <c r="F17" s="368" t="s">
        <v>3</v>
      </c>
      <c r="G17" s="4">
        <v>0.56999999999999995</v>
      </c>
      <c r="I17" s="387" t="s">
        <v>10</v>
      </c>
      <c r="J17" s="388"/>
      <c r="K17" s="231">
        <f>0.81</f>
        <v>0.81</v>
      </c>
      <c r="L17" s="368" t="s">
        <v>3</v>
      </c>
      <c r="M17" s="4">
        <v>0.56999999999999995</v>
      </c>
      <c r="O17" s="387" t="s">
        <v>10</v>
      </c>
      <c r="P17" s="388"/>
      <c r="Q17" s="231">
        <f>0.81</f>
        <v>0.81</v>
      </c>
      <c r="R17" s="368" t="s">
        <v>3</v>
      </c>
      <c r="S17" s="4">
        <v>0.56999999999999995</v>
      </c>
      <c r="U17" s="387" t="s">
        <v>10</v>
      </c>
      <c r="V17" s="388"/>
      <c r="W17" s="231">
        <f>0.81</f>
        <v>0.81</v>
      </c>
      <c r="X17" s="368" t="s">
        <v>3</v>
      </c>
      <c r="Y17" s="4">
        <v>0.56999999999999995</v>
      </c>
      <c r="AA17" s="387" t="s">
        <v>10</v>
      </c>
      <c r="AB17" s="388"/>
      <c r="AC17" s="231">
        <f>0.81</f>
        <v>0.81</v>
      </c>
      <c r="AD17" s="368" t="s">
        <v>3</v>
      </c>
      <c r="AE17" s="4">
        <v>0.56999999999999995</v>
      </c>
      <c r="AG17" s="387" t="s">
        <v>10</v>
      </c>
      <c r="AH17" s="388"/>
      <c r="AI17" s="231">
        <f>0.81</f>
        <v>0.81</v>
      </c>
      <c r="AJ17" s="368" t="s">
        <v>3</v>
      </c>
      <c r="AK17" s="4">
        <v>0.56999999999999995</v>
      </c>
    </row>
    <row r="18" spans="3:37" x14ac:dyDescent="0.25">
      <c r="C18" s="387" t="s">
        <v>9</v>
      </c>
      <c r="D18" s="388"/>
      <c r="E18" s="231">
        <f>0.79</f>
        <v>0.79</v>
      </c>
      <c r="F18" s="7" t="s">
        <v>2</v>
      </c>
      <c r="G18" s="270">
        <f>0.5</f>
        <v>0.5</v>
      </c>
      <c r="I18" s="387" t="s">
        <v>9</v>
      </c>
      <c r="J18" s="388"/>
      <c r="K18" s="231">
        <f>0.79</f>
        <v>0.79</v>
      </c>
      <c r="L18" s="7" t="s">
        <v>2</v>
      </c>
      <c r="M18" s="6">
        <f>0.5</f>
        <v>0.5</v>
      </c>
      <c r="O18" s="387" t="s">
        <v>9</v>
      </c>
      <c r="P18" s="388"/>
      <c r="Q18" s="231">
        <f>0.79</f>
        <v>0.79</v>
      </c>
      <c r="R18" s="7" t="s">
        <v>2</v>
      </c>
      <c r="S18" s="6">
        <f>0.5</f>
        <v>0.5</v>
      </c>
      <c r="U18" s="387" t="s">
        <v>9</v>
      </c>
      <c r="V18" s="388"/>
      <c r="W18" s="231">
        <f>0.79</f>
        <v>0.79</v>
      </c>
      <c r="X18" s="7" t="s">
        <v>2</v>
      </c>
      <c r="Y18" s="6">
        <f>0.5</f>
        <v>0.5</v>
      </c>
      <c r="AA18" s="387" t="s">
        <v>9</v>
      </c>
      <c r="AB18" s="388"/>
      <c r="AC18" s="231">
        <f>0.79</f>
        <v>0.79</v>
      </c>
      <c r="AD18" s="7" t="s">
        <v>2</v>
      </c>
      <c r="AE18" s="6">
        <f>0.5</f>
        <v>0.5</v>
      </c>
      <c r="AG18" s="387" t="s">
        <v>9</v>
      </c>
      <c r="AH18" s="388"/>
      <c r="AI18" s="231">
        <f>0.79</f>
        <v>0.79</v>
      </c>
      <c r="AJ18" s="7" t="s">
        <v>2</v>
      </c>
      <c r="AK18" s="6">
        <f>0.5</f>
        <v>0.5</v>
      </c>
    </row>
    <row r="19" spans="3:37" x14ac:dyDescent="0.25">
      <c r="C19" s="387" t="s">
        <v>8</v>
      </c>
      <c r="D19" s="388"/>
      <c r="E19" s="231">
        <f>0.76</f>
        <v>0.76</v>
      </c>
      <c r="F19" s="368" t="s">
        <v>1</v>
      </c>
      <c r="G19" s="4">
        <f>G16</f>
        <v>0.61</v>
      </c>
      <c r="I19" s="387" t="s">
        <v>8</v>
      </c>
      <c r="J19" s="388"/>
      <c r="K19" s="231">
        <f>0.76</f>
        <v>0.76</v>
      </c>
      <c r="L19" s="368" t="s">
        <v>1</v>
      </c>
      <c r="M19" s="4">
        <f>M16</f>
        <v>0.61</v>
      </c>
      <c r="O19" s="387" t="s">
        <v>8</v>
      </c>
      <c r="P19" s="388"/>
      <c r="Q19" s="231">
        <f>0.76</f>
        <v>0.76</v>
      </c>
      <c r="R19" s="368" t="s">
        <v>1</v>
      </c>
      <c r="S19" s="4">
        <f>S16</f>
        <v>0.61</v>
      </c>
      <c r="U19" s="387" t="s">
        <v>8</v>
      </c>
      <c r="V19" s="388"/>
      <c r="W19" s="231">
        <f>0.76</f>
        <v>0.76</v>
      </c>
      <c r="X19" s="368" t="s">
        <v>1</v>
      </c>
      <c r="Y19" s="4">
        <f>Y16</f>
        <v>0.61</v>
      </c>
      <c r="AA19" s="387" t="s">
        <v>8</v>
      </c>
      <c r="AB19" s="388"/>
      <c r="AC19" s="231">
        <f>0.76</f>
        <v>0.76</v>
      </c>
      <c r="AD19" s="368" t="s">
        <v>1</v>
      </c>
      <c r="AE19" s="4">
        <f>AE16</f>
        <v>0.61</v>
      </c>
      <c r="AG19" s="387" t="s">
        <v>8</v>
      </c>
      <c r="AH19" s="388"/>
      <c r="AI19" s="231">
        <f>0.76</f>
        <v>0.76</v>
      </c>
      <c r="AJ19" s="368" t="s">
        <v>1</v>
      </c>
      <c r="AK19" s="4">
        <f>AK16</f>
        <v>0.61</v>
      </c>
    </row>
    <row r="20" spans="3:37" ht="15.75" thickBot="1" x14ac:dyDescent="0.3">
      <c r="C20" s="406" t="s">
        <v>7</v>
      </c>
      <c r="D20" s="407"/>
      <c r="E20" s="232">
        <f>0.71</f>
        <v>0.71</v>
      </c>
      <c r="F20" s="367" t="s">
        <v>0</v>
      </c>
      <c r="G20" s="2">
        <f>IFERROR('Semester 1'!D30/F20,0)</f>
        <v>0</v>
      </c>
      <c r="I20" s="406" t="s">
        <v>7</v>
      </c>
      <c r="J20" s="407"/>
      <c r="K20" s="232">
        <f>0.71</f>
        <v>0.71</v>
      </c>
      <c r="L20" s="367" t="s">
        <v>0</v>
      </c>
      <c r="M20" s="2">
        <f>IFERROR('Semester 1'!J30/L20,0)</f>
        <v>0</v>
      </c>
      <c r="O20" s="406" t="s">
        <v>7</v>
      </c>
      <c r="P20" s="407"/>
      <c r="Q20" s="232">
        <f>0.71</f>
        <v>0.71</v>
      </c>
      <c r="R20" s="367" t="s">
        <v>0</v>
      </c>
      <c r="S20" s="2">
        <f>IFERROR('Semester 1'!P30/R20,0)</f>
        <v>0</v>
      </c>
      <c r="U20" s="406" t="s">
        <v>7</v>
      </c>
      <c r="V20" s="407"/>
      <c r="W20" s="232">
        <f>0.71</f>
        <v>0.71</v>
      </c>
      <c r="X20" s="367" t="s">
        <v>0</v>
      </c>
      <c r="Y20" s="2">
        <f>IFERROR('Semester 1'!V30/X20,0)</f>
        <v>0</v>
      </c>
      <c r="AA20" s="406" t="s">
        <v>7</v>
      </c>
      <c r="AB20" s="407"/>
      <c r="AC20" s="232">
        <f>0.71</f>
        <v>0.71</v>
      </c>
      <c r="AD20" s="367" t="s">
        <v>0</v>
      </c>
      <c r="AE20" s="2">
        <f>IFERROR('Semester 1'!AB30/AD20,0)</f>
        <v>0</v>
      </c>
      <c r="AG20" s="406" t="s">
        <v>7</v>
      </c>
      <c r="AH20" s="407"/>
      <c r="AI20" s="232">
        <f>0.71</f>
        <v>0.71</v>
      </c>
      <c r="AJ20" s="367" t="s">
        <v>0</v>
      </c>
      <c r="AK20" s="2">
        <f>IFERROR('Semester 1'!AH30/AJ20,0)</f>
        <v>0</v>
      </c>
    </row>
    <row r="21" spans="3:37" ht="16.5" thickTop="1" thickBot="1" x14ac:dyDescent="0.3"/>
    <row r="22" spans="3:37" ht="16.5" thickTop="1" thickBot="1" x14ac:dyDescent="0.3">
      <c r="C22" s="408" t="s">
        <v>426</v>
      </c>
      <c r="D22" s="409"/>
      <c r="E22" s="409"/>
      <c r="F22" s="409"/>
      <c r="G22" s="410"/>
      <c r="I22" s="408" t="s">
        <v>426</v>
      </c>
      <c r="J22" s="409"/>
      <c r="K22" s="409"/>
      <c r="L22" s="409"/>
      <c r="M22" s="410"/>
      <c r="O22" s="408" t="s">
        <v>426</v>
      </c>
      <c r="P22" s="409"/>
      <c r="Q22" s="409"/>
      <c r="R22" s="409"/>
      <c r="S22" s="410"/>
      <c r="U22" s="408" t="s">
        <v>426</v>
      </c>
      <c r="V22" s="409"/>
      <c r="W22" s="409"/>
      <c r="X22" s="409"/>
      <c r="Y22" s="410"/>
      <c r="AA22" s="408" t="s">
        <v>426</v>
      </c>
      <c r="AB22" s="409"/>
      <c r="AC22" s="409"/>
      <c r="AD22" s="409"/>
      <c r="AE22" s="410"/>
      <c r="AG22" s="408" t="s">
        <v>426</v>
      </c>
      <c r="AH22" s="409"/>
      <c r="AI22" s="409"/>
      <c r="AJ22" s="409"/>
      <c r="AK22" s="410"/>
    </row>
    <row r="23" spans="3:37" ht="16.5" thickTop="1" thickBot="1" x14ac:dyDescent="0.3">
      <c r="C23" s="237">
        <v>1</v>
      </c>
      <c r="D23" s="235" t="s">
        <v>326</v>
      </c>
      <c r="E23" s="236">
        <v>1</v>
      </c>
      <c r="F23" s="233" t="s">
        <v>19</v>
      </c>
      <c r="G23" s="234">
        <f>1</f>
        <v>1</v>
      </c>
      <c r="I23" s="237">
        <v>1</v>
      </c>
      <c r="J23" s="235" t="s">
        <v>326</v>
      </c>
      <c r="K23" s="236">
        <v>1</v>
      </c>
      <c r="L23" s="233" t="s">
        <v>19</v>
      </c>
      <c r="M23" s="234">
        <f>1</f>
        <v>1</v>
      </c>
      <c r="O23" s="237">
        <v>1</v>
      </c>
      <c r="P23" s="235" t="s">
        <v>326</v>
      </c>
      <c r="Q23" s="236">
        <v>1</v>
      </c>
      <c r="R23" s="233" t="s">
        <v>19</v>
      </c>
      <c r="S23" s="234">
        <f>1</f>
        <v>1</v>
      </c>
      <c r="U23" s="237">
        <v>1</v>
      </c>
      <c r="V23" s="235" t="s">
        <v>326</v>
      </c>
      <c r="W23" s="236">
        <v>1</v>
      </c>
      <c r="X23" s="233" t="s">
        <v>19</v>
      </c>
      <c r="Y23" s="234">
        <f>1</f>
        <v>1</v>
      </c>
      <c r="AA23" s="237">
        <v>1</v>
      </c>
      <c r="AB23" s="235" t="s">
        <v>326</v>
      </c>
      <c r="AC23" s="236">
        <v>1</v>
      </c>
      <c r="AD23" s="233" t="s">
        <v>19</v>
      </c>
      <c r="AE23" s="234">
        <f>1</f>
        <v>1</v>
      </c>
      <c r="AG23" s="237">
        <v>1</v>
      </c>
      <c r="AH23" s="235" t="s">
        <v>326</v>
      </c>
      <c r="AI23" s="236">
        <v>1</v>
      </c>
      <c r="AJ23" s="233" t="s">
        <v>19</v>
      </c>
      <c r="AK23" s="234">
        <f>1</f>
        <v>1</v>
      </c>
    </row>
    <row r="24" spans="3:37" ht="15.75" thickTop="1" x14ac:dyDescent="0.25">
      <c r="C24" s="238" t="s">
        <v>98</v>
      </c>
      <c r="D24" s="254">
        <f ca="1">SUM(EtCT:downtwo)</f>
        <v>80</v>
      </c>
      <c r="E24" s="254">
        <f ca="1">SUM(TtCT:downtwo)</f>
        <v>100</v>
      </c>
      <c r="F24" s="411">
        <f ca="1">IFERROR(D24/E24,0)</f>
        <v>0.8</v>
      </c>
      <c r="G24" s="412"/>
      <c r="I24" s="238" t="s">
        <v>98</v>
      </c>
      <c r="J24" s="254">
        <f ca="1">SUM(EtCT:downtwo)</f>
        <v>85</v>
      </c>
      <c r="K24" s="254">
        <f ca="1">SUM(TtCT:downtwo)</f>
        <v>100</v>
      </c>
      <c r="L24" s="411">
        <f ca="1">IFERROR(J24/K24,0)</f>
        <v>0.85</v>
      </c>
      <c r="M24" s="412"/>
      <c r="O24" s="238" t="s">
        <v>98</v>
      </c>
      <c r="P24" s="254">
        <f ca="1">SUM(EtCT:downtwo)</f>
        <v>85</v>
      </c>
      <c r="Q24" s="254">
        <f ca="1">SUM(TtCT:downtwo)</f>
        <v>100</v>
      </c>
      <c r="R24" s="411">
        <f ca="1">IFERROR(P24/Q24,0)</f>
        <v>0.85</v>
      </c>
      <c r="S24" s="412"/>
      <c r="U24" s="238" t="s">
        <v>98</v>
      </c>
      <c r="V24" s="254">
        <f ca="1">SUM(EtCT:downtwo)</f>
        <v>70</v>
      </c>
      <c r="W24" s="254">
        <f ca="1">SUM(TtCT:downtwo)</f>
        <v>100</v>
      </c>
      <c r="X24" s="411">
        <f ca="1">IFERROR(V24/W24,0)</f>
        <v>0.7</v>
      </c>
      <c r="Y24" s="412"/>
      <c r="AA24" s="238" t="s">
        <v>98</v>
      </c>
      <c r="AB24" s="254">
        <f ca="1">SUM(EtCT:downtwo)</f>
        <v>78</v>
      </c>
      <c r="AC24" s="254">
        <f ca="1">SUM(TtCT:downtwo)</f>
        <v>100</v>
      </c>
      <c r="AD24" s="411">
        <f ca="1">IFERROR(AB24/AC24,0)</f>
        <v>0.78</v>
      </c>
      <c r="AE24" s="412"/>
      <c r="AG24" s="238" t="s">
        <v>98</v>
      </c>
      <c r="AH24" s="254">
        <f ca="1">SUM(EtCT:downtwo)</f>
        <v>80</v>
      </c>
      <c r="AI24" s="254">
        <f ca="1">SUM(TtCT:downtwo)</f>
        <v>100</v>
      </c>
      <c r="AJ24" s="411">
        <f ca="1">IFERROR(AH24/AI24,0)</f>
        <v>0.8</v>
      </c>
      <c r="AK24" s="412"/>
    </row>
    <row r="25" spans="3:37" ht="15.75" thickBot="1" x14ac:dyDescent="0.3">
      <c r="C25" s="239" t="s">
        <v>18</v>
      </c>
      <c r="D25" s="413" t="s">
        <v>17</v>
      </c>
      <c r="E25" s="413"/>
      <c r="F25" s="240" t="s">
        <v>16</v>
      </c>
      <c r="G25" s="241" t="s">
        <v>15</v>
      </c>
      <c r="I25" s="239" t="s">
        <v>18</v>
      </c>
      <c r="J25" s="413" t="s">
        <v>17</v>
      </c>
      <c r="K25" s="413"/>
      <c r="L25" s="240" t="s">
        <v>16</v>
      </c>
      <c r="M25" s="241" t="s">
        <v>15</v>
      </c>
      <c r="O25" s="239" t="s">
        <v>18</v>
      </c>
      <c r="P25" s="413" t="s">
        <v>17</v>
      </c>
      <c r="Q25" s="413"/>
      <c r="R25" s="240" t="s">
        <v>16</v>
      </c>
      <c r="S25" s="241" t="s">
        <v>15</v>
      </c>
      <c r="U25" s="239" t="s">
        <v>18</v>
      </c>
      <c r="V25" s="413" t="s">
        <v>17</v>
      </c>
      <c r="W25" s="413"/>
      <c r="X25" s="240" t="s">
        <v>16</v>
      </c>
      <c r="Y25" s="241" t="s">
        <v>15</v>
      </c>
      <c r="AA25" s="239" t="s">
        <v>18</v>
      </c>
      <c r="AB25" s="413" t="s">
        <v>17</v>
      </c>
      <c r="AC25" s="413"/>
      <c r="AD25" s="240" t="s">
        <v>16</v>
      </c>
      <c r="AE25" s="241" t="s">
        <v>15</v>
      </c>
      <c r="AG25" s="239" t="s">
        <v>18</v>
      </c>
      <c r="AH25" s="413" t="s">
        <v>17</v>
      </c>
      <c r="AI25" s="413"/>
      <c r="AJ25" s="240" t="s">
        <v>16</v>
      </c>
      <c r="AK25" s="241" t="s">
        <v>15</v>
      </c>
    </row>
    <row r="26" spans="3:37" ht="16.5" thickTop="1" thickBot="1" x14ac:dyDescent="0.3">
      <c r="C26" s="11" t="s">
        <v>14</v>
      </c>
      <c r="D26" s="10">
        <v>80</v>
      </c>
      <c r="E26" s="10">
        <v>100</v>
      </c>
      <c r="F26" s="9">
        <f>IFERROR(D26/E26,0)</f>
        <v>0.8</v>
      </c>
      <c r="G26" s="8"/>
      <c r="I26" s="11" t="s">
        <v>14</v>
      </c>
      <c r="J26" s="10">
        <v>85</v>
      </c>
      <c r="K26" s="10">
        <v>100</v>
      </c>
      <c r="L26" s="9">
        <f>IFERROR(J26/K26,0)</f>
        <v>0.85</v>
      </c>
      <c r="M26" s="8"/>
      <c r="O26" s="11" t="s">
        <v>14</v>
      </c>
      <c r="P26" s="10">
        <v>85</v>
      </c>
      <c r="Q26" s="10">
        <v>100</v>
      </c>
      <c r="R26" s="9">
        <f>IFERROR(P26/Q26,0)</f>
        <v>0.85</v>
      </c>
      <c r="S26" s="8"/>
      <c r="U26" s="11" t="s">
        <v>14</v>
      </c>
      <c r="V26" s="10">
        <v>70</v>
      </c>
      <c r="W26" s="10">
        <v>100</v>
      </c>
      <c r="X26" s="9">
        <f>IFERROR(V26/W26,0)</f>
        <v>0.7</v>
      </c>
      <c r="Y26" s="8"/>
      <c r="AA26" s="11" t="s">
        <v>14</v>
      </c>
      <c r="AB26" s="10">
        <v>78</v>
      </c>
      <c r="AC26" s="10">
        <v>100</v>
      </c>
      <c r="AD26" s="9">
        <f>IFERROR(AB26/AC26,0)</f>
        <v>0.78</v>
      </c>
      <c r="AE26" s="8"/>
      <c r="AG26" s="11" t="s">
        <v>14</v>
      </c>
      <c r="AH26" s="10">
        <v>80</v>
      </c>
      <c r="AI26" s="10">
        <v>100</v>
      </c>
      <c r="AJ26" s="9">
        <f>IFERROR(AH26/AI26,0)</f>
        <v>0.8</v>
      </c>
      <c r="AK26" s="8"/>
    </row>
    <row r="27" spans="3:37" ht="16.5" thickTop="1" thickBot="1" x14ac:dyDescent="0.3">
      <c r="C27" s="403"/>
      <c r="D27" s="404"/>
      <c r="E27" s="404"/>
      <c r="F27" s="404"/>
      <c r="G27" s="405"/>
      <c r="I27" s="403"/>
      <c r="J27" s="404"/>
      <c r="K27" s="404"/>
      <c r="L27" s="404"/>
      <c r="M27" s="405"/>
      <c r="O27" s="403"/>
      <c r="P27" s="404"/>
      <c r="Q27" s="404"/>
      <c r="R27" s="404"/>
      <c r="S27" s="405"/>
      <c r="U27" s="403"/>
      <c r="V27" s="404"/>
      <c r="W27" s="404"/>
      <c r="X27" s="404"/>
      <c r="Y27" s="405"/>
      <c r="AA27" s="403"/>
      <c r="AB27" s="404"/>
      <c r="AC27" s="404"/>
      <c r="AD27" s="404"/>
      <c r="AE27" s="405"/>
      <c r="AG27" s="403"/>
      <c r="AH27" s="404"/>
      <c r="AI27" s="404"/>
      <c r="AJ27" s="404"/>
      <c r="AK27" s="405"/>
    </row>
    <row r="28" spans="3:37" ht="15.75" thickTop="1" x14ac:dyDescent="0.25"/>
  </sheetData>
  <mergeCells count="102">
    <mergeCell ref="C27:G27"/>
    <mergeCell ref="AG27:AK27"/>
    <mergeCell ref="AA27:AE27"/>
    <mergeCell ref="U27:Y27"/>
    <mergeCell ref="O27:S27"/>
    <mergeCell ref="I27:M27"/>
    <mergeCell ref="AA22:AE22"/>
    <mergeCell ref="AD24:AE24"/>
    <mergeCell ref="AB25:AC25"/>
    <mergeCell ref="O22:S22"/>
    <mergeCell ref="R24:S24"/>
    <mergeCell ref="P25:Q25"/>
    <mergeCell ref="AG15:AH15"/>
    <mergeCell ref="AG16:AH16"/>
    <mergeCell ref="AG17:AH17"/>
    <mergeCell ref="AG18:AH18"/>
    <mergeCell ref="AG20:AH20"/>
    <mergeCell ref="AG22:AK22"/>
    <mergeCell ref="AJ24:AK24"/>
    <mergeCell ref="AH25:AI25"/>
    <mergeCell ref="AA15:AB15"/>
    <mergeCell ref="AA16:AB16"/>
    <mergeCell ref="AA17:AB17"/>
    <mergeCell ref="AA18:AB18"/>
    <mergeCell ref="AA20:AB20"/>
    <mergeCell ref="AG19:AH19"/>
    <mergeCell ref="AA19:AB19"/>
    <mergeCell ref="U15:V15"/>
    <mergeCell ref="U16:V16"/>
    <mergeCell ref="U17:V17"/>
    <mergeCell ref="U18:V18"/>
    <mergeCell ref="U20:V20"/>
    <mergeCell ref="U22:Y22"/>
    <mergeCell ref="X24:Y24"/>
    <mergeCell ref="V25:W25"/>
    <mergeCell ref="O15:P15"/>
    <mergeCell ref="O16:P16"/>
    <mergeCell ref="O17:P17"/>
    <mergeCell ref="O18:P18"/>
    <mergeCell ref="O20:P20"/>
    <mergeCell ref="O19:P19"/>
    <mergeCell ref="U19:V19"/>
    <mergeCell ref="C20:D20"/>
    <mergeCell ref="C22:G22"/>
    <mergeCell ref="F24:G24"/>
    <mergeCell ref="D25:E25"/>
    <mergeCell ref="I15:J15"/>
    <mergeCell ref="I16:J16"/>
    <mergeCell ref="I17:J17"/>
    <mergeCell ref="I18:J18"/>
    <mergeCell ref="I20:J20"/>
    <mergeCell ref="I22:M22"/>
    <mergeCell ref="L24:M24"/>
    <mergeCell ref="J25:K25"/>
    <mergeCell ref="C19:D19"/>
    <mergeCell ref="I19:J19"/>
    <mergeCell ref="C15:D15"/>
    <mergeCell ref="C16:D16"/>
    <mergeCell ref="C17:D17"/>
    <mergeCell ref="C18:D18"/>
    <mergeCell ref="B2:D2"/>
    <mergeCell ref="E2:G2"/>
    <mergeCell ref="B3:C3"/>
    <mergeCell ref="E3:F3"/>
    <mergeCell ref="B4:C4"/>
    <mergeCell ref="E4:F4"/>
    <mergeCell ref="AG7:AH7"/>
    <mergeCell ref="C6:G6"/>
    <mergeCell ref="I6:M6"/>
    <mergeCell ref="O6:S6"/>
    <mergeCell ref="U6:Y6"/>
    <mergeCell ref="AA6:AE6"/>
    <mergeCell ref="AG6:AK6"/>
    <mergeCell ref="C7:D7"/>
    <mergeCell ref="I7:J7"/>
    <mergeCell ref="O7:P7"/>
    <mergeCell ref="U7:V7"/>
    <mergeCell ref="AA7:AB7"/>
    <mergeCell ref="AG9:AK9"/>
    <mergeCell ref="C8:D8"/>
    <mergeCell ref="I8:J8"/>
    <mergeCell ref="O8:P8"/>
    <mergeCell ref="U8:V8"/>
    <mergeCell ref="AA8:AB8"/>
    <mergeCell ref="AG8:AH8"/>
    <mergeCell ref="C9:G9"/>
    <mergeCell ref="I9:M9"/>
    <mergeCell ref="O9:S9"/>
    <mergeCell ref="U9:Y9"/>
    <mergeCell ref="AA9:AE9"/>
    <mergeCell ref="AG14:AH14"/>
    <mergeCell ref="C13:G13"/>
    <mergeCell ref="I13:M13"/>
    <mergeCell ref="O13:S13"/>
    <mergeCell ref="U13:Y13"/>
    <mergeCell ref="AA13:AE13"/>
    <mergeCell ref="AG13:AK13"/>
    <mergeCell ref="C14:D14"/>
    <mergeCell ref="I14:J14"/>
    <mergeCell ref="O14:P14"/>
    <mergeCell ref="U14:V14"/>
    <mergeCell ref="AA14:AB14"/>
  </mergeCells>
  <conditionalFormatting sqref="E14:E20">
    <cfRule type="expression" dxfId="63" priority="10">
      <formula>IF((CELLV)&gt;(1-LSFa),1,0)</formula>
    </cfRule>
  </conditionalFormatting>
  <conditionalFormatting sqref="G14:G20">
    <cfRule type="expression" dxfId="62" priority="9">
      <formula>IF((CELLV)&gt;(1-LSFa),1,0)</formula>
    </cfRule>
  </conditionalFormatting>
  <conditionalFormatting sqref="K14:K20">
    <cfRule type="expression" dxfId="61" priority="8">
      <formula>IF((CELLV)&gt;(1-LSFb),1,0)</formula>
    </cfRule>
  </conditionalFormatting>
  <conditionalFormatting sqref="M14:M20">
    <cfRule type="expression" dxfId="60" priority="7">
      <formula>IF((CELLV)&gt;(1-LSFb),1,0)</formula>
    </cfRule>
  </conditionalFormatting>
  <conditionalFormatting sqref="AE14:AE20">
    <cfRule type="expression" dxfId="59" priority="1">
      <formula>IF((CELLV)&gt;(1-LSFe),1,0)</formula>
    </cfRule>
  </conditionalFormatting>
  <conditionalFormatting sqref="Q14:Q20">
    <cfRule type="expression" dxfId="58" priority="6">
      <formula>IF((CELLV)&gt;(1-LSFc),1,0)</formula>
    </cfRule>
  </conditionalFormatting>
  <conditionalFormatting sqref="S14:S20">
    <cfRule type="expression" dxfId="57" priority="5">
      <formula>IF((CELLV)&gt;(1-LSFc),1,0)</formula>
    </cfRule>
  </conditionalFormatting>
  <conditionalFormatting sqref="W14:W20">
    <cfRule type="expression" dxfId="56" priority="4">
      <formula>IF((CELLV)&gt;(1-LSFd),1,0)</formula>
    </cfRule>
  </conditionalFormatting>
  <conditionalFormatting sqref="Y14:Y20">
    <cfRule type="expression" dxfId="55" priority="3">
      <formula>IF((CELLV)&gt;(1-LSFd),1,0)</formula>
    </cfRule>
  </conditionalFormatting>
  <conditionalFormatting sqref="AC14:AC20">
    <cfRule type="expression" dxfId="54" priority="2">
      <formula>IF((CELLV)&gt;(1-LSFe),1,0)</formula>
    </cfRule>
  </conditionalFormatting>
  <dataValidations count="3">
    <dataValidation type="list" allowBlank="1" showInputMessage="1" showErrorMessage="1" sqref="G8 M8 S8 Y8 AE8 AK8" xr:uid="{FC58E45E-57E7-49C8-8702-EEBFAA5B2E8E}">
      <formula1>",Class,Retake,Dropped,P/F,Research"</formula1>
    </dataValidation>
    <dataValidation type="list" allowBlank="1" showInputMessage="1" showErrorMessage="1" sqref="AI8 AC8 W8 Q8 K8 E8" xr:uid="{E57A45F1-B983-47B3-9446-988E62CD5B75}">
      <formula1>"NA,1,2,3,4,5,6,7"</formula1>
    </dataValidation>
    <dataValidation type="whole" operator="greaterThan" allowBlank="1" showInputMessage="1" showErrorMessage="1" sqref="E23 K23 Q23 W23 AC23 AI23" xr:uid="{4F401822-B63A-4699-A39D-316BFEADD0AA}">
      <formula1>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F4DB2E2-09EE-4018-83D9-1CCB98F8ECBC}">
          <x14:formula1>
            <xm:f>OFFSET(Settings!$L$4,0,0,INDIRECT(ADDRESS(ROW(),COLUMN()+2))+1,1)</xm:f>
          </x14:formula1>
          <xm:sqref>C23 I23 O23 U23 AA23 AG23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DD6AB-0390-4CAA-9B19-A77F66DDFD00}">
  <sheetPr>
    <tabColor theme="7"/>
  </sheetPr>
  <dimension ref="B1:AK28"/>
  <sheetViews>
    <sheetView showGridLines="0" zoomScale="91" zoomScaleNormal="91" workbookViewId="0">
      <selection activeCell="B12" sqref="B12"/>
    </sheetView>
  </sheetViews>
  <sheetFormatPr defaultRowHeight="15" x14ac:dyDescent="0.25"/>
  <cols>
    <col min="1" max="1" width="4" style="1" customWidth="1"/>
    <col min="2" max="2" width="9.140625" style="1"/>
    <col min="3" max="4" width="7.7109375" style="1" customWidth="1"/>
    <col min="5" max="5" width="7.85546875" style="1" customWidth="1"/>
    <col min="6" max="6" width="10.140625" style="1" bestFit="1" customWidth="1"/>
    <col min="7" max="7" width="9.140625" style="1"/>
    <col min="8" max="8" width="3" style="1" customWidth="1"/>
    <col min="9" max="9" width="11.5703125" style="1" customWidth="1"/>
    <col min="10" max="10" width="6.42578125" style="1" customWidth="1"/>
    <col min="11" max="11" width="7.85546875" style="1" customWidth="1"/>
    <col min="12" max="12" width="10.28515625" style="1" customWidth="1"/>
    <col min="13" max="13" width="9.140625" style="1"/>
    <col min="14" max="14" width="3.28515625" style="1" customWidth="1"/>
    <col min="15" max="15" width="8.85546875" style="1" customWidth="1"/>
    <col min="16" max="16" width="6.140625" style="1" customWidth="1"/>
    <col min="17" max="17" width="7.42578125" style="1" customWidth="1"/>
    <col min="18" max="18" width="10.28515625" style="1" customWidth="1"/>
    <col min="19" max="19" width="9.140625" style="1"/>
    <col min="20" max="20" width="3.140625" style="1" customWidth="1"/>
    <col min="21" max="21" width="9.140625" style="1"/>
    <col min="22" max="22" width="6.5703125" style="1" customWidth="1"/>
    <col min="23" max="23" width="8.2851562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16384" width="9.140625" style="1"/>
  </cols>
  <sheetData>
    <row r="1" spans="2:37" ht="15.75" thickBot="1" x14ac:dyDescent="0.3"/>
    <row r="2" spans="2:37" ht="16.5" thickTop="1" thickBot="1" x14ac:dyDescent="0.3">
      <c r="B2" s="394" t="s">
        <v>120</v>
      </c>
      <c r="C2" s="395"/>
      <c r="D2" s="395"/>
      <c r="E2" s="395" t="s">
        <v>146</v>
      </c>
      <c r="F2" s="395"/>
      <c r="G2" s="396"/>
    </row>
    <row r="3" spans="2:37" ht="15.75" thickTop="1" x14ac:dyDescent="0.25">
      <c r="B3" s="397" t="s">
        <v>118</v>
      </c>
      <c r="C3" s="398"/>
      <c r="D3" s="245">
        <f>COUNTIF(6:6,"*")</f>
        <v>6</v>
      </c>
      <c r="E3" s="399" t="s">
        <v>117</v>
      </c>
      <c r="F3" s="398"/>
      <c r="G3" s="101">
        <f ca="1">G4/SUM(IF(OR(G8="P/F",G8="Dropped",G8="Retaken"),0,E8),IF(OR(M8="P/F",M8="Dropped",M8="Retaken"),0,K8),IF(OR(S8="P/F",S8="Dropped",S8="Retaken"),0,Q8),IF(OR(Y8="P/F",Y8="Dropped",Y8="Retaken"),0,W8),IF(OR(AE8="P/F",AE8="Dropped",AE8="Retaken"),0,AC8),IF(OR(AK8="P/F",AK8="Dropped",AK8="Retaken"),0,AI8),IF(OR(AQ8="P/F",AQ8="Dropped",AQ8="Retaken"),0,AO8))</f>
        <v>2.8342857142857141</v>
      </c>
    </row>
    <row r="4" spans="2:37" ht="15.75" thickBot="1" x14ac:dyDescent="0.3">
      <c r="B4" s="400" t="s">
        <v>115</v>
      </c>
      <c r="C4" s="401"/>
      <c r="D4" s="244">
        <f>SUMIF(8:8,"&lt;&gt;#N/A")</f>
        <v>14</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39.68</v>
      </c>
    </row>
    <row r="5" spans="2:37" ht="16.5" thickTop="1" thickBot="1" x14ac:dyDescent="0.3"/>
    <row r="6" spans="2:37" ht="16.5" thickTop="1" thickBot="1" x14ac:dyDescent="0.3">
      <c r="C6" s="382" t="s">
        <v>143</v>
      </c>
      <c r="D6" s="383"/>
      <c r="E6" s="383"/>
      <c r="F6" s="383"/>
      <c r="G6" s="384"/>
      <c r="I6" s="382" t="s">
        <v>271</v>
      </c>
      <c r="J6" s="383"/>
      <c r="K6" s="383"/>
      <c r="L6" s="383"/>
      <c r="M6" s="384"/>
      <c r="O6" s="382" t="s">
        <v>272</v>
      </c>
      <c r="P6" s="383"/>
      <c r="Q6" s="383"/>
      <c r="R6" s="383"/>
      <c r="S6" s="384"/>
      <c r="U6" s="382" t="s">
        <v>273</v>
      </c>
      <c r="V6" s="383"/>
      <c r="W6" s="383"/>
      <c r="X6" s="383"/>
      <c r="Y6" s="384"/>
      <c r="AA6" s="382" t="s">
        <v>274</v>
      </c>
      <c r="AB6" s="383"/>
      <c r="AC6" s="383"/>
      <c r="AD6" s="383"/>
      <c r="AE6" s="384"/>
      <c r="AG6" s="382" t="s">
        <v>502</v>
      </c>
      <c r="AH6" s="383"/>
      <c r="AI6" s="383"/>
      <c r="AJ6" s="383"/>
      <c r="AK6" s="384"/>
    </row>
    <row r="7" spans="2:37" x14ac:dyDescent="0.25">
      <c r="C7" s="385" t="s">
        <v>106</v>
      </c>
      <c r="D7" s="386"/>
      <c r="E7" s="99">
        <f ca="1">COUNTIF(F$6:F$225,"Weight*")</f>
        <v>1</v>
      </c>
      <c r="F7" s="98" t="s">
        <v>105</v>
      </c>
      <c r="G7" s="97"/>
      <c r="I7" s="385" t="s">
        <v>106</v>
      </c>
      <c r="J7" s="386"/>
      <c r="K7" s="99">
        <f ca="1">COUNTIF(L$6:L$225,"Weight*")</f>
        <v>1</v>
      </c>
      <c r="L7" s="98" t="s">
        <v>105</v>
      </c>
      <c r="M7" s="97"/>
      <c r="O7" s="385" t="s">
        <v>106</v>
      </c>
      <c r="P7" s="386"/>
      <c r="Q7" s="99">
        <f ca="1">COUNTIF(R$6:R$225,"Weight*")</f>
        <v>1</v>
      </c>
      <c r="R7" s="98" t="s">
        <v>105</v>
      </c>
      <c r="S7" s="97"/>
      <c r="U7" s="385" t="s">
        <v>106</v>
      </c>
      <c r="V7" s="386"/>
      <c r="W7" s="99">
        <f ca="1">COUNTIF(X$6:X$225,"Weight*")</f>
        <v>1</v>
      </c>
      <c r="X7" s="98" t="s">
        <v>105</v>
      </c>
      <c r="Y7" s="97"/>
      <c r="AA7" s="385" t="s">
        <v>106</v>
      </c>
      <c r="AB7" s="386"/>
      <c r="AC7" s="99">
        <f ca="1">COUNTIF(AD$6:AD$225,"Weight*")</f>
        <v>1</v>
      </c>
      <c r="AD7" s="98" t="s">
        <v>105</v>
      </c>
      <c r="AE7" s="97"/>
      <c r="AG7" s="385" t="s">
        <v>106</v>
      </c>
      <c r="AH7" s="386"/>
      <c r="AI7" s="99">
        <f ca="1">COUNTIF(AJ$6:AJ$225,"Weight*")</f>
        <v>1</v>
      </c>
      <c r="AJ7" s="98" t="s">
        <v>105</v>
      </c>
      <c r="AK7" s="97"/>
    </row>
    <row r="8" spans="2:37" ht="15.75" thickBot="1" x14ac:dyDescent="0.3">
      <c r="B8" s="1" t="s">
        <v>639</v>
      </c>
      <c r="C8" s="377" t="s">
        <v>102</v>
      </c>
      <c r="D8" s="378"/>
      <c r="E8" s="95">
        <v>0</v>
      </c>
      <c r="F8" s="94" t="s">
        <v>101</v>
      </c>
      <c r="G8" s="93" t="s">
        <v>270</v>
      </c>
      <c r="I8" s="377" t="s">
        <v>102</v>
      </c>
      <c r="J8" s="378"/>
      <c r="K8" s="95">
        <v>3</v>
      </c>
      <c r="L8" s="94" t="s">
        <v>101</v>
      </c>
      <c r="M8" s="93" t="s">
        <v>100</v>
      </c>
      <c r="O8" s="377" t="s">
        <v>102</v>
      </c>
      <c r="P8" s="378"/>
      <c r="Q8" s="95">
        <v>3</v>
      </c>
      <c r="R8" s="94" t="s">
        <v>101</v>
      </c>
      <c r="S8" s="93" t="s">
        <v>100</v>
      </c>
      <c r="U8" s="377" t="s">
        <v>102</v>
      </c>
      <c r="V8" s="378"/>
      <c r="W8" s="95">
        <v>3</v>
      </c>
      <c r="X8" s="94" t="s">
        <v>101</v>
      </c>
      <c r="Y8" s="93" t="s">
        <v>100</v>
      </c>
      <c r="AA8" s="377" t="s">
        <v>102</v>
      </c>
      <c r="AB8" s="378"/>
      <c r="AC8" s="95">
        <v>4</v>
      </c>
      <c r="AD8" s="94" t="s">
        <v>101</v>
      </c>
      <c r="AE8" s="93" t="s">
        <v>100</v>
      </c>
      <c r="AG8" s="377" t="s">
        <v>102</v>
      </c>
      <c r="AH8" s="378"/>
      <c r="AI8" s="95">
        <v>1</v>
      </c>
      <c r="AJ8" s="94" t="s">
        <v>101</v>
      </c>
      <c r="AK8" s="93" t="s">
        <v>100</v>
      </c>
    </row>
    <row r="9" spans="2:37" ht="15.75" thickTop="1" x14ac:dyDescent="0.25">
      <c r="C9" s="379" t="s">
        <v>99</v>
      </c>
      <c r="D9" s="380"/>
      <c r="E9" s="380"/>
      <c r="F9" s="380"/>
      <c r="G9" s="381"/>
      <c r="I9" s="379" t="s">
        <v>99</v>
      </c>
      <c r="J9" s="380"/>
      <c r="K9" s="380"/>
      <c r="L9" s="380"/>
      <c r="M9" s="381"/>
      <c r="O9" s="379" t="s">
        <v>99</v>
      </c>
      <c r="P9" s="380"/>
      <c r="Q9" s="380"/>
      <c r="R9" s="380"/>
      <c r="S9" s="381"/>
      <c r="U9" s="379" t="s">
        <v>99</v>
      </c>
      <c r="V9" s="380"/>
      <c r="W9" s="380"/>
      <c r="X9" s="380"/>
      <c r="Y9" s="381"/>
      <c r="AA9" s="379" t="s">
        <v>99</v>
      </c>
      <c r="AB9" s="380"/>
      <c r="AC9" s="380"/>
      <c r="AD9" s="380"/>
      <c r="AE9" s="381"/>
      <c r="AG9" s="379" t="s">
        <v>99</v>
      </c>
      <c r="AH9" s="380"/>
      <c r="AI9" s="380"/>
      <c r="AJ9" s="380"/>
      <c r="AK9" s="381"/>
    </row>
    <row r="10" spans="2:37" x14ac:dyDescent="0.25">
      <c r="C10" s="92" t="s">
        <v>98</v>
      </c>
      <c r="D10" s="300"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NA</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0.19999999999999996</v>
      </c>
      <c r="I10" s="92" t="s">
        <v>98</v>
      </c>
      <c r="J10" s="300" t="str" cm="1">
        <f t="array" aca="1" ref="J10" ca="1">IF(GRDtCT="Dropped","NA",IF(GRDtCT="P/F",IF(GRDtP&gt;=PtNPass,PtLPass,PtLFail),IF(GRDtP&gt;=PtNA,PtLA,IF(GRDtP&gt;=PtNAm,PtLAm,IF(GRDtP&gt;=PtNBp,PtLBp,IF(GRDtP&gt;=PtNB,PtLB,IF(GRDtP&gt;=PtNBm,PtLBm,IF(GRDtP&gt;=PtNCp,PtLCp,IF(GRDtP&gt;=PtNC,PtLC,IF(GRDtP&gt;=PtNCm,PtLCm,IF(GRDtP&gt;=PtNDp,PtLDp,IF(GRDtP&gt;=PtND,PtLD,IF(GRDtP&gt;=PtNDm,PtLDm,PtLF)))))))))))))</f>
        <v>B</v>
      </c>
      <c r="K10" s="90" cm="1">
        <f t="array" aca="1" ref="K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0.85</v>
      </c>
      <c r="L10" s="12" t="s">
        <v>97</v>
      </c>
      <c r="M10" s="89" cm="1">
        <f t="array" aca="1" ref="M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0.15000000000000002</v>
      </c>
      <c r="O10" s="92" t="s">
        <v>98</v>
      </c>
      <c r="P10" s="300" t="str" cm="1">
        <f t="array" aca="1" ref="P10" ca="1">IF(GRDtCT="Dropped","NA",IF(GRDtCT="P/F",IF(GRDtP&gt;=PtNPass,PtLPass,PtLFail),IF(GRDtP&gt;=PtNA,PtLA,IF(GRDtP&gt;=PtNAm,PtLAm,IF(GRDtP&gt;=PtNBp,PtLBp,IF(GRDtP&gt;=PtNB,PtLB,IF(GRDtP&gt;=PtNBm,PtLBm,IF(GRDtP&gt;=PtNCp,PtLCp,IF(GRDtP&gt;=PtNC,PtLC,IF(GRDtP&gt;=PtNCm,PtLCm,IF(GRDtP&gt;=PtNDp,PtLDp,IF(GRDtP&gt;=PtND,PtLD,IF(GRDtP&gt;=PtNDm,PtLDm,PtLF)))))))))))))</f>
        <v>C-</v>
      </c>
      <c r="Q10" s="90" cm="1">
        <f t="array" aca="1" ref="Q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v>
      </c>
      <c r="R10" s="12" t="s">
        <v>97</v>
      </c>
      <c r="S10" s="89" cm="1">
        <f t="array" aca="1" ref="S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0.30000000000000004</v>
      </c>
      <c r="U10" s="92" t="s">
        <v>98</v>
      </c>
      <c r="V10" s="300" t="str" cm="1">
        <f t="array" aca="1" ref="V10" ca="1">IF(GRDtCT="Dropped","NA",IF(GRDtCT="P/F",IF(GRDtP&gt;=PtNPass,PtLPass,PtLFail),IF(GRDtP&gt;=PtNA,PtLA,IF(GRDtP&gt;=PtNAm,PtLAm,IF(GRDtP&gt;=PtNBp,PtLBp,IF(GRDtP&gt;=PtNB,PtLB,IF(GRDtP&gt;=PtNBm,PtLBm,IF(GRDtP&gt;=PtNCp,PtLCp,IF(GRDtP&gt;=PtNC,PtLC,IF(GRDtP&gt;=PtNCm,PtLCm,IF(GRDtP&gt;=PtNDp,PtLDp,IF(GRDtP&gt;=PtND,PtLD,IF(GRDtP&gt;=PtNDm,PtLDm,PtLF)))))))))))))</f>
        <v>C</v>
      </c>
      <c r="W10" s="90" cm="1">
        <f t="array" aca="1" ref="W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0.75</v>
      </c>
      <c r="X10" s="12" t="s">
        <v>97</v>
      </c>
      <c r="Y10" s="89" cm="1">
        <f t="array" aca="1" ref="Y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0.25</v>
      </c>
      <c r="AA10" s="92" t="s">
        <v>98</v>
      </c>
      <c r="AB10" s="300" t="str" cm="1">
        <f t="array" aca="1" ref="AB10" ca="1">IF(GRDtCT="Dropped","NA",IF(GRDtCT="P/F",IF(GRDtP&gt;=PtNPass,PtLPass,PtLFail),IF(GRDtP&gt;=PtNA,PtLA,IF(GRDtP&gt;=PtNAm,PtLAm,IF(GRDtP&gt;=PtNBp,PtLBp,IF(GRDtP&gt;=PtNB,PtLB,IF(GRDtP&gt;=PtNBm,PtLBm,IF(GRDtP&gt;=PtNCp,PtLCp,IF(GRDtP&gt;=PtNC,PtLC,IF(GRDtP&gt;=PtNCm,PtLCm,IF(GRDtP&gt;=PtNDp,PtLDp,IF(GRDtP&gt;=PtND,PtLD,IF(GRDtP&gt;=PtNDm,PtLDm,PtLF)))))))))))))</f>
        <v>A</v>
      </c>
      <c r="AC10" s="90" cm="1">
        <f t="array" aca="1" ref="AC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1</v>
      </c>
      <c r="AD10" s="12" t="s">
        <v>97</v>
      </c>
      <c r="AE10" s="89" cm="1">
        <f t="array" aca="1" ref="AE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v>
      </c>
      <c r="AG10" s="92" t="s">
        <v>98</v>
      </c>
      <c r="AH10" s="300" t="str" cm="1">
        <f t="array" aca="1" ref="AH10" ca="1">IF(GRDtCT="Dropped","NA",IF(GRDtCT="P/F",IF(GRDtP&gt;=PtNPass,PtLPass,PtLFail),IF(GRDtP&gt;=PtNA,PtLA,IF(GRDtP&gt;=PtNAm,PtLAm,IF(GRDtP&gt;=PtNBp,PtLBp,IF(GRDtP&gt;=PtNB,PtLB,IF(GRDtP&gt;=PtNBm,PtLBm,IF(GRDtP&gt;=PtNCp,PtLCp,IF(GRDtP&gt;=PtNC,PtLC,IF(GRDtP&gt;=PtNCm,PtLCm,IF(GRDtP&gt;=PtNDp,PtLDp,IF(GRDtP&gt;=PtND,PtLD,IF(GRDtP&gt;=PtNDm,PtLDm,PtLF)))))))))))))</f>
        <v>A-</v>
      </c>
      <c r="AI10" s="90" cm="1">
        <f t="array" aca="1" ref="AI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0.9</v>
      </c>
      <c r="AJ10" s="12" t="s">
        <v>97</v>
      </c>
      <c r="AK10" s="89" cm="1">
        <f t="array" aca="1" ref="AK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9.9999999999999978E-2</v>
      </c>
    </row>
    <row r="11" spans="2:37" ht="15.75" thickBot="1" x14ac:dyDescent="0.3">
      <c r="C11" s="88" t="s">
        <v>96</v>
      </c>
      <c r="D11" s="87" t="str"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E11" s="86"/>
      <c r="F11" s="86" t="s">
        <v>95</v>
      </c>
      <c r="G11" s="242" t="str" cm="1">
        <f t="array" aca="1" ref="G11" ca="1">IF(OR(QPtCT="Dropped",QPtCT="P/F"),"NA",QPtGPA*QPtCR)</f>
        <v>NA</v>
      </c>
      <c r="I11" s="88" t="s">
        <v>96</v>
      </c>
      <c r="J11" s="87" cm="1">
        <f t="array" aca="1" ref="J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v>
      </c>
      <c r="K11" s="86"/>
      <c r="L11" s="86" t="s">
        <v>95</v>
      </c>
      <c r="M11" s="242" cm="1">
        <f t="array" aca="1" ref="M11" ca="1">IF(OR(QPtCT="Dropped",QPtCT="P/F"),"NA",QPtGPA*QPtCR)</f>
        <v>9</v>
      </c>
      <c r="O11" s="88" t="s">
        <v>96</v>
      </c>
      <c r="P11" s="87" cm="1">
        <f t="array" aca="1" ref="P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1.67</v>
      </c>
      <c r="Q11" s="86"/>
      <c r="R11" s="86" t="s">
        <v>95</v>
      </c>
      <c r="S11" s="242" cm="1">
        <f t="array" aca="1" ref="S11" ca="1">IF(OR(QPtCT="Dropped",QPtCT="P/F"),"NA",QPtGPA*QPtCR)</f>
        <v>5.01</v>
      </c>
      <c r="U11" s="88" t="s">
        <v>96</v>
      </c>
      <c r="V11" s="87" cm="1">
        <f t="array" aca="1" ref="V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v>
      </c>
      <c r="W11" s="86"/>
      <c r="X11" s="86" t="s">
        <v>95</v>
      </c>
      <c r="Y11" s="242" cm="1">
        <f t="array" aca="1" ref="Y11" ca="1">IF(OR(QPtCT="Dropped",QPtCT="P/F"),"NA",QPtGPA*QPtCR)</f>
        <v>6</v>
      </c>
      <c r="AA11" s="88" t="s">
        <v>96</v>
      </c>
      <c r="AB11" s="87" cm="1">
        <f t="array" aca="1" ref="AB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4</v>
      </c>
      <c r="AC11" s="86"/>
      <c r="AD11" s="86" t="s">
        <v>95</v>
      </c>
      <c r="AE11" s="242" cm="1">
        <f t="array" aca="1" ref="AE11" ca="1">IF(OR(QPtCT="Dropped",QPtCT="P/F"),"NA",QPtGPA*QPtCR)</f>
        <v>16</v>
      </c>
      <c r="AG11" s="88" t="s">
        <v>96</v>
      </c>
      <c r="AH11" s="87" cm="1">
        <f t="array" aca="1" ref="AH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3.67</v>
      </c>
      <c r="AI11" s="86"/>
      <c r="AJ11" s="86" t="s">
        <v>95</v>
      </c>
      <c r="AK11" s="242" cm="1">
        <f t="array" aca="1" ref="AK11" ca="1">IF(OR(QPtCT="Dropped",QPtCT="P/F"),"NA",QPtGPA*QPtCR)</f>
        <v>3.67</v>
      </c>
    </row>
    <row r="12" spans="2:37" ht="12" customHeight="1" thickTop="1" thickBot="1" x14ac:dyDescent="0.3"/>
    <row r="13" spans="2:37" ht="16.5" thickTop="1" thickBot="1" x14ac:dyDescent="0.3">
      <c r="C13" s="389" t="s">
        <v>327</v>
      </c>
      <c r="D13" s="390"/>
      <c r="E13" s="390"/>
      <c r="F13" s="390"/>
      <c r="G13" s="391"/>
      <c r="I13" s="389" t="s">
        <v>327</v>
      </c>
      <c r="J13" s="390"/>
      <c r="K13" s="390"/>
      <c r="L13" s="390"/>
      <c r="M13" s="391"/>
      <c r="O13" s="389" t="s">
        <v>327</v>
      </c>
      <c r="P13" s="390"/>
      <c r="Q13" s="390"/>
      <c r="R13" s="390"/>
      <c r="S13" s="391"/>
      <c r="U13" s="389" t="s">
        <v>327</v>
      </c>
      <c r="V13" s="390"/>
      <c r="W13" s="390"/>
      <c r="X13" s="390"/>
      <c r="Y13" s="391"/>
      <c r="AA13" s="389" t="s">
        <v>327</v>
      </c>
      <c r="AB13" s="390"/>
      <c r="AC13" s="390"/>
      <c r="AD13" s="390"/>
      <c r="AE13" s="391"/>
      <c r="AG13" s="389" t="s">
        <v>327</v>
      </c>
      <c r="AH13" s="390"/>
      <c r="AI13" s="390"/>
      <c r="AJ13" s="390"/>
      <c r="AK13" s="391"/>
    </row>
    <row r="14" spans="2:37" ht="15.75" thickTop="1" x14ac:dyDescent="0.25">
      <c r="C14" s="392" t="s">
        <v>13</v>
      </c>
      <c r="D14" s="393"/>
      <c r="E14" s="231">
        <f>0.92</f>
        <v>0.92</v>
      </c>
      <c r="F14" s="368" t="s">
        <v>6</v>
      </c>
      <c r="G14" s="4">
        <f>0.69</f>
        <v>0.69</v>
      </c>
      <c r="I14" s="392" t="s">
        <v>13</v>
      </c>
      <c r="J14" s="393"/>
      <c r="K14" s="231">
        <f>0.92</f>
        <v>0.92</v>
      </c>
      <c r="L14" s="368" t="s">
        <v>6</v>
      </c>
      <c r="M14" s="4">
        <f>0.69</f>
        <v>0.69</v>
      </c>
      <c r="O14" s="392" t="s">
        <v>13</v>
      </c>
      <c r="P14" s="393"/>
      <c r="Q14" s="231">
        <f>0.92</f>
        <v>0.92</v>
      </c>
      <c r="R14" s="368" t="s">
        <v>6</v>
      </c>
      <c r="S14" s="4">
        <f>0.69</f>
        <v>0.69</v>
      </c>
      <c r="U14" s="392" t="s">
        <v>13</v>
      </c>
      <c r="V14" s="393"/>
      <c r="W14" s="231">
        <f>0.92</f>
        <v>0.92</v>
      </c>
      <c r="X14" s="368" t="s">
        <v>6</v>
      </c>
      <c r="Y14" s="4">
        <f>0.69</f>
        <v>0.69</v>
      </c>
      <c r="AA14" s="392" t="s">
        <v>13</v>
      </c>
      <c r="AB14" s="393"/>
      <c r="AC14" s="231">
        <f>0.92</f>
        <v>0.92</v>
      </c>
      <c r="AD14" s="368" t="s">
        <v>6</v>
      </c>
      <c r="AE14" s="4">
        <f>0.69</f>
        <v>0.69</v>
      </c>
      <c r="AG14" s="392" t="s">
        <v>13</v>
      </c>
      <c r="AH14" s="393"/>
      <c r="AI14" s="231">
        <f>0.92</f>
        <v>0.92</v>
      </c>
      <c r="AJ14" s="368" t="s">
        <v>6</v>
      </c>
      <c r="AK14" s="4">
        <f>0.69</f>
        <v>0.69</v>
      </c>
    </row>
    <row r="15" spans="2:37" x14ac:dyDescent="0.25">
      <c r="C15" s="387" t="s">
        <v>12</v>
      </c>
      <c r="D15" s="388"/>
      <c r="E15" s="231">
        <f>0.89</f>
        <v>0.89</v>
      </c>
      <c r="F15" s="368" t="s">
        <v>5</v>
      </c>
      <c r="G15" s="4">
        <f>0.66</f>
        <v>0.66</v>
      </c>
      <c r="I15" s="387" t="s">
        <v>12</v>
      </c>
      <c r="J15" s="388"/>
      <c r="K15" s="231">
        <f>0.89</f>
        <v>0.89</v>
      </c>
      <c r="L15" s="368" t="s">
        <v>5</v>
      </c>
      <c r="M15" s="4">
        <f>0.66</f>
        <v>0.66</v>
      </c>
      <c r="O15" s="387" t="s">
        <v>12</v>
      </c>
      <c r="P15" s="388"/>
      <c r="Q15" s="231">
        <f>0.89</f>
        <v>0.89</v>
      </c>
      <c r="R15" s="368" t="s">
        <v>5</v>
      </c>
      <c r="S15" s="4">
        <f>0.66</f>
        <v>0.66</v>
      </c>
      <c r="U15" s="387" t="s">
        <v>12</v>
      </c>
      <c r="V15" s="388"/>
      <c r="W15" s="231">
        <f>0.89</f>
        <v>0.89</v>
      </c>
      <c r="X15" s="368" t="s">
        <v>5</v>
      </c>
      <c r="Y15" s="4">
        <f>0.66</f>
        <v>0.66</v>
      </c>
      <c r="AA15" s="387" t="s">
        <v>12</v>
      </c>
      <c r="AB15" s="388"/>
      <c r="AC15" s="231">
        <f>0.89</f>
        <v>0.89</v>
      </c>
      <c r="AD15" s="368" t="s">
        <v>5</v>
      </c>
      <c r="AE15" s="4">
        <f>0.66</f>
        <v>0.66</v>
      </c>
      <c r="AG15" s="387" t="s">
        <v>12</v>
      </c>
      <c r="AH15" s="388"/>
      <c r="AI15" s="231">
        <f>0.89</f>
        <v>0.89</v>
      </c>
      <c r="AJ15" s="368" t="s">
        <v>5</v>
      </c>
      <c r="AK15" s="4">
        <f>0.66</f>
        <v>0.66</v>
      </c>
    </row>
    <row r="16" spans="2:37" x14ac:dyDescent="0.25">
      <c r="C16" s="387" t="s">
        <v>11</v>
      </c>
      <c r="D16" s="388"/>
      <c r="E16" s="231">
        <f>0.86</f>
        <v>0.86</v>
      </c>
      <c r="F16" s="368" t="s">
        <v>4</v>
      </c>
      <c r="G16" s="4">
        <f>0.61</f>
        <v>0.61</v>
      </c>
      <c r="I16" s="387" t="s">
        <v>11</v>
      </c>
      <c r="J16" s="388"/>
      <c r="K16" s="231">
        <f>0.86</f>
        <v>0.86</v>
      </c>
      <c r="L16" s="368" t="s">
        <v>4</v>
      </c>
      <c r="M16" s="4">
        <f>0.61</f>
        <v>0.61</v>
      </c>
      <c r="O16" s="387" t="s">
        <v>11</v>
      </c>
      <c r="P16" s="388"/>
      <c r="Q16" s="231">
        <f>0.86</f>
        <v>0.86</v>
      </c>
      <c r="R16" s="368" t="s">
        <v>4</v>
      </c>
      <c r="S16" s="4">
        <f>0.61</f>
        <v>0.61</v>
      </c>
      <c r="U16" s="387" t="s">
        <v>11</v>
      </c>
      <c r="V16" s="388"/>
      <c r="W16" s="231">
        <f>0.86</f>
        <v>0.86</v>
      </c>
      <c r="X16" s="368" t="s">
        <v>4</v>
      </c>
      <c r="Y16" s="4">
        <f>0.61</f>
        <v>0.61</v>
      </c>
      <c r="AA16" s="387" t="s">
        <v>11</v>
      </c>
      <c r="AB16" s="388"/>
      <c r="AC16" s="231">
        <f>0.86</f>
        <v>0.86</v>
      </c>
      <c r="AD16" s="368" t="s">
        <v>4</v>
      </c>
      <c r="AE16" s="4">
        <f>0.61</f>
        <v>0.61</v>
      </c>
      <c r="AG16" s="387" t="s">
        <v>11</v>
      </c>
      <c r="AH16" s="388"/>
      <c r="AI16" s="231">
        <f>0.86</f>
        <v>0.86</v>
      </c>
      <c r="AJ16" s="368" t="s">
        <v>4</v>
      </c>
      <c r="AK16" s="4">
        <f>0.61</f>
        <v>0.61</v>
      </c>
    </row>
    <row r="17" spans="3:37" x14ac:dyDescent="0.25">
      <c r="C17" s="387" t="s">
        <v>10</v>
      </c>
      <c r="D17" s="388"/>
      <c r="E17" s="231">
        <f>0.81</f>
        <v>0.81</v>
      </c>
      <c r="F17" s="368" t="s">
        <v>3</v>
      </c>
      <c r="G17" s="4">
        <v>0.56999999999999995</v>
      </c>
      <c r="I17" s="387" t="s">
        <v>10</v>
      </c>
      <c r="J17" s="388"/>
      <c r="K17" s="231">
        <f>0.81</f>
        <v>0.81</v>
      </c>
      <c r="L17" s="368" t="s">
        <v>3</v>
      </c>
      <c r="M17" s="4">
        <v>0.56999999999999995</v>
      </c>
      <c r="O17" s="387" t="s">
        <v>10</v>
      </c>
      <c r="P17" s="388"/>
      <c r="Q17" s="231">
        <f>0.81</f>
        <v>0.81</v>
      </c>
      <c r="R17" s="368" t="s">
        <v>3</v>
      </c>
      <c r="S17" s="4">
        <v>0.56999999999999995</v>
      </c>
      <c r="U17" s="387" t="s">
        <v>10</v>
      </c>
      <c r="V17" s="388"/>
      <c r="W17" s="231">
        <f>0.81</f>
        <v>0.81</v>
      </c>
      <c r="X17" s="368" t="s">
        <v>3</v>
      </c>
      <c r="Y17" s="4">
        <v>0.56999999999999995</v>
      </c>
      <c r="AA17" s="387" t="s">
        <v>10</v>
      </c>
      <c r="AB17" s="388"/>
      <c r="AC17" s="231">
        <f>0.81</f>
        <v>0.81</v>
      </c>
      <c r="AD17" s="368" t="s">
        <v>3</v>
      </c>
      <c r="AE17" s="4">
        <v>0.56999999999999995</v>
      </c>
      <c r="AG17" s="387" t="s">
        <v>10</v>
      </c>
      <c r="AH17" s="388"/>
      <c r="AI17" s="231">
        <f>0.81</f>
        <v>0.81</v>
      </c>
      <c r="AJ17" s="368" t="s">
        <v>3</v>
      </c>
      <c r="AK17" s="4">
        <v>0.56999999999999995</v>
      </c>
    </row>
    <row r="18" spans="3:37" x14ac:dyDescent="0.25">
      <c r="C18" s="387" t="s">
        <v>9</v>
      </c>
      <c r="D18" s="388"/>
      <c r="E18" s="231">
        <f>0.79</f>
        <v>0.79</v>
      </c>
      <c r="F18" s="7" t="s">
        <v>2</v>
      </c>
      <c r="G18" s="270">
        <f>0.5</f>
        <v>0.5</v>
      </c>
      <c r="I18" s="387" t="s">
        <v>9</v>
      </c>
      <c r="J18" s="388"/>
      <c r="K18" s="231">
        <f>0.79</f>
        <v>0.79</v>
      </c>
      <c r="L18" s="7" t="s">
        <v>2</v>
      </c>
      <c r="M18" s="6">
        <f>0.5</f>
        <v>0.5</v>
      </c>
      <c r="O18" s="387" t="s">
        <v>9</v>
      </c>
      <c r="P18" s="388"/>
      <c r="Q18" s="231">
        <f>0.79</f>
        <v>0.79</v>
      </c>
      <c r="R18" s="7" t="s">
        <v>2</v>
      </c>
      <c r="S18" s="6">
        <f>0.5</f>
        <v>0.5</v>
      </c>
      <c r="U18" s="387" t="s">
        <v>9</v>
      </c>
      <c r="V18" s="388"/>
      <c r="W18" s="231">
        <f>0.79</f>
        <v>0.79</v>
      </c>
      <c r="X18" s="7" t="s">
        <v>2</v>
      </c>
      <c r="Y18" s="6">
        <f>0.5</f>
        <v>0.5</v>
      </c>
      <c r="AA18" s="387" t="s">
        <v>9</v>
      </c>
      <c r="AB18" s="388"/>
      <c r="AC18" s="231">
        <f>0.79</f>
        <v>0.79</v>
      </c>
      <c r="AD18" s="7" t="s">
        <v>2</v>
      </c>
      <c r="AE18" s="6">
        <f>0.5</f>
        <v>0.5</v>
      </c>
      <c r="AG18" s="387" t="s">
        <v>9</v>
      </c>
      <c r="AH18" s="388"/>
      <c r="AI18" s="231">
        <f>0.79</f>
        <v>0.79</v>
      </c>
      <c r="AJ18" s="7" t="s">
        <v>2</v>
      </c>
      <c r="AK18" s="6">
        <f>0.5</f>
        <v>0.5</v>
      </c>
    </row>
    <row r="19" spans="3:37" x14ac:dyDescent="0.25">
      <c r="C19" s="387" t="s">
        <v>8</v>
      </c>
      <c r="D19" s="388"/>
      <c r="E19" s="231">
        <f>0.76</f>
        <v>0.76</v>
      </c>
      <c r="F19" s="368" t="s">
        <v>1</v>
      </c>
      <c r="G19" s="4">
        <f>G16</f>
        <v>0.61</v>
      </c>
      <c r="I19" s="387" t="s">
        <v>8</v>
      </c>
      <c r="J19" s="388"/>
      <c r="K19" s="231">
        <f>0.76</f>
        <v>0.76</v>
      </c>
      <c r="L19" s="368" t="s">
        <v>1</v>
      </c>
      <c r="M19" s="4">
        <f>M16</f>
        <v>0.61</v>
      </c>
      <c r="O19" s="387" t="s">
        <v>8</v>
      </c>
      <c r="P19" s="388"/>
      <c r="Q19" s="231">
        <f>0.76</f>
        <v>0.76</v>
      </c>
      <c r="R19" s="368" t="s">
        <v>1</v>
      </c>
      <c r="S19" s="4">
        <f>S16</f>
        <v>0.61</v>
      </c>
      <c r="U19" s="387" t="s">
        <v>8</v>
      </c>
      <c r="V19" s="388"/>
      <c r="W19" s="231">
        <f>0.76</f>
        <v>0.76</v>
      </c>
      <c r="X19" s="368" t="s">
        <v>1</v>
      </c>
      <c r="Y19" s="4">
        <f>Y16</f>
        <v>0.61</v>
      </c>
      <c r="AA19" s="387" t="s">
        <v>8</v>
      </c>
      <c r="AB19" s="388"/>
      <c r="AC19" s="231">
        <f>0.76</f>
        <v>0.76</v>
      </c>
      <c r="AD19" s="368" t="s">
        <v>1</v>
      </c>
      <c r="AE19" s="4">
        <f>AE16</f>
        <v>0.61</v>
      </c>
      <c r="AG19" s="387" t="s">
        <v>8</v>
      </c>
      <c r="AH19" s="388"/>
      <c r="AI19" s="231">
        <f>0.76</f>
        <v>0.76</v>
      </c>
      <c r="AJ19" s="368" t="s">
        <v>1</v>
      </c>
      <c r="AK19" s="4">
        <f>AK16</f>
        <v>0.61</v>
      </c>
    </row>
    <row r="20" spans="3:37" ht="15.75" thickBot="1" x14ac:dyDescent="0.3">
      <c r="C20" s="406" t="s">
        <v>7</v>
      </c>
      <c r="D20" s="407"/>
      <c r="E20" s="232">
        <f>0.71</f>
        <v>0.71</v>
      </c>
      <c r="F20" s="367" t="s">
        <v>0</v>
      </c>
      <c r="G20" s="2">
        <f>IFERROR('Semester 1'!D30/F20,0)</f>
        <v>0</v>
      </c>
      <c r="I20" s="406" t="s">
        <v>7</v>
      </c>
      <c r="J20" s="407"/>
      <c r="K20" s="232">
        <f>0.71</f>
        <v>0.71</v>
      </c>
      <c r="L20" s="367" t="s">
        <v>0</v>
      </c>
      <c r="M20" s="2">
        <f>IFERROR('Semester 1'!J30/L20,0)</f>
        <v>0</v>
      </c>
      <c r="O20" s="406" t="s">
        <v>7</v>
      </c>
      <c r="P20" s="407"/>
      <c r="Q20" s="232">
        <f>0.71</f>
        <v>0.71</v>
      </c>
      <c r="R20" s="367" t="s">
        <v>0</v>
      </c>
      <c r="S20" s="2">
        <f>IFERROR('Semester 1'!P30/R20,0)</f>
        <v>0</v>
      </c>
      <c r="U20" s="406" t="s">
        <v>7</v>
      </c>
      <c r="V20" s="407"/>
      <c r="W20" s="232">
        <f>0.71</f>
        <v>0.71</v>
      </c>
      <c r="X20" s="367" t="s">
        <v>0</v>
      </c>
      <c r="Y20" s="2">
        <f>IFERROR('Semester 1'!V30/X20,0)</f>
        <v>0</v>
      </c>
      <c r="AA20" s="406" t="s">
        <v>7</v>
      </c>
      <c r="AB20" s="407"/>
      <c r="AC20" s="232">
        <f>0.71</f>
        <v>0.71</v>
      </c>
      <c r="AD20" s="367" t="s">
        <v>0</v>
      </c>
      <c r="AE20" s="2">
        <f>IFERROR('Semester 1'!AB30/AD20,0)</f>
        <v>0</v>
      </c>
      <c r="AG20" s="406" t="s">
        <v>7</v>
      </c>
      <c r="AH20" s="407"/>
      <c r="AI20" s="232">
        <f>0.71</f>
        <v>0.71</v>
      </c>
      <c r="AJ20" s="367" t="s">
        <v>0</v>
      </c>
      <c r="AK20" s="2">
        <f>IFERROR('Semester 1'!AH30/AJ20,0)</f>
        <v>0</v>
      </c>
    </row>
    <row r="21" spans="3:37" ht="16.5" thickTop="1" thickBot="1" x14ac:dyDescent="0.3"/>
    <row r="22" spans="3:37" ht="16.5" thickTop="1" thickBot="1" x14ac:dyDescent="0.3">
      <c r="C22" s="408" t="s">
        <v>426</v>
      </c>
      <c r="D22" s="409"/>
      <c r="E22" s="409"/>
      <c r="F22" s="409"/>
      <c r="G22" s="410"/>
      <c r="I22" s="408" t="s">
        <v>426</v>
      </c>
      <c r="J22" s="409"/>
      <c r="K22" s="409"/>
      <c r="L22" s="409"/>
      <c r="M22" s="410"/>
      <c r="O22" s="408" t="s">
        <v>426</v>
      </c>
      <c r="P22" s="409"/>
      <c r="Q22" s="409"/>
      <c r="R22" s="409"/>
      <c r="S22" s="410"/>
      <c r="U22" s="408" t="s">
        <v>426</v>
      </c>
      <c r="V22" s="409"/>
      <c r="W22" s="409"/>
      <c r="X22" s="409"/>
      <c r="Y22" s="410"/>
      <c r="AA22" s="408" t="s">
        <v>426</v>
      </c>
      <c r="AB22" s="409"/>
      <c r="AC22" s="409"/>
      <c r="AD22" s="409"/>
      <c r="AE22" s="410"/>
      <c r="AG22" s="408" t="s">
        <v>426</v>
      </c>
      <c r="AH22" s="409"/>
      <c r="AI22" s="409"/>
      <c r="AJ22" s="409"/>
      <c r="AK22" s="410"/>
    </row>
    <row r="23" spans="3:37" ht="16.5" thickTop="1" thickBot="1" x14ac:dyDescent="0.3">
      <c r="C23" s="237">
        <v>1</v>
      </c>
      <c r="D23" s="235" t="s">
        <v>326</v>
      </c>
      <c r="E23" s="236">
        <v>1</v>
      </c>
      <c r="F23" s="233" t="s">
        <v>19</v>
      </c>
      <c r="G23" s="234">
        <f>1</f>
        <v>1</v>
      </c>
      <c r="I23" s="237">
        <v>1</v>
      </c>
      <c r="J23" s="235" t="s">
        <v>326</v>
      </c>
      <c r="K23" s="236">
        <v>1</v>
      </c>
      <c r="L23" s="233" t="s">
        <v>19</v>
      </c>
      <c r="M23" s="234">
        <f>1</f>
        <v>1</v>
      </c>
      <c r="O23" s="237">
        <v>1</v>
      </c>
      <c r="P23" s="235" t="s">
        <v>326</v>
      </c>
      <c r="Q23" s="236">
        <v>1</v>
      </c>
      <c r="R23" s="233" t="s">
        <v>19</v>
      </c>
      <c r="S23" s="234">
        <f>1</f>
        <v>1</v>
      </c>
      <c r="U23" s="237">
        <v>1</v>
      </c>
      <c r="V23" s="235" t="s">
        <v>326</v>
      </c>
      <c r="W23" s="236">
        <v>1</v>
      </c>
      <c r="X23" s="233" t="s">
        <v>19</v>
      </c>
      <c r="Y23" s="234">
        <f>1</f>
        <v>1</v>
      </c>
      <c r="AA23" s="237">
        <v>1</v>
      </c>
      <c r="AB23" s="235" t="s">
        <v>326</v>
      </c>
      <c r="AC23" s="236">
        <v>1</v>
      </c>
      <c r="AD23" s="233" t="s">
        <v>19</v>
      </c>
      <c r="AE23" s="234">
        <f>1</f>
        <v>1</v>
      </c>
      <c r="AG23" s="237">
        <v>1</v>
      </c>
      <c r="AH23" s="235" t="s">
        <v>326</v>
      </c>
      <c r="AI23" s="236">
        <v>1</v>
      </c>
      <c r="AJ23" s="233" t="s">
        <v>19</v>
      </c>
      <c r="AK23" s="234">
        <f>1</f>
        <v>1</v>
      </c>
    </row>
    <row r="24" spans="3:37" ht="15.75" thickTop="1" x14ac:dyDescent="0.25">
      <c r="C24" s="238" t="s">
        <v>98</v>
      </c>
      <c r="D24" s="254">
        <f ca="1">SUM(EtCT:downtwo)</f>
        <v>80</v>
      </c>
      <c r="E24" s="254">
        <f ca="1">SUM(TtCT:downtwo)</f>
        <v>100</v>
      </c>
      <c r="F24" s="411">
        <f ca="1">IFERROR(D24/E24,0)</f>
        <v>0.8</v>
      </c>
      <c r="G24" s="412"/>
      <c r="I24" s="238" t="s">
        <v>98</v>
      </c>
      <c r="J24" s="254">
        <f ca="1">SUM(EtCT:downtwo)</f>
        <v>85</v>
      </c>
      <c r="K24" s="254">
        <f ca="1">SUM(TtCT:downtwo)</f>
        <v>100</v>
      </c>
      <c r="L24" s="411">
        <f ca="1">IFERROR(J24/K24,0)</f>
        <v>0.85</v>
      </c>
      <c r="M24" s="412"/>
      <c r="O24" s="238" t="s">
        <v>98</v>
      </c>
      <c r="P24" s="254">
        <f ca="1">SUM(EtCT:downtwo)</f>
        <v>70</v>
      </c>
      <c r="Q24" s="254">
        <f ca="1">SUM(TtCT:downtwo)</f>
        <v>100</v>
      </c>
      <c r="R24" s="411">
        <f ca="1">IFERROR(P24/Q24,0)</f>
        <v>0.7</v>
      </c>
      <c r="S24" s="412"/>
      <c r="U24" s="238" t="s">
        <v>98</v>
      </c>
      <c r="V24" s="254">
        <f ca="1">SUM(EtCT:downtwo)</f>
        <v>75</v>
      </c>
      <c r="W24" s="254">
        <f ca="1">SUM(TtCT:downtwo)</f>
        <v>100</v>
      </c>
      <c r="X24" s="411">
        <f ca="1">IFERROR(V24/W24,0)</f>
        <v>0.75</v>
      </c>
      <c r="Y24" s="412"/>
      <c r="AA24" s="238" t="s">
        <v>98</v>
      </c>
      <c r="AB24" s="254">
        <f ca="1">SUM(EtCT:downtwo)</f>
        <v>100</v>
      </c>
      <c r="AC24" s="254">
        <f ca="1">SUM(TtCT:downtwo)</f>
        <v>100</v>
      </c>
      <c r="AD24" s="411">
        <f ca="1">IFERROR(AB24/AC24,0)</f>
        <v>1</v>
      </c>
      <c r="AE24" s="412"/>
      <c r="AG24" s="238" t="s">
        <v>98</v>
      </c>
      <c r="AH24" s="254">
        <f ca="1">SUM(EtCT:downtwo)</f>
        <v>90</v>
      </c>
      <c r="AI24" s="254">
        <f ca="1">SUM(TtCT:downtwo)</f>
        <v>100</v>
      </c>
      <c r="AJ24" s="411">
        <f ca="1">IFERROR(AH24/AI24,0)</f>
        <v>0.9</v>
      </c>
      <c r="AK24" s="412"/>
    </row>
    <row r="25" spans="3:37" ht="15.75" thickBot="1" x14ac:dyDescent="0.3">
      <c r="C25" s="239" t="s">
        <v>18</v>
      </c>
      <c r="D25" s="413" t="s">
        <v>17</v>
      </c>
      <c r="E25" s="413"/>
      <c r="F25" s="240" t="s">
        <v>16</v>
      </c>
      <c r="G25" s="241" t="s">
        <v>15</v>
      </c>
      <c r="I25" s="239" t="s">
        <v>18</v>
      </c>
      <c r="J25" s="413" t="s">
        <v>17</v>
      </c>
      <c r="K25" s="413"/>
      <c r="L25" s="240" t="s">
        <v>16</v>
      </c>
      <c r="M25" s="241" t="s">
        <v>15</v>
      </c>
      <c r="O25" s="239" t="s">
        <v>18</v>
      </c>
      <c r="P25" s="413" t="s">
        <v>17</v>
      </c>
      <c r="Q25" s="413"/>
      <c r="R25" s="240" t="s">
        <v>16</v>
      </c>
      <c r="S25" s="241" t="s">
        <v>15</v>
      </c>
      <c r="U25" s="239" t="s">
        <v>18</v>
      </c>
      <c r="V25" s="413" t="s">
        <v>17</v>
      </c>
      <c r="W25" s="413"/>
      <c r="X25" s="240" t="s">
        <v>16</v>
      </c>
      <c r="Y25" s="241" t="s">
        <v>15</v>
      </c>
      <c r="AA25" s="239" t="s">
        <v>18</v>
      </c>
      <c r="AB25" s="413" t="s">
        <v>17</v>
      </c>
      <c r="AC25" s="413"/>
      <c r="AD25" s="240" t="s">
        <v>16</v>
      </c>
      <c r="AE25" s="241" t="s">
        <v>15</v>
      </c>
      <c r="AG25" s="239" t="s">
        <v>18</v>
      </c>
      <c r="AH25" s="413" t="s">
        <v>17</v>
      </c>
      <c r="AI25" s="413"/>
      <c r="AJ25" s="240" t="s">
        <v>16</v>
      </c>
      <c r="AK25" s="241" t="s">
        <v>15</v>
      </c>
    </row>
    <row r="26" spans="3:37" ht="16.5" thickTop="1" thickBot="1" x14ac:dyDescent="0.3">
      <c r="C26" s="11" t="s">
        <v>14</v>
      </c>
      <c r="D26" s="10">
        <v>80</v>
      </c>
      <c r="E26" s="10">
        <v>100</v>
      </c>
      <c r="F26" s="9">
        <f>IFERROR(D26/E26,0)</f>
        <v>0.8</v>
      </c>
      <c r="G26" s="8"/>
      <c r="I26" s="11" t="s">
        <v>14</v>
      </c>
      <c r="J26" s="10">
        <v>85</v>
      </c>
      <c r="K26" s="10">
        <v>100</v>
      </c>
      <c r="L26" s="9">
        <f>IFERROR(J26/K26,0)</f>
        <v>0.85</v>
      </c>
      <c r="M26" s="8"/>
      <c r="O26" s="11" t="s">
        <v>14</v>
      </c>
      <c r="P26" s="10">
        <v>70</v>
      </c>
      <c r="Q26" s="10">
        <v>100</v>
      </c>
      <c r="R26" s="9">
        <f>IFERROR(P26/Q26,0)</f>
        <v>0.7</v>
      </c>
      <c r="S26" s="8"/>
      <c r="U26" s="11" t="s">
        <v>14</v>
      </c>
      <c r="V26" s="10">
        <v>75</v>
      </c>
      <c r="W26" s="10">
        <v>100</v>
      </c>
      <c r="X26" s="9">
        <f>IFERROR(V26/W26,0)</f>
        <v>0.75</v>
      </c>
      <c r="Y26" s="8"/>
      <c r="AA26" s="11" t="s">
        <v>14</v>
      </c>
      <c r="AB26" s="10">
        <v>100</v>
      </c>
      <c r="AC26" s="10">
        <v>100</v>
      </c>
      <c r="AD26" s="9">
        <f>IFERROR(AB26/AC26,0)</f>
        <v>1</v>
      </c>
      <c r="AE26" s="8"/>
      <c r="AG26" s="11" t="s">
        <v>14</v>
      </c>
      <c r="AH26" s="10">
        <v>90</v>
      </c>
      <c r="AI26" s="10">
        <v>100</v>
      </c>
      <c r="AJ26" s="9">
        <f>IFERROR(AH26/AI26,0)</f>
        <v>0.9</v>
      </c>
      <c r="AK26" s="8"/>
    </row>
    <row r="27" spans="3:37" ht="16.5" thickTop="1" thickBot="1" x14ac:dyDescent="0.3">
      <c r="C27" s="403"/>
      <c r="D27" s="404"/>
      <c r="E27" s="404"/>
      <c r="F27" s="404"/>
      <c r="G27" s="405"/>
      <c r="I27" s="403"/>
      <c r="J27" s="404"/>
      <c r="K27" s="404"/>
      <c r="L27" s="404"/>
      <c r="M27" s="405"/>
      <c r="O27" s="403"/>
      <c r="P27" s="404"/>
      <c r="Q27" s="404"/>
      <c r="R27" s="404"/>
      <c r="S27" s="405"/>
      <c r="U27" s="403"/>
      <c r="V27" s="404"/>
      <c r="W27" s="404"/>
      <c r="X27" s="404"/>
      <c r="Y27" s="405"/>
      <c r="AA27" s="403"/>
      <c r="AB27" s="404"/>
      <c r="AC27" s="404"/>
      <c r="AD27" s="404"/>
      <c r="AE27" s="405"/>
      <c r="AG27" s="403"/>
      <c r="AH27" s="404"/>
      <c r="AI27" s="404"/>
      <c r="AJ27" s="404"/>
      <c r="AK27" s="405"/>
    </row>
    <row r="28" spans="3:37" ht="15.75" thickTop="1" x14ac:dyDescent="0.25"/>
  </sheetData>
  <mergeCells count="102">
    <mergeCell ref="C27:G27"/>
    <mergeCell ref="AG27:AK27"/>
    <mergeCell ref="AA27:AE27"/>
    <mergeCell ref="U27:Y27"/>
    <mergeCell ref="O27:S27"/>
    <mergeCell ref="I27:M27"/>
    <mergeCell ref="I22:M22"/>
    <mergeCell ref="L24:M24"/>
    <mergeCell ref="J25:K25"/>
    <mergeCell ref="U22:Y22"/>
    <mergeCell ref="X24:Y24"/>
    <mergeCell ref="V25:W25"/>
    <mergeCell ref="C15:D15"/>
    <mergeCell ref="C16:D16"/>
    <mergeCell ref="C17:D17"/>
    <mergeCell ref="C18:D18"/>
    <mergeCell ref="C20:D20"/>
    <mergeCell ref="C22:G22"/>
    <mergeCell ref="F24:G24"/>
    <mergeCell ref="D25:E25"/>
    <mergeCell ref="I15:J15"/>
    <mergeCell ref="I16:J16"/>
    <mergeCell ref="I17:J17"/>
    <mergeCell ref="I18:J18"/>
    <mergeCell ref="I20:J20"/>
    <mergeCell ref="C19:D19"/>
    <mergeCell ref="I19:J19"/>
    <mergeCell ref="O15:P15"/>
    <mergeCell ref="O16:P16"/>
    <mergeCell ref="O17:P17"/>
    <mergeCell ref="O18:P18"/>
    <mergeCell ref="O20:P20"/>
    <mergeCell ref="O22:S22"/>
    <mergeCell ref="R24:S24"/>
    <mergeCell ref="P25:Q25"/>
    <mergeCell ref="U15:V15"/>
    <mergeCell ref="U16:V16"/>
    <mergeCell ref="U17:V17"/>
    <mergeCell ref="U18:V18"/>
    <mergeCell ref="U20:V20"/>
    <mergeCell ref="O19:P19"/>
    <mergeCell ref="U19:V19"/>
    <mergeCell ref="AG20:AH20"/>
    <mergeCell ref="AG22:AK22"/>
    <mergeCell ref="AJ24:AK24"/>
    <mergeCell ref="AH25:AI25"/>
    <mergeCell ref="AA15:AB15"/>
    <mergeCell ref="AA16:AB16"/>
    <mergeCell ref="AA17:AB17"/>
    <mergeCell ref="AA18:AB18"/>
    <mergeCell ref="AA20:AB20"/>
    <mergeCell ref="AA22:AE22"/>
    <mergeCell ref="AD24:AE24"/>
    <mergeCell ref="AB25:AC25"/>
    <mergeCell ref="AG19:AH19"/>
    <mergeCell ref="AA19:AB19"/>
    <mergeCell ref="AG15:AH15"/>
    <mergeCell ref="AG16:AH16"/>
    <mergeCell ref="AG17:AH17"/>
    <mergeCell ref="AG18:AH18"/>
    <mergeCell ref="B2:D2"/>
    <mergeCell ref="E2:G2"/>
    <mergeCell ref="B3:C3"/>
    <mergeCell ref="E3:F3"/>
    <mergeCell ref="B4:C4"/>
    <mergeCell ref="E4:F4"/>
    <mergeCell ref="AG7:AH7"/>
    <mergeCell ref="C6:G6"/>
    <mergeCell ref="I6:M6"/>
    <mergeCell ref="O6:S6"/>
    <mergeCell ref="U6:Y6"/>
    <mergeCell ref="AA6:AE6"/>
    <mergeCell ref="AG6:AK6"/>
    <mergeCell ref="C7:D7"/>
    <mergeCell ref="I7:J7"/>
    <mergeCell ref="O7:P7"/>
    <mergeCell ref="U7:V7"/>
    <mergeCell ref="AA7:AB7"/>
    <mergeCell ref="AG9:AK9"/>
    <mergeCell ref="C8:D8"/>
    <mergeCell ref="I8:J8"/>
    <mergeCell ref="O8:P8"/>
    <mergeCell ref="U8:V8"/>
    <mergeCell ref="AA8:AB8"/>
    <mergeCell ref="AG8:AH8"/>
    <mergeCell ref="C9:G9"/>
    <mergeCell ref="I9:M9"/>
    <mergeCell ref="O9:S9"/>
    <mergeCell ref="U9:Y9"/>
    <mergeCell ref="AA9:AE9"/>
    <mergeCell ref="AG14:AH14"/>
    <mergeCell ref="C13:G13"/>
    <mergeCell ref="I13:M13"/>
    <mergeCell ref="O13:S13"/>
    <mergeCell ref="U13:Y13"/>
    <mergeCell ref="AA13:AE13"/>
    <mergeCell ref="AG13:AK13"/>
    <mergeCell ref="C14:D14"/>
    <mergeCell ref="I14:J14"/>
    <mergeCell ref="O14:P14"/>
    <mergeCell ref="U14:V14"/>
    <mergeCell ref="AA14:AB14"/>
  </mergeCells>
  <conditionalFormatting sqref="E14:E20">
    <cfRule type="expression" dxfId="53" priority="10">
      <formula>IF((CELLV)&gt;(1-LSFa),1,0)</formula>
    </cfRule>
  </conditionalFormatting>
  <conditionalFormatting sqref="G14:G20">
    <cfRule type="expression" dxfId="52" priority="9">
      <formula>IF((CELLV)&gt;(1-LSFa),1,0)</formula>
    </cfRule>
  </conditionalFormatting>
  <conditionalFormatting sqref="K14:K20">
    <cfRule type="expression" dxfId="51" priority="8">
      <formula>IF((CELLV)&gt;(1-LSFb),1,0)</formula>
    </cfRule>
  </conditionalFormatting>
  <conditionalFormatting sqref="M14:M20">
    <cfRule type="expression" dxfId="50" priority="7">
      <formula>IF((CELLV)&gt;(1-LSFb),1,0)</formula>
    </cfRule>
  </conditionalFormatting>
  <conditionalFormatting sqref="AE14:AE20">
    <cfRule type="expression" dxfId="49" priority="1">
      <formula>IF((CELLV)&gt;(1-LSFe),1,0)</formula>
    </cfRule>
  </conditionalFormatting>
  <conditionalFormatting sqref="Q14:Q20">
    <cfRule type="expression" dxfId="48" priority="6">
      <formula>IF((CELLV)&gt;(1-LSFc),1,0)</formula>
    </cfRule>
  </conditionalFormatting>
  <conditionalFormatting sqref="S14:S20">
    <cfRule type="expression" dxfId="47" priority="5">
      <formula>IF((CELLV)&gt;(1-LSFc),1,0)</formula>
    </cfRule>
  </conditionalFormatting>
  <conditionalFormatting sqref="W14:W20">
    <cfRule type="expression" dxfId="46" priority="4">
      <formula>IF((CELLV)&gt;(1-LSFd),1,0)</formula>
    </cfRule>
  </conditionalFormatting>
  <conditionalFormatting sqref="Y14:Y20">
    <cfRule type="expression" dxfId="45" priority="3">
      <formula>IF((CELLV)&gt;(1-LSFd),1,0)</formula>
    </cfRule>
  </conditionalFormatting>
  <conditionalFormatting sqref="AC14:AC20">
    <cfRule type="expression" dxfId="44" priority="2">
      <formula>IF((CELLV)&gt;(1-LSFe),1,0)</formula>
    </cfRule>
  </conditionalFormatting>
  <dataValidations count="4">
    <dataValidation type="list" allowBlank="1" showInputMessage="1" showErrorMessage="1" sqref="G8 M8 S8 Y8 AE8 AK8" xr:uid="{E15F900D-179E-4AB6-9477-B09027F6200C}">
      <formula1>",Class,Retake,Dropped,P/F,Research"</formula1>
    </dataValidation>
    <dataValidation type="list" allowBlank="1" showInputMessage="1" showErrorMessage="1" sqref="K8 Q8 W8 AC8 E8" xr:uid="{63DE2622-9080-4C4A-A821-A3E3D5345A63}">
      <formula1>"0,1,2,3,4,5,6,7"</formula1>
    </dataValidation>
    <dataValidation type="whole" operator="greaterThan" allowBlank="1" showInputMessage="1" showErrorMessage="1" sqref="E23 AI23 AC23 W23 Q23 K23" xr:uid="{4F401822-B63A-4699-A39D-316BFEADD0AA}">
      <formula1>0</formula1>
    </dataValidation>
    <dataValidation type="list" allowBlank="1" showInputMessage="1" showErrorMessage="1" sqref="AI8" xr:uid="{E57A45F1-B983-47B3-9446-988E62CD5B75}">
      <formula1>"NA,1,2,3,4,5,6,7"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F4DB2E2-09EE-4018-83D9-1CCB98F8ECBC}">
          <x14:formula1>
            <xm:f>OFFSET(Settings!$L$4,0,0,INDIRECT(ADDRESS(ROW(),COLUMN()+2))+1,1)</xm:f>
          </x14:formula1>
          <xm:sqref>C23 AG23 AA23 U23 O23 I23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82C52-59BD-4D65-B1B7-F238F322D947}">
  <sheetPr>
    <tabColor theme="7"/>
  </sheetPr>
  <dimension ref="B1:J41"/>
  <sheetViews>
    <sheetView showGridLines="0" zoomScale="91" zoomScaleNormal="91" workbookViewId="0">
      <selection activeCell="C14" sqref="C14:G20"/>
    </sheetView>
  </sheetViews>
  <sheetFormatPr defaultRowHeight="15" x14ac:dyDescent="0.25"/>
  <cols>
    <col min="1" max="1" width="4" style="1" customWidth="1"/>
    <col min="2" max="2" width="9.140625" style="1"/>
    <col min="3" max="3" width="7.7109375" style="1" customWidth="1"/>
    <col min="4" max="4" width="6" style="1" customWidth="1"/>
    <col min="5" max="5" width="8.42578125" style="1" customWidth="1"/>
    <col min="6" max="6" width="10.140625" style="1" bestFit="1" customWidth="1"/>
    <col min="7" max="7" width="9.140625" style="1"/>
    <col min="8" max="8" width="3" style="1" customWidth="1"/>
    <col min="9" max="9" width="11.5703125" style="1" customWidth="1"/>
    <col min="10" max="10" width="6.42578125" style="1" customWidth="1"/>
    <col min="11" max="11" width="7.85546875" style="1" customWidth="1"/>
    <col min="12" max="12" width="10.28515625" style="1" customWidth="1"/>
    <col min="13" max="13" width="9.140625" style="1"/>
    <col min="14" max="14" width="3.28515625" style="1" customWidth="1"/>
    <col min="15" max="15" width="8.85546875" style="1" customWidth="1"/>
    <col min="16" max="16" width="6.140625" style="1" customWidth="1"/>
    <col min="17" max="17" width="7.42578125" style="1" customWidth="1"/>
    <col min="18" max="18" width="10.28515625" style="1" customWidth="1"/>
    <col min="19" max="19" width="9.140625" style="1"/>
    <col min="20" max="20" width="3.140625" style="1" customWidth="1"/>
    <col min="21" max="21" width="9.140625" style="1"/>
    <col min="22" max="22" width="6.5703125" style="1" customWidth="1"/>
    <col min="23" max="23" width="8.2851562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16384" width="9.140625" style="1"/>
  </cols>
  <sheetData>
    <row r="1" spans="2:7" ht="15.75" thickBot="1" x14ac:dyDescent="0.3"/>
    <row r="2" spans="2:7" ht="16.5" thickTop="1" thickBot="1" x14ac:dyDescent="0.3">
      <c r="B2" s="394" t="s">
        <v>120</v>
      </c>
      <c r="C2" s="395"/>
      <c r="D2" s="395"/>
      <c r="E2" s="395" t="s">
        <v>142</v>
      </c>
      <c r="F2" s="395"/>
      <c r="G2" s="396"/>
    </row>
    <row r="3" spans="2:7" ht="15.75" thickTop="1" x14ac:dyDescent="0.25">
      <c r="B3" s="397" t="s">
        <v>118</v>
      </c>
      <c r="C3" s="398"/>
      <c r="D3" s="245">
        <f>COUNTIF(6:6,"*")</f>
        <v>1</v>
      </c>
      <c r="E3" s="399" t="s">
        <v>117</v>
      </c>
      <c r="F3" s="398"/>
      <c r="G3" s="101" t="e">
        <f ca="1">G4/SUM(IF(OR(G8="P/F",G8="Dropped",G8="Retaken"),0,E8),IF(OR(M8="P/F",M8="Dropped",M8="Retaken"),0,K8),IF(OR(S8="P/F",S8="Dropped",S8="Retaken"),0,Q8),IF(OR(Y8="P/F",Y8="Dropped",Y8="Retaken"),0,W8),IF(OR(AE8="P/F",AE8="Dropped",AE8="Retaken"),0,AC8),IF(OR(AK8="P/F",AK8="Dropped",AK8="Retaken"),0,AI8),IF(OR(AQ8="P/F",AQ8="Dropped",AQ8="Retaken"),0,AO8))</f>
        <v>#DIV/0!</v>
      </c>
    </row>
    <row r="4" spans="2:7" ht="15.75" thickBot="1" x14ac:dyDescent="0.3">
      <c r="B4" s="400" t="s">
        <v>115</v>
      </c>
      <c r="C4" s="401"/>
      <c r="D4" s="244">
        <f>SUMIF(8:8,"&lt;&gt;#N/A")</f>
        <v>4</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0</v>
      </c>
    </row>
    <row r="5" spans="2:7" ht="16.5" thickTop="1" thickBot="1" x14ac:dyDescent="0.3"/>
    <row r="6" spans="2:7" ht="16.5" thickTop="1" thickBot="1" x14ac:dyDescent="0.3">
      <c r="C6" s="382" t="s">
        <v>143</v>
      </c>
      <c r="D6" s="383"/>
      <c r="E6" s="383"/>
      <c r="F6" s="383"/>
      <c r="G6" s="384"/>
    </row>
    <row r="7" spans="2:7" x14ac:dyDescent="0.25">
      <c r="C7" s="385" t="s">
        <v>106</v>
      </c>
      <c r="D7" s="386"/>
      <c r="E7" s="99">
        <f ca="1">COUNTIF(F$6:F$225,"Weight*")</f>
        <v>1</v>
      </c>
      <c r="F7" s="100" t="s">
        <v>105</v>
      </c>
      <c r="G7" s="97" t="s">
        <v>144</v>
      </c>
    </row>
    <row r="8" spans="2:7" ht="15.75" thickBot="1" x14ac:dyDescent="0.3">
      <c r="C8" s="377" t="s">
        <v>102</v>
      </c>
      <c r="D8" s="378"/>
      <c r="E8" s="95">
        <v>4</v>
      </c>
      <c r="F8" s="96" t="s">
        <v>101</v>
      </c>
      <c r="G8" s="93" t="s">
        <v>127</v>
      </c>
    </row>
    <row r="9" spans="2:7" ht="15.75" thickTop="1" x14ac:dyDescent="0.25">
      <c r="C9" s="379" t="s">
        <v>99</v>
      </c>
      <c r="D9" s="380"/>
      <c r="E9" s="380"/>
      <c r="F9" s="380"/>
      <c r="G9" s="381"/>
    </row>
    <row r="10" spans="2:7" x14ac:dyDescent="0.25">
      <c r="C10" s="92" t="s">
        <v>98</v>
      </c>
      <c r="D10" s="300"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1</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v>
      </c>
    </row>
    <row r="11" spans="2:7" ht="15.75" thickBot="1" x14ac:dyDescent="0.3">
      <c r="C11" s="88" t="s">
        <v>96</v>
      </c>
      <c r="D11" s="87" t="str"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E11" s="86"/>
      <c r="F11" s="86" t="s">
        <v>95</v>
      </c>
      <c r="G11" s="242" t="str" cm="1">
        <f t="array" aca="1" ref="G11" ca="1">IF(OR(QPtCT="Dropped",QPtCT="P/F"),"NA",QPtGPA*QPtCR)</f>
        <v>NA</v>
      </c>
    </row>
    <row r="12" spans="2:7" ht="12" customHeight="1" thickTop="1" thickBot="1" x14ac:dyDescent="0.3"/>
    <row r="13" spans="2:7" ht="16.5" thickTop="1" thickBot="1" x14ac:dyDescent="0.3">
      <c r="C13" s="389" t="s">
        <v>327</v>
      </c>
      <c r="D13" s="390"/>
      <c r="E13" s="390"/>
      <c r="F13" s="390"/>
      <c r="G13" s="391"/>
    </row>
    <row r="14" spans="2:7" ht="15.75" thickTop="1" x14ac:dyDescent="0.25">
      <c r="C14" s="392" t="s">
        <v>13</v>
      </c>
      <c r="D14" s="393"/>
      <c r="E14" s="231">
        <f>0.92</f>
        <v>0.92</v>
      </c>
      <c r="F14" s="368" t="s">
        <v>6</v>
      </c>
      <c r="G14" s="4">
        <f>0.69</f>
        <v>0.69</v>
      </c>
    </row>
    <row r="15" spans="2:7" x14ac:dyDescent="0.25">
      <c r="C15" s="387" t="s">
        <v>12</v>
      </c>
      <c r="D15" s="388"/>
      <c r="E15" s="231">
        <f>0.89</f>
        <v>0.89</v>
      </c>
      <c r="F15" s="368" t="s">
        <v>5</v>
      </c>
      <c r="G15" s="4">
        <f>0.66</f>
        <v>0.66</v>
      </c>
    </row>
    <row r="16" spans="2:7" x14ac:dyDescent="0.25">
      <c r="C16" s="387" t="s">
        <v>11</v>
      </c>
      <c r="D16" s="388"/>
      <c r="E16" s="231">
        <f>0.86</f>
        <v>0.86</v>
      </c>
      <c r="F16" s="368" t="s">
        <v>4</v>
      </c>
      <c r="G16" s="4">
        <f>0.61</f>
        <v>0.61</v>
      </c>
    </row>
    <row r="17" spans="3:7" x14ac:dyDescent="0.25">
      <c r="C17" s="387" t="s">
        <v>10</v>
      </c>
      <c r="D17" s="388"/>
      <c r="E17" s="231">
        <f>0.81</f>
        <v>0.81</v>
      </c>
      <c r="F17" s="368" t="s">
        <v>3</v>
      </c>
      <c r="G17" s="4">
        <v>0.56999999999999995</v>
      </c>
    </row>
    <row r="18" spans="3:7" x14ac:dyDescent="0.25">
      <c r="C18" s="387" t="s">
        <v>9</v>
      </c>
      <c r="D18" s="388"/>
      <c r="E18" s="231">
        <f>0.79</f>
        <v>0.79</v>
      </c>
      <c r="F18" s="7" t="s">
        <v>2</v>
      </c>
      <c r="G18" s="270">
        <f>0.5</f>
        <v>0.5</v>
      </c>
    </row>
    <row r="19" spans="3:7" x14ac:dyDescent="0.25">
      <c r="C19" s="387" t="s">
        <v>8</v>
      </c>
      <c r="D19" s="388"/>
      <c r="E19" s="231">
        <f>0.76</f>
        <v>0.76</v>
      </c>
      <c r="F19" s="368" t="s">
        <v>1</v>
      </c>
      <c r="G19" s="4">
        <f>G16</f>
        <v>0.61</v>
      </c>
    </row>
    <row r="20" spans="3:7" ht="15.75" thickBot="1" x14ac:dyDescent="0.3">
      <c r="C20" s="406" t="s">
        <v>7</v>
      </c>
      <c r="D20" s="407"/>
      <c r="E20" s="232">
        <f>0.71</f>
        <v>0.71</v>
      </c>
      <c r="F20" s="367" t="s">
        <v>0</v>
      </c>
      <c r="G20" s="2">
        <f>IFERROR('Semester 1'!D30/F20,0)</f>
        <v>0</v>
      </c>
    </row>
    <row r="21" spans="3:7" ht="16.5" thickTop="1" thickBot="1" x14ac:dyDescent="0.3"/>
    <row r="22" spans="3:7" ht="16.5" thickTop="1" thickBot="1" x14ac:dyDescent="0.3">
      <c r="C22" s="408" t="s">
        <v>426</v>
      </c>
      <c r="D22" s="409"/>
      <c r="E22" s="409"/>
      <c r="F22" s="409"/>
      <c r="G22" s="410"/>
    </row>
    <row r="23" spans="3:7" ht="16.5" thickTop="1" thickBot="1" x14ac:dyDescent="0.3">
      <c r="C23" s="237">
        <v>1</v>
      </c>
      <c r="D23" s="235" t="s">
        <v>326</v>
      </c>
      <c r="E23" s="236">
        <v>1</v>
      </c>
      <c r="F23" s="233" t="s">
        <v>19</v>
      </c>
      <c r="G23" s="234">
        <f>1</f>
        <v>1</v>
      </c>
    </row>
    <row r="24" spans="3:7" ht="15.75" thickTop="1" x14ac:dyDescent="0.25">
      <c r="C24" s="238" t="s">
        <v>98</v>
      </c>
      <c r="D24" s="254">
        <f ca="1">SUM(EtCT:downtwo)</f>
        <v>100</v>
      </c>
      <c r="E24" s="254">
        <f ca="1">SUM(TtCT:downtwo)</f>
        <v>100</v>
      </c>
      <c r="F24" s="411">
        <f ca="1">IFERROR(D24/E24,0)</f>
        <v>1</v>
      </c>
      <c r="G24" s="412"/>
    </row>
    <row r="25" spans="3:7" ht="15.75" thickBot="1" x14ac:dyDescent="0.3">
      <c r="C25" s="239" t="s">
        <v>18</v>
      </c>
      <c r="D25" s="413" t="s">
        <v>17</v>
      </c>
      <c r="E25" s="413"/>
      <c r="F25" s="240" t="s">
        <v>16</v>
      </c>
      <c r="G25" s="241" t="s">
        <v>15</v>
      </c>
    </row>
    <row r="26" spans="3:7" ht="16.5" thickTop="1" thickBot="1" x14ac:dyDescent="0.3">
      <c r="C26" s="11" t="s">
        <v>14</v>
      </c>
      <c r="D26" s="10">
        <v>100</v>
      </c>
      <c r="E26" s="10">
        <v>100</v>
      </c>
      <c r="F26" s="9">
        <f>IFERROR(D26/E26,0)</f>
        <v>1</v>
      </c>
      <c r="G26" s="8"/>
    </row>
    <row r="27" spans="3:7" ht="16.5" thickTop="1" thickBot="1" x14ac:dyDescent="0.3">
      <c r="C27" s="403"/>
      <c r="D27" s="404"/>
      <c r="E27" s="404"/>
      <c r="F27" s="404"/>
      <c r="G27" s="405"/>
    </row>
    <row r="28" spans="3:7" ht="15.75" thickTop="1" x14ac:dyDescent="0.25"/>
    <row r="41" spans="10:10" x14ac:dyDescent="0.25">
      <c r="J41" s="1" t="s">
        <v>346</v>
      </c>
    </row>
  </sheetData>
  <mergeCells count="22">
    <mergeCell ref="C15:D15"/>
    <mergeCell ref="C16:D16"/>
    <mergeCell ref="C17:D17"/>
    <mergeCell ref="C18:D18"/>
    <mergeCell ref="C20:D20"/>
    <mergeCell ref="C22:G22"/>
    <mergeCell ref="F24:G24"/>
    <mergeCell ref="D25:E25"/>
    <mergeCell ref="C27:G27"/>
    <mergeCell ref="C19:D19"/>
    <mergeCell ref="C14:D14"/>
    <mergeCell ref="B2:D2"/>
    <mergeCell ref="E2:G2"/>
    <mergeCell ref="B3:C3"/>
    <mergeCell ref="E3:F3"/>
    <mergeCell ref="B4:C4"/>
    <mergeCell ref="E4:F4"/>
    <mergeCell ref="C6:G6"/>
    <mergeCell ref="C7:D7"/>
    <mergeCell ref="C8:D8"/>
    <mergeCell ref="C9:G9"/>
    <mergeCell ref="C13:G13"/>
  </mergeCells>
  <conditionalFormatting sqref="E14:E20">
    <cfRule type="expression" dxfId="43" priority="2">
      <formula>IF((CELLV)&gt;(1-LSFa),1,0)</formula>
    </cfRule>
  </conditionalFormatting>
  <conditionalFormatting sqref="G14:G20">
    <cfRule type="expression" dxfId="42" priority="1">
      <formula>IF((CELLV)&gt;(1-LSFa),1,0)</formula>
    </cfRule>
  </conditionalFormatting>
  <dataValidations count="3">
    <dataValidation type="list" allowBlank="1" showInputMessage="1" showErrorMessage="1" sqref="G8" xr:uid="{7AED39A8-2F3D-41E5-A8C5-0074794602F5}">
      <formula1>",Class,Retake,Dropped,P/F,Research"</formula1>
    </dataValidation>
    <dataValidation type="list" allowBlank="1" showInputMessage="1" showErrorMessage="1" sqref="E8" xr:uid="{B0A1B463-700F-437F-9AC1-D20463D24F90}">
      <formula1>"0,1,2,3,4,5,6,7"</formula1>
    </dataValidation>
    <dataValidation type="whole" operator="greaterThan" allowBlank="1" showInputMessage="1" showErrorMessage="1" sqref="E23" xr:uid="{1173CFCB-2629-4406-B7D1-6C09FF326B4F}">
      <formula1>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E699BE2-76B3-4E65-8F69-2F082BBDBC83}">
          <x14:formula1>
            <xm:f>OFFSET(Settings!$L$4,0,0,INDIRECT(ADDRESS(ROW(),COLUMN()+2))+1,1)</xm:f>
          </x14:formula1>
          <xm:sqref>C23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459A-6D64-443E-85AC-26522C1CA2D2}">
  <sheetPr>
    <tabColor rgb="FFFF0000"/>
  </sheetPr>
  <dimension ref="B1:AQ86"/>
  <sheetViews>
    <sheetView showGridLines="0" zoomScaleNormal="100" workbookViewId="0">
      <selection activeCell="AB42" sqref="AB42"/>
    </sheetView>
  </sheetViews>
  <sheetFormatPr defaultRowHeight="15" x14ac:dyDescent="0.25"/>
  <cols>
    <col min="1" max="1" width="4" style="1" customWidth="1"/>
    <col min="2" max="2" width="9.140625" style="1"/>
    <col min="3" max="3" width="7.7109375" style="1" customWidth="1"/>
    <col min="4" max="4" width="6" style="1" customWidth="1"/>
    <col min="5" max="5" width="7.85546875" style="1" customWidth="1"/>
    <col min="6" max="6" width="10.140625" style="1" bestFit="1" customWidth="1"/>
    <col min="7" max="7" width="9.85546875" style="1" customWidth="1"/>
    <col min="8" max="8" width="3" style="1" customWidth="1"/>
    <col min="9" max="9" width="11.5703125" style="1" customWidth="1"/>
    <col min="10" max="10" width="6.28515625" style="1" customWidth="1"/>
    <col min="11" max="11" width="7.85546875" style="1" customWidth="1"/>
    <col min="12" max="12" width="10.28515625" style="1" customWidth="1"/>
    <col min="13" max="13" width="9.140625" style="1"/>
    <col min="14" max="14" width="3.28515625" style="1" customWidth="1"/>
    <col min="15" max="15" width="8.85546875" style="1" customWidth="1"/>
    <col min="16" max="16" width="6.140625" style="1" customWidth="1"/>
    <col min="17" max="17" width="7.42578125" style="1" customWidth="1"/>
    <col min="18" max="18" width="10.28515625" style="1" customWidth="1"/>
    <col min="19" max="19" width="9.140625" style="1"/>
    <col min="20" max="20" width="3.140625" style="1" customWidth="1"/>
    <col min="21" max="21" width="9.140625" style="1"/>
    <col min="22" max="22" width="6.5703125" style="1" customWidth="1"/>
    <col min="23" max="23" width="7.710937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37" width="9.140625" style="1"/>
    <col min="38" max="38" width="2.7109375" style="1" customWidth="1"/>
    <col min="39" max="41" width="9.140625" style="1"/>
    <col min="42" max="42" width="9.85546875" style="1" customWidth="1"/>
    <col min="43" max="16384" width="9.140625" style="1"/>
  </cols>
  <sheetData>
    <row r="1" spans="2:43" ht="15.75" thickBot="1" x14ac:dyDescent="0.3"/>
    <row r="2" spans="2:43" ht="16.5" thickTop="1" thickBot="1" x14ac:dyDescent="0.3">
      <c r="B2" s="394" t="s">
        <v>120</v>
      </c>
      <c r="C2" s="395"/>
      <c r="D2" s="395"/>
      <c r="E2" s="395" t="s">
        <v>147</v>
      </c>
      <c r="F2" s="395"/>
      <c r="G2" s="396"/>
    </row>
    <row r="3" spans="2:43" ht="15.75" thickTop="1" x14ac:dyDescent="0.25">
      <c r="B3" s="397" t="s">
        <v>118</v>
      </c>
      <c r="C3" s="398"/>
      <c r="D3" s="245">
        <f>COUNTIF(6:6,"*")</f>
        <v>7</v>
      </c>
      <c r="E3" s="399" t="s">
        <v>117</v>
      </c>
      <c r="F3" s="398"/>
      <c r="G3" s="101">
        <f ca="1">G4/SUM(IF(OR(G8="P/F",G8="Dropped",G8="Retaken"),0,E8),IF(OR(M8="P/F",M8="Dropped",M8="Retaken"),0,K8),IF(OR(S8="P/F",S8="Dropped",S8="Retaken"),0,Q8),IF(OR(Y8="P/F",Y8="Dropped",Y8="Retaken"),0,W8),IF(OR(AE8="P/F",AE8="Dropped",AE8="Retaken"),0,AC8),IF(OR(AK8="P/F",AK8="Dropped",AK8="Retaken"),0,AI8),IF(OR(AQ8="P/F",AQ8="Dropped",AQ8="Retaken"),0,AO8))</f>
        <v>2.4517647058823528</v>
      </c>
    </row>
    <row r="4" spans="2:43" ht="15.75" thickBot="1" x14ac:dyDescent="0.3">
      <c r="B4" s="400" t="s">
        <v>115</v>
      </c>
      <c r="C4" s="401"/>
      <c r="D4" s="244">
        <f>SUMIF(8:8,"&lt;&gt;#N/A")</f>
        <v>17</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41.68</v>
      </c>
    </row>
    <row r="5" spans="2:43" ht="16.5" thickTop="1" thickBot="1" x14ac:dyDescent="0.3"/>
    <row r="6" spans="2:43" ht="16.5" thickTop="1" thickBot="1" x14ac:dyDescent="0.3">
      <c r="C6" s="382" t="s">
        <v>148</v>
      </c>
      <c r="D6" s="383"/>
      <c r="E6" s="383"/>
      <c r="F6" s="383"/>
      <c r="G6" s="384"/>
      <c r="I6" s="382" t="s">
        <v>136</v>
      </c>
      <c r="J6" s="383"/>
      <c r="K6" s="383"/>
      <c r="L6" s="383"/>
      <c r="M6" s="384"/>
      <c r="O6" s="382" t="s">
        <v>169</v>
      </c>
      <c r="P6" s="383"/>
      <c r="Q6" s="383"/>
      <c r="R6" s="383"/>
      <c r="S6" s="384"/>
      <c r="U6" s="382" t="s">
        <v>174</v>
      </c>
      <c r="V6" s="383"/>
      <c r="W6" s="383"/>
      <c r="X6" s="383"/>
      <c r="Y6" s="384"/>
      <c r="AA6" s="382" t="s">
        <v>188</v>
      </c>
      <c r="AB6" s="383"/>
      <c r="AC6" s="383"/>
      <c r="AD6" s="383"/>
      <c r="AE6" s="384"/>
      <c r="AG6" s="382" t="s">
        <v>501</v>
      </c>
      <c r="AH6" s="383"/>
      <c r="AI6" s="383"/>
      <c r="AJ6" s="383"/>
      <c r="AK6" s="384"/>
      <c r="AM6" s="382" t="s">
        <v>198</v>
      </c>
      <c r="AN6" s="383"/>
      <c r="AO6" s="383"/>
      <c r="AP6" s="383"/>
      <c r="AQ6" s="384"/>
    </row>
    <row r="7" spans="2:43" x14ac:dyDescent="0.25">
      <c r="C7" s="385" t="s">
        <v>106</v>
      </c>
      <c r="D7" s="386"/>
      <c r="E7" s="99">
        <f ca="1">COUNTIF(F$6:F$225,"Weight*")</f>
        <v>2</v>
      </c>
      <c r="F7" s="98" t="s">
        <v>105</v>
      </c>
      <c r="G7" s="97" t="s">
        <v>149</v>
      </c>
      <c r="I7" s="385" t="s">
        <v>106</v>
      </c>
      <c r="J7" s="386"/>
      <c r="K7" s="99">
        <f ca="1">COUNTIF(L$6:L$225,"Weight*")</f>
        <v>3</v>
      </c>
      <c r="L7" s="98" t="s">
        <v>105</v>
      </c>
      <c r="M7" s="97" t="s">
        <v>151</v>
      </c>
      <c r="O7" s="385" t="s">
        <v>106</v>
      </c>
      <c r="P7" s="386"/>
      <c r="Q7" s="99">
        <f ca="1">COUNTIF(R$6:R$225,"Weight*")</f>
        <v>4</v>
      </c>
      <c r="R7" s="98" t="s">
        <v>105</v>
      </c>
      <c r="S7" s="97" t="s">
        <v>170</v>
      </c>
      <c r="U7" s="385" t="s">
        <v>106</v>
      </c>
      <c r="V7" s="386"/>
      <c r="W7" s="99">
        <f ca="1">COUNTIF(X$6:X$225,"Weight*")</f>
        <v>3</v>
      </c>
      <c r="X7" s="100" t="s">
        <v>105</v>
      </c>
      <c r="Y7" s="97" t="s">
        <v>175</v>
      </c>
      <c r="AA7" s="385" t="s">
        <v>106</v>
      </c>
      <c r="AB7" s="386"/>
      <c r="AC7" s="99">
        <f ca="1">COUNTIF(AD$6:AD$225,"Weight*")</f>
        <v>1</v>
      </c>
      <c r="AD7" s="100" t="s">
        <v>105</v>
      </c>
      <c r="AE7" s="97" t="s">
        <v>189</v>
      </c>
      <c r="AG7" s="385" t="s">
        <v>106</v>
      </c>
      <c r="AH7" s="386"/>
      <c r="AI7" s="99">
        <f ca="1">COUNTIF(AJ$6:AJ$225,"Weight*")</f>
        <v>7</v>
      </c>
      <c r="AJ7" s="98" t="s">
        <v>105</v>
      </c>
      <c r="AK7" s="97" t="s">
        <v>104</v>
      </c>
      <c r="AM7" s="385" t="s">
        <v>106</v>
      </c>
      <c r="AN7" s="386"/>
      <c r="AO7" s="99">
        <f ca="1">COUNTIF(AP$6:AP$225,"Weight*")</f>
        <v>1</v>
      </c>
      <c r="AP7" s="98" t="s">
        <v>105</v>
      </c>
      <c r="AQ7" s="97"/>
    </row>
    <row r="8" spans="2:43" ht="15.75" thickBot="1" x14ac:dyDescent="0.3">
      <c r="C8" s="377" t="s">
        <v>102</v>
      </c>
      <c r="D8" s="378"/>
      <c r="E8" s="95">
        <v>3</v>
      </c>
      <c r="F8" s="94" t="s">
        <v>101</v>
      </c>
      <c r="G8" s="93" t="s">
        <v>100</v>
      </c>
      <c r="I8" s="377" t="s">
        <v>102</v>
      </c>
      <c r="J8" s="378"/>
      <c r="K8" s="95">
        <v>3</v>
      </c>
      <c r="L8" s="94" t="s">
        <v>101</v>
      </c>
      <c r="M8" s="93" t="s">
        <v>100</v>
      </c>
      <c r="O8" s="377" t="s">
        <v>102</v>
      </c>
      <c r="P8" s="378"/>
      <c r="Q8" s="95">
        <v>2</v>
      </c>
      <c r="R8" s="94" t="s">
        <v>101</v>
      </c>
      <c r="S8" s="93" t="s">
        <v>100</v>
      </c>
      <c r="U8" s="377" t="s">
        <v>102</v>
      </c>
      <c r="V8" s="378"/>
      <c r="W8" s="95">
        <v>3</v>
      </c>
      <c r="X8" s="96" t="s">
        <v>101</v>
      </c>
      <c r="Y8" s="93" t="s">
        <v>100</v>
      </c>
      <c r="AA8" s="377" t="s">
        <v>102</v>
      </c>
      <c r="AB8" s="378"/>
      <c r="AC8" s="95">
        <v>3</v>
      </c>
      <c r="AD8" s="96" t="s">
        <v>101</v>
      </c>
      <c r="AE8" s="93" t="s">
        <v>100</v>
      </c>
      <c r="AG8" s="377" t="s">
        <v>102</v>
      </c>
      <c r="AH8" s="378"/>
      <c r="AI8" s="95">
        <v>3</v>
      </c>
      <c r="AJ8" s="94" t="s">
        <v>101</v>
      </c>
      <c r="AK8" s="93" t="s">
        <v>100</v>
      </c>
      <c r="AM8" s="377" t="s">
        <v>102</v>
      </c>
      <c r="AN8" s="378"/>
      <c r="AO8" s="95" t="s">
        <v>277</v>
      </c>
      <c r="AP8" s="94" t="s">
        <v>101</v>
      </c>
      <c r="AQ8" s="93" t="s">
        <v>127</v>
      </c>
    </row>
    <row r="9" spans="2:43" ht="15.75" thickTop="1" x14ac:dyDescent="0.25">
      <c r="C9" s="379" t="s">
        <v>99</v>
      </c>
      <c r="D9" s="380"/>
      <c r="E9" s="380"/>
      <c r="F9" s="380"/>
      <c r="G9" s="381"/>
      <c r="I9" s="379" t="s">
        <v>99</v>
      </c>
      <c r="J9" s="380"/>
      <c r="K9" s="380"/>
      <c r="L9" s="380"/>
      <c r="M9" s="381"/>
      <c r="O9" s="379" t="s">
        <v>99</v>
      </c>
      <c r="P9" s="380"/>
      <c r="Q9" s="380"/>
      <c r="R9" s="380"/>
      <c r="S9" s="381"/>
      <c r="U9" s="379" t="s">
        <v>99</v>
      </c>
      <c r="V9" s="380"/>
      <c r="W9" s="380"/>
      <c r="X9" s="380"/>
      <c r="Y9" s="381"/>
      <c r="AA9" s="379" t="s">
        <v>99</v>
      </c>
      <c r="AB9" s="380"/>
      <c r="AC9" s="380"/>
      <c r="AD9" s="380"/>
      <c r="AE9" s="381"/>
      <c r="AG9" s="379" t="s">
        <v>99</v>
      </c>
      <c r="AH9" s="380"/>
      <c r="AI9" s="380"/>
      <c r="AJ9" s="380"/>
      <c r="AK9" s="381"/>
      <c r="AM9" s="379" t="s">
        <v>99</v>
      </c>
      <c r="AN9" s="380"/>
      <c r="AO9" s="380"/>
      <c r="AP9" s="380"/>
      <c r="AQ9" s="381"/>
    </row>
    <row r="10" spans="2:43" x14ac:dyDescent="0.25">
      <c r="C10" s="92" t="s">
        <v>98</v>
      </c>
      <c r="D10" s="300"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C</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0.74499999999999988</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0.25500000000000006</v>
      </c>
      <c r="I10" s="92" t="s">
        <v>98</v>
      </c>
      <c r="J10" s="300" t="str" cm="1">
        <f t="array" aca="1" ref="J10" ca="1">IF(GRDtCT="Dropped","NA",IF(GRDtCT="P/F",IF(GRDtP&gt;=PtNPass,PtLPass,PtLFail),IF(GRDtP&gt;=PtNA,PtLA,IF(GRDtP&gt;=PtNAm,PtLAm,IF(GRDtP&gt;=PtNBp,PtLBp,IF(GRDtP&gt;=PtNB,PtLB,IF(GRDtP&gt;=PtNBm,PtLBm,IF(GRDtP&gt;=PtNCp,PtLCp,IF(GRDtP&gt;=PtNC,PtLC,IF(GRDtP&gt;=PtNCm,PtLCm,IF(GRDtP&gt;=PtNDp,PtLDp,IF(GRDtP&gt;=PtND,PtLD,IF(GRDtP&gt;=PtNDm,PtLDm,PtLF)))))))))))))</f>
        <v>A-</v>
      </c>
      <c r="K10" s="90" cm="1">
        <f t="array" aca="1" ref="K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0.77496130952380948</v>
      </c>
      <c r="L10" s="12" t="s">
        <v>97</v>
      </c>
      <c r="M10" s="89" cm="1">
        <f t="array" aca="1" ref="M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0.22503869047619046</v>
      </c>
      <c r="O10" s="92" t="s">
        <v>98</v>
      </c>
      <c r="P10" s="300" t="str" cm="1">
        <f t="array" aca="1" ref="P10" ca="1">IF(GRDtCT="Dropped","NA",IF(GRDtCT="P/F",IF(GRDtP&gt;=PtNPass,PtLPass,PtLFail),IF(GRDtP&gt;=PtNA,PtLA,IF(GRDtP&gt;=PtNAm,PtLAm,IF(GRDtP&gt;=PtNBp,PtLBp,IF(GRDtP&gt;=PtNB,PtLB,IF(GRDtP&gt;=PtNBm,PtLBm,IF(GRDtP&gt;=PtNCp,PtLCp,IF(GRDtP&gt;=PtNC,PtLC,IF(GRDtP&gt;=PtNCm,PtLCm,IF(GRDtP&gt;=PtNDp,PtLDp,IF(GRDtP&gt;=PtND,PtLD,IF(GRDtP&gt;=PtNDm,PtLDm,PtLF)))))))))))))</f>
        <v>C+</v>
      </c>
      <c r="Q10" s="90" cm="1">
        <f t="array" aca="1" ref="Q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0.79960227272727291</v>
      </c>
      <c r="R10" s="12" t="s">
        <v>97</v>
      </c>
      <c r="S10" s="89" cm="1">
        <f t="array" aca="1" ref="S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0.20039772727272728</v>
      </c>
      <c r="U10" s="92" t="s">
        <v>98</v>
      </c>
      <c r="V10" s="300" t="str" cm="1">
        <f t="array" aca="1" ref="V10" ca="1">IF(GRDtCT="Dropped","NA",IF(GRDtCT="P/F",IF(GRDtP&gt;=PtNPass,PtLPass,PtLFail),IF(GRDtP&gt;=PtNA,PtLA,IF(GRDtP&gt;=PtNAm,PtLAm,IF(GRDtP&gt;=PtNBp,PtLBp,IF(GRDtP&gt;=PtNB,PtLB,IF(GRDtP&gt;=PtNBm,PtLBm,IF(GRDtP&gt;=PtNCp,PtLCp,IF(GRDtP&gt;=PtNC,PtLC,IF(GRDtP&gt;=PtNCm,PtLCm,IF(GRDtP&gt;=PtNDp,PtLDp,IF(GRDtP&gt;=PtND,PtLD,IF(GRDtP&gt;=PtNDm,PtLDm,PtLF)))))))))))))</f>
        <v>C</v>
      </c>
      <c r="W10" s="90" cm="1">
        <f t="array" aca="1" ref="W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0.75041807909604508</v>
      </c>
      <c r="X10" s="12" t="s">
        <v>97</v>
      </c>
      <c r="Y10" s="89" cm="1">
        <f t="array" aca="1" ref="Y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0.18718644067796614</v>
      </c>
      <c r="AA10" s="92" t="s">
        <v>98</v>
      </c>
      <c r="AB10" s="300" t="str" cm="1">
        <f t="array" aca="1" ref="AB10" ca="1">IF(GRDtCT="Dropped","NA",IF(GRDtCT="P/F",IF(GRDtP&gt;=PtNPass,PtLPass,PtLFail),IF(GRDtP&gt;=PtNA,PtLA,IF(GRDtP&gt;=PtNAm,PtLAm,IF(GRDtP&gt;=PtNBp,PtLBp,IF(GRDtP&gt;=PtNB,PtLB,IF(GRDtP&gt;=PtNBm,PtLBm,IF(GRDtP&gt;=PtNCp,PtLCp,IF(GRDtP&gt;=PtNC,PtLC,IF(GRDtP&gt;=PtNCm,PtLCm,IF(GRDtP&gt;=PtNDp,PtLDp,IF(GRDtP&gt;=PtND,PtLD,IF(GRDtP&gt;=PtNDm,PtLDm,PtLF)))))))))))))</f>
        <v>D</v>
      </c>
      <c r="AC10" s="90" cm="1">
        <f t="array" aca="1" ref="AC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0.60250000000000004</v>
      </c>
      <c r="AD10" s="12" t="s">
        <v>97</v>
      </c>
      <c r="AE10" s="89" cm="1">
        <f t="array" aca="1" ref="AE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0.39749999999999996</v>
      </c>
      <c r="AG10" s="92" t="s">
        <v>98</v>
      </c>
      <c r="AH10" s="300" t="str" cm="1">
        <f t="array" aca="1" ref="AH10" ca="1">IF(GRDtCT="Dropped","NA",IF(GRDtCT="P/F",IF(GRDtP&gt;=PtNPass,PtLPass,PtLFail),IF(GRDtP&gt;=PtNA,PtLA,IF(GRDtP&gt;=PtNAm,PtLAm,IF(GRDtP&gt;=PtNBp,PtLBp,IF(GRDtP&gt;=PtNB,PtLB,IF(GRDtP&gt;=PtNBm,PtLBm,IF(GRDtP&gt;=PtNCp,PtLCp,IF(GRDtP&gt;=PtNC,PtLC,IF(GRDtP&gt;=PtNCm,PtLCm,IF(GRDtP&gt;=PtNDp,PtLDp,IF(GRDtP&gt;=PtND,PtLD,IF(GRDtP&gt;=PtNDm,PtLDm,PtLF)))))))))))))</f>
        <v>A-</v>
      </c>
      <c r="AI10" s="90" cm="1">
        <f t="array" aca="1" ref="AI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0.90362142857142869</v>
      </c>
      <c r="AJ10" s="12" t="s">
        <v>97</v>
      </c>
      <c r="AK10" s="89" cm="1">
        <f t="array" aca="1" ref="AK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9.6378571428571397E-2</v>
      </c>
      <c r="AM10" s="92" t="s">
        <v>98</v>
      </c>
      <c r="AN10" s="300" t="str" cm="1">
        <f t="array" aca="1" ref="AN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AO10" s="90" cm="1">
        <f t="array" aca="1" ref="AO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0.75</v>
      </c>
      <c r="AP10" s="12" t="s">
        <v>97</v>
      </c>
      <c r="AQ10" s="89" cm="1">
        <f t="array" aca="1" ref="AQ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0.25</v>
      </c>
    </row>
    <row r="11" spans="2:43" ht="15.75" thickBot="1" x14ac:dyDescent="0.3">
      <c r="C11" s="88" t="s">
        <v>96</v>
      </c>
      <c r="D11" s="87"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v>
      </c>
      <c r="E11" s="86"/>
      <c r="F11" s="86" t="s">
        <v>95</v>
      </c>
      <c r="G11" s="242" cm="1">
        <f t="array" aca="1" ref="G11" ca="1">IF(OR(QPtCT="Dropped",QPtCT="P/F"),"NA",QPtGPA*QPtCR)</f>
        <v>6</v>
      </c>
      <c r="I11" s="88" t="s">
        <v>96</v>
      </c>
      <c r="J11" s="87" cm="1">
        <f t="array" aca="1" ref="J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3.67</v>
      </c>
      <c r="K11" s="86"/>
      <c r="L11" s="86" t="s">
        <v>95</v>
      </c>
      <c r="M11" s="242" cm="1">
        <f t="array" aca="1" ref="M11" ca="1">IF(OR(QPtCT="Dropped",QPtCT="P/F"),"NA",QPtGPA*QPtCR)</f>
        <v>11.01</v>
      </c>
      <c r="O11" s="88" t="s">
        <v>96</v>
      </c>
      <c r="P11" s="87" cm="1">
        <f t="array" aca="1" ref="P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2.33</v>
      </c>
      <c r="Q11" s="86"/>
      <c r="R11" s="86" t="s">
        <v>95</v>
      </c>
      <c r="S11" s="242" cm="1">
        <f t="array" aca="1" ref="S11" ca="1">IF(OR(QPtCT="Dropped",QPtCT="P/F"),"NA",QPtGPA*QPtCR)</f>
        <v>4.66</v>
      </c>
      <c r="U11" s="88" t="s">
        <v>96</v>
      </c>
      <c r="V11" s="87" cm="1">
        <f t="array" aca="1" ref="V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v>
      </c>
      <c r="W11" s="86"/>
      <c r="X11" s="86" t="s">
        <v>95</v>
      </c>
      <c r="Y11" s="242" cm="1">
        <f t="array" aca="1" ref="Y11" ca="1">IF(OR(QPtCT="Dropped",QPtCT="P/F"),"NA",QPtGPA*QPtCR)</f>
        <v>6</v>
      </c>
      <c r="AA11" s="88" t="s">
        <v>96</v>
      </c>
      <c r="AB11" s="87" cm="1">
        <f t="array" aca="1" ref="AB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1</v>
      </c>
      <c r="AC11" s="86"/>
      <c r="AD11" s="86" t="s">
        <v>95</v>
      </c>
      <c r="AE11" s="242" cm="1">
        <f t="array" aca="1" ref="AE11" ca="1">IF(OR(QPtCT="Dropped",QPtCT="P/F"),"NA",QPtGPA*QPtCR)</f>
        <v>3</v>
      </c>
      <c r="AG11" s="88" t="s">
        <v>96</v>
      </c>
      <c r="AH11" s="87" cm="1">
        <f t="array" aca="1" ref="AH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3.67</v>
      </c>
      <c r="AI11" s="86"/>
      <c r="AJ11" s="86" t="s">
        <v>95</v>
      </c>
      <c r="AK11" s="242" cm="1">
        <f t="array" aca="1" ref="AK11" ca="1">IF(OR(QPtCT="Dropped",QPtCT="P/F"),"NA",QPtGPA*QPtCR)</f>
        <v>11.01</v>
      </c>
      <c r="AM11" s="88" t="s">
        <v>96</v>
      </c>
      <c r="AN11" s="87" t="str" cm="1">
        <f t="array" aca="1" ref="AN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AO11" s="86"/>
      <c r="AP11" s="86" t="s">
        <v>95</v>
      </c>
      <c r="AQ11" s="242" t="str" cm="1">
        <f t="array" aca="1" ref="AQ11" ca="1">IF(OR(QPtCT="Dropped",QPtCT="P/F"),"NA",QPtGPA*QPtCR)</f>
        <v>NA</v>
      </c>
    </row>
    <row r="12" spans="2:43" ht="12" customHeight="1" thickTop="1" thickBot="1" x14ac:dyDescent="0.3"/>
    <row r="13" spans="2:43" ht="16.5" thickTop="1" thickBot="1" x14ac:dyDescent="0.3">
      <c r="C13" s="389" t="s">
        <v>327</v>
      </c>
      <c r="D13" s="390"/>
      <c r="E13" s="390"/>
      <c r="F13" s="390"/>
      <c r="G13" s="391"/>
      <c r="I13" s="389" t="s">
        <v>327</v>
      </c>
      <c r="J13" s="390"/>
      <c r="K13" s="390"/>
      <c r="L13" s="390"/>
      <c r="M13" s="391"/>
      <c r="O13" s="389" t="s">
        <v>327</v>
      </c>
      <c r="P13" s="390"/>
      <c r="Q13" s="390"/>
      <c r="R13" s="390"/>
      <c r="S13" s="391"/>
      <c r="U13" s="389" t="s">
        <v>327</v>
      </c>
      <c r="V13" s="390"/>
      <c r="W13" s="390"/>
      <c r="X13" s="390"/>
      <c r="Y13" s="391"/>
      <c r="AA13" s="389" t="s">
        <v>327</v>
      </c>
      <c r="AB13" s="390"/>
      <c r="AC13" s="390"/>
      <c r="AD13" s="390"/>
      <c r="AE13" s="391"/>
      <c r="AG13" s="389" t="s">
        <v>327</v>
      </c>
      <c r="AH13" s="390"/>
      <c r="AI13" s="390"/>
      <c r="AJ13" s="390"/>
      <c r="AK13" s="391"/>
      <c r="AM13" s="389" t="s">
        <v>327</v>
      </c>
      <c r="AN13" s="390"/>
      <c r="AO13" s="390"/>
      <c r="AP13" s="390"/>
      <c r="AQ13" s="391"/>
    </row>
    <row r="14" spans="2:43" ht="15.75" thickTop="1" x14ac:dyDescent="0.25">
      <c r="C14" s="392" t="s">
        <v>13</v>
      </c>
      <c r="D14" s="393"/>
      <c r="E14" s="231">
        <f>0.92</f>
        <v>0.92</v>
      </c>
      <c r="F14" s="375" t="s">
        <v>6</v>
      </c>
      <c r="G14" s="4">
        <f>0.69</f>
        <v>0.69</v>
      </c>
      <c r="I14" s="392" t="s">
        <v>13</v>
      </c>
      <c r="J14" s="393"/>
      <c r="K14" s="231">
        <f>0.931</f>
        <v>0.93100000000000005</v>
      </c>
      <c r="L14" s="375" t="s">
        <v>6</v>
      </c>
      <c r="M14" s="4">
        <f>0.7</f>
        <v>0.7</v>
      </c>
      <c r="O14" s="392" t="s">
        <v>13</v>
      </c>
      <c r="P14" s="393"/>
      <c r="Q14" s="231">
        <f>0.93</f>
        <v>0.93</v>
      </c>
      <c r="R14" s="375" t="s">
        <v>6</v>
      </c>
      <c r="S14" s="4">
        <f>0.7</f>
        <v>0.7</v>
      </c>
      <c r="U14" s="392" t="s">
        <v>13</v>
      </c>
      <c r="V14" s="393"/>
      <c r="W14" s="231">
        <f>0.92</f>
        <v>0.92</v>
      </c>
      <c r="X14" s="375" t="s">
        <v>6</v>
      </c>
      <c r="Y14" s="4">
        <f>0.69</f>
        <v>0.69</v>
      </c>
      <c r="AA14" s="392" t="s">
        <v>13</v>
      </c>
      <c r="AB14" s="393"/>
      <c r="AC14" s="231">
        <f>0.94</f>
        <v>0.94</v>
      </c>
      <c r="AD14" s="375" t="s">
        <v>6</v>
      </c>
      <c r="AE14" s="4">
        <f>0.7</f>
        <v>0.7</v>
      </c>
      <c r="AG14" s="392" t="s">
        <v>13</v>
      </c>
      <c r="AH14" s="393"/>
      <c r="AI14" s="231">
        <f>0.92</f>
        <v>0.92</v>
      </c>
      <c r="AJ14" s="375" t="s">
        <v>6</v>
      </c>
      <c r="AK14" s="4">
        <f>0.69</f>
        <v>0.69</v>
      </c>
      <c r="AM14" s="392" t="s">
        <v>13</v>
      </c>
      <c r="AN14" s="393"/>
      <c r="AO14" s="231">
        <f>0.92</f>
        <v>0.92</v>
      </c>
      <c r="AP14" s="375" t="s">
        <v>6</v>
      </c>
      <c r="AQ14" s="4">
        <f>0.69</f>
        <v>0.69</v>
      </c>
    </row>
    <row r="15" spans="2:43" x14ac:dyDescent="0.25">
      <c r="C15" s="387" t="s">
        <v>12</v>
      </c>
      <c r="D15" s="388"/>
      <c r="E15" s="231">
        <f>0.89</f>
        <v>0.89</v>
      </c>
      <c r="F15" s="375" t="s">
        <v>5</v>
      </c>
      <c r="G15" s="4">
        <f>0.66</f>
        <v>0.66</v>
      </c>
      <c r="I15" s="387" t="s">
        <v>12</v>
      </c>
      <c r="J15" s="388"/>
      <c r="K15" s="231">
        <f>0.76</f>
        <v>0.76</v>
      </c>
      <c r="L15" s="375" t="s">
        <v>5</v>
      </c>
      <c r="M15" s="4">
        <f>0.65</f>
        <v>0.65</v>
      </c>
      <c r="O15" s="387" t="s">
        <v>12</v>
      </c>
      <c r="P15" s="388"/>
      <c r="Q15" s="231">
        <f>0.9</f>
        <v>0.9</v>
      </c>
      <c r="R15" s="375" t="s">
        <v>5</v>
      </c>
      <c r="S15" s="4">
        <f>0.67</f>
        <v>0.67</v>
      </c>
      <c r="U15" s="387" t="s">
        <v>12</v>
      </c>
      <c r="V15" s="388"/>
      <c r="W15" s="231">
        <f>0.89</f>
        <v>0.89</v>
      </c>
      <c r="X15" s="375" t="s">
        <v>5</v>
      </c>
      <c r="Y15" s="4">
        <f>0.66</f>
        <v>0.66</v>
      </c>
      <c r="AA15" s="387" t="s">
        <v>12</v>
      </c>
      <c r="AB15" s="388"/>
      <c r="AC15" s="231">
        <f>0.9</f>
        <v>0.9</v>
      </c>
      <c r="AD15" s="375" t="s">
        <v>5</v>
      </c>
      <c r="AE15" s="4">
        <f>0.67</f>
        <v>0.67</v>
      </c>
      <c r="AG15" s="387" t="s">
        <v>12</v>
      </c>
      <c r="AH15" s="388"/>
      <c r="AI15" s="231">
        <f>0.89</f>
        <v>0.89</v>
      </c>
      <c r="AJ15" s="375" t="s">
        <v>5</v>
      </c>
      <c r="AK15" s="4">
        <f>0.66</f>
        <v>0.66</v>
      </c>
      <c r="AM15" s="387" t="s">
        <v>12</v>
      </c>
      <c r="AN15" s="388"/>
      <c r="AO15" s="231">
        <f>0.89</f>
        <v>0.89</v>
      </c>
      <c r="AP15" s="375" t="s">
        <v>5</v>
      </c>
      <c r="AQ15" s="4">
        <f>0.66</f>
        <v>0.66</v>
      </c>
    </row>
    <row r="16" spans="2:43" x14ac:dyDescent="0.25">
      <c r="C16" s="387" t="s">
        <v>11</v>
      </c>
      <c r="D16" s="388"/>
      <c r="E16" s="231">
        <f>0.86</f>
        <v>0.86</v>
      </c>
      <c r="F16" s="375" t="s">
        <v>4</v>
      </c>
      <c r="G16" s="4">
        <f>0.61</f>
        <v>0.61</v>
      </c>
      <c r="I16" s="387" t="s">
        <v>11</v>
      </c>
      <c r="J16" s="388"/>
      <c r="K16" s="231">
        <f>0.87</f>
        <v>0.87</v>
      </c>
      <c r="L16" s="375" t="s">
        <v>4</v>
      </c>
      <c r="M16" s="4">
        <f>0.6</f>
        <v>0.6</v>
      </c>
      <c r="O16" s="387" t="s">
        <v>11</v>
      </c>
      <c r="P16" s="388"/>
      <c r="Q16" s="231">
        <f>0.87</f>
        <v>0.87</v>
      </c>
      <c r="R16" s="375" t="s">
        <v>4</v>
      </c>
      <c r="S16" s="4">
        <f>0.6</f>
        <v>0.6</v>
      </c>
      <c r="U16" s="387" t="s">
        <v>11</v>
      </c>
      <c r="V16" s="388"/>
      <c r="W16" s="231">
        <f>0.86</f>
        <v>0.86</v>
      </c>
      <c r="X16" s="375" t="s">
        <v>4</v>
      </c>
      <c r="Y16" s="4">
        <f>0.61</f>
        <v>0.61</v>
      </c>
      <c r="AA16" s="387" t="s">
        <v>11</v>
      </c>
      <c r="AB16" s="388"/>
      <c r="AC16" s="231">
        <f>0.87</f>
        <v>0.87</v>
      </c>
      <c r="AD16" s="375" t="s">
        <v>4</v>
      </c>
      <c r="AE16" s="4">
        <f>0.6</f>
        <v>0.6</v>
      </c>
      <c r="AG16" s="387" t="s">
        <v>11</v>
      </c>
      <c r="AH16" s="388"/>
      <c r="AI16" s="231">
        <f>0.86</f>
        <v>0.86</v>
      </c>
      <c r="AJ16" s="375" t="s">
        <v>4</v>
      </c>
      <c r="AK16" s="4">
        <f>0.61</f>
        <v>0.61</v>
      </c>
      <c r="AM16" s="387" t="s">
        <v>11</v>
      </c>
      <c r="AN16" s="388"/>
      <c r="AO16" s="231">
        <f>0.86</f>
        <v>0.86</v>
      </c>
      <c r="AP16" s="375" t="s">
        <v>4</v>
      </c>
      <c r="AQ16" s="4">
        <f>0.61</f>
        <v>0.61</v>
      </c>
    </row>
    <row r="17" spans="3:43" x14ac:dyDescent="0.25">
      <c r="C17" s="387" t="s">
        <v>10</v>
      </c>
      <c r="D17" s="388"/>
      <c r="E17" s="231">
        <f>0.81</f>
        <v>0.81</v>
      </c>
      <c r="F17" s="375" t="s">
        <v>3</v>
      </c>
      <c r="G17" s="4">
        <v>0.56999999999999995</v>
      </c>
      <c r="I17" s="387" t="s">
        <v>10</v>
      </c>
      <c r="J17" s="388"/>
      <c r="K17" s="231">
        <f>0.831</f>
        <v>0.83099999999999996</v>
      </c>
      <c r="L17" s="375" t="s">
        <v>3</v>
      </c>
      <c r="M17" s="4">
        <v>0.56999999999999995</v>
      </c>
      <c r="O17" s="387" t="s">
        <v>10</v>
      </c>
      <c r="P17" s="388"/>
      <c r="Q17" s="231">
        <f>0.83</f>
        <v>0.83</v>
      </c>
      <c r="R17" s="375" t="s">
        <v>3</v>
      </c>
      <c r="S17" s="4">
        <v>0.56999999999999995</v>
      </c>
      <c r="U17" s="387" t="s">
        <v>10</v>
      </c>
      <c r="V17" s="388"/>
      <c r="W17" s="231">
        <f>0.81</f>
        <v>0.81</v>
      </c>
      <c r="X17" s="375" t="s">
        <v>3</v>
      </c>
      <c r="Y17" s="4">
        <v>0.56999999999999995</v>
      </c>
      <c r="AA17" s="387" t="s">
        <v>10</v>
      </c>
      <c r="AB17" s="388"/>
      <c r="AC17" s="231">
        <f>0.84</f>
        <v>0.84</v>
      </c>
      <c r="AD17" s="375" t="s">
        <v>3</v>
      </c>
      <c r="AE17" s="4">
        <v>0.56999999999999995</v>
      </c>
      <c r="AG17" s="387" t="s">
        <v>10</v>
      </c>
      <c r="AH17" s="388"/>
      <c r="AI17" s="231">
        <f>0.81</f>
        <v>0.81</v>
      </c>
      <c r="AJ17" s="375" t="s">
        <v>3</v>
      </c>
      <c r="AK17" s="4">
        <v>0.56999999999999995</v>
      </c>
      <c r="AM17" s="387" t="s">
        <v>10</v>
      </c>
      <c r="AN17" s="388"/>
      <c r="AO17" s="231">
        <f>0.81</f>
        <v>0.81</v>
      </c>
      <c r="AP17" s="375" t="s">
        <v>3</v>
      </c>
      <c r="AQ17" s="4">
        <v>0.56999999999999995</v>
      </c>
    </row>
    <row r="18" spans="3:43" x14ac:dyDescent="0.25">
      <c r="C18" s="387" t="s">
        <v>9</v>
      </c>
      <c r="D18" s="388"/>
      <c r="E18" s="231">
        <f>0.79</f>
        <v>0.79</v>
      </c>
      <c r="F18" s="7" t="s">
        <v>2</v>
      </c>
      <c r="G18" s="270">
        <f>0.5</f>
        <v>0.5</v>
      </c>
      <c r="I18" s="387" t="s">
        <v>9</v>
      </c>
      <c r="J18" s="388"/>
      <c r="K18" s="231">
        <f>0.8</f>
        <v>0.8</v>
      </c>
      <c r="L18" s="7" t="s">
        <v>2</v>
      </c>
      <c r="M18" s="6">
        <f>0.5</f>
        <v>0.5</v>
      </c>
      <c r="O18" s="387" t="s">
        <v>9</v>
      </c>
      <c r="P18" s="388"/>
      <c r="Q18" s="231">
        <f>0.8</f>
        <v>0.8</v>
      </c>
      <c r="R18" s="7" t="s">
        <v>2</v>
      </c>
      <c r="S18" s="6">
        <f>0.5</f>
        <v>0.5</v>
      </c>
      <c r="U18" s="387" t="s">
        <v>9</v>
      </c>
      <c r="V18" s="388"/>
      <c r="W18" s="231">
        <f>0.79</f>
        <v>0.79</v>
      </c>
      <c r="X18" s="7" t="s">
        <v>2</v>
      </c>
      <c r="Y18" s="6">
        <f>0.5</f>
        <v>0.5</v>
      </c>
      <c r="AA18" s="387" t="s">
        <v>9</v>
      </c>
      <c r="AB18" s="388"/>
      <c r="AC18" s="231">
        <f>0.8</f>
        <v>0.8</v>
      </c>
      <c r="AD18" s="7" t="s">
        <v>2</v>
      </c>
      <c r="AE18" s="6">
        <f>0.5</f>
        <v>0.5</v>
      </c>
      <c r="AG18" s="387" t="s">
        <v>9</v>
      </c>
      <c r="AH18" s="388"/>
      <c r="AI18" s="231">
        <f>0.79</f>
        <v>0.79</v>
      </c>
      <c r="AJ18" s="7" t="s">
        <v>2</v>
      </c>
      <c r="AK18" s="6">
        <f>0.5</f>
        <v>0.5</v>
      </c>
      <c r="AM18" s="387" t="s">
        <v>9</v>
      </c>
      <c r="AN18" s="388"/>
      <c r="AO18" s="231">
        <f>0.79</f>
        <v>0.79</v>
      </c>
      <c r="AP18" s="7" t="s">
        <v>2</v>
      </c>
      <c r="AQ18" s="6">
        <f>0.5</f>
        <v>0.5</v>
      </c>
    </row>
    <row r="19" spans="3:43" x14ac:dyDescent="0.25">
      <c r="C19" s="387" t="s">
        <v>8</v>
      </c>
      <c r="D19" s="388"/>
      <c r="E19" s="231">
        <f>0.76</f>
        <v>0.76</v>
      </c>
      <c r="F19" s="375" t="s">
        <v>1</v>
      </c>
      <c r="G19" s="4">
        <f>G16</f>
        <v>0.61</v>
      </c>
      <c r="I19" s="387" t="s">
        <v>8</v>
      </c>
      <c r="J19" s="388"/>
      <c r="K19" s="231">
        <f>0.77</f>
        <v>0.77</v>
      </c>
      <c r="L19" s="375" t="s">
        <v>1</v>
      </c>
      <c r="M19" s="4">
        <f>M16</f>
        <v>0.6</v>
      </c>
      <c r="O19" s="387" t="s">
        <v>8</v>
      </c>
      <c r="P19" s="388"/>
      <c r="Q19" s="231">
        <f>0.77</f>
        <v>0.77</v>
      </c>
      <c r="R19" s="375" t="s">
        <v>1</v>
      </c>
      <c r="S19" s="4">
        <f>S16</f>
        <v>0.6</v>
      </c>
      <c r="U19" s="387" t="s">
        <v>8</v>
      </c>
      <c r="V19" s="388"/>
      <c r="W19" s="231">
        <f>0.76</f>
        <v>0.76</v>
      </c>
      <c r="X19" s="375" t="s">
        <v>1</v>
      </c>
      <c r="Y19" s="4">
        <f>Y16</f>
        <v>0.61</v>
      </c>
      <c r="AA19" s="387" t="s">
        <v>8</v>
      </c>
      <c r="AB19" s="388"/>
      <c r="AC19" s="231">
        <f>0.77</f>
        <v>0.77</v>
      </c>
      <c r="AD19" s="375" t="s">
        <v>1</v>
      </c>
      <c r="AE19" s="4">
        <f>AE16</f>
        <v>0.6</v>
      </c>
      <c r="AG19" s="387" t="s">
        <v>8</v>
      </c>
      <c r="AH19" s="388"/>
      <c r="AI19" s="231">
        <f>0.76</f>
        <v>0.76</v>
      </c>
      <c r="AJ19" s="375" t="s">
        <v>1</v>
      </c>
      <c r="AK19" s="4">
        <f>AK16</f>
        <v>0.61</v>
      </c>
      <c r="AM19" s="387" t="s">
        <v>8</v>
      </c>
      <c r="AN19" s="388"/>
      <c r="AO19" s="231">
        <f>0.76</f>
        <v>0.76</v>
      </c>
      <c r="AP19" s="375" t="s">
        <v>1</v>
      </c>
      <c r="AQ19" s="4">
        <f>AQ16</f>
        <v>0.61</v>
      </c>
    </row>
    <row r="20" spans="3:43" ht="15.75" thickBot="1" x14ac:dyDescent="0.3">
      <c r="C20" s="406" t="s">
        <v>7</v>
      </c>
      <c r="D20" s="407"/>
      <c r="E20" s="232">
        <f>0.71</f>
        <v>0.71</v>
      </c>
      <c r="F20" s="376" t="s">
        <v>0</v>
      </c>
      <c r="G20" s="2">
        <f>IFERROR('Summer-Fall 2019'!#REF!/F20,0)</f>
        <v>0</v>
      </c>
      <c r="I20" s="406" t="s">
        <v>7</v>
      </c>
      <c r="J20" s="407"/>
      <c r="K20" s="232">
        <v>0.73099999999999998</v>
      </c>
      <c r="L20" s="376" t="s">
        <v>0</v>
      </c>
      <c r="M20" s="2">
        <f>IFERROR('Summer-Fall 2019'!C33/L20,0)</f>
        <v>0</v>
      </c>
      <c r="O20" s="406" t="s">
        <v>7</v>
      </c>
      <c r="P20" s="407"/>
      <c r="Q20" s="232">
        <v>0.73</v>
      </c>
      <c r="R20" s="376" t="s">
        <v>0</v>
      </c>
      <c r="S20" s="2">
        <f>IFERROR('Summer-Fall 2019'!I33/R20,0)</f>
        <v>0</v>
      </c>
      <c r="U20" s="406" t="s">
        <v>7</v>
      </c>
      <c r="V20" s="407"/>
      <c r="W20" s="232">
        <f>0.71</f>
        <v>0.71</v>
      </c>
      <c r="X20" s="376" t="s">
        <v>0</v>
      </c>
      <c r="Y20" s="2">
        <f>IFERROR('Summer-Fall 2019'!#REF!/X20,0)</f>
        <v>0</v>
      </c>
      <c r="AA20" s="406" t="s">
        <v>7</v>
      </c>
      <c r="AB20" s="407"/>
      <c r="AC20" s="232">
        <v>0.74</v>
      </c>
      <c r="AD20" s="376" t="s">
        <v>0</v>
      </c>
      <c r="AE20" s="2">
        <f>IFERROR('Summer-Fall 2019'!B51/AD20,0)</f>
        <v>0</v>
      </c>
      <c r="AG20" s="406" t="s">
        <v>7</v>
      </c>
      <c r="AH20" s="407"/>
      <c r="AI20" s="232">
        <f>0.71</f>
        <v>0.71</v>
      </c>
      <c r="AJ20" s="376" t="s">
        <v>0</v>
      </c>
      <c r="AK20" s="2">
        <f>IFERROR('Summer-Fall 2019'!H51/AJ20,0)</f>
        <v>0</v>
      </c>
      <c r="AM20" s="406" t="s">
        <v>7</v>
      </c>
      <c r="AN20" s="407"/>
      <c r="AO20" s="232">
        <f>0.71</f>
        <v>0.71</v>
      </c>
      <c r="AP20" s="376" t="s">
        <v>0</v>
      </c>
      <c r="AQ20" s="2">
        <f>IFERROR('Summer-Fall 2019'!N51/AP20,0)</f>
        <v>0</v>
      </c>
    </row>
    <row r="21" spans="3:43" ht="16.5" thickTop="1" thickBot="1" x14ac:dyDescent="0.3"/>
    <row r="22" spans="3:43" ht="16.5" thickTop="1" thickBot="1" x14ac:dyDescent="0.3">
      <c r="C22" s="408" t="s">
        <v>150</v>
      </c>
      <c r="D22" s="409"/>
      <c r="E22" s="409"/>
      <c r="F22" s="409"/>
      <c r="G22" s="410"/>
      <c r="I22" s="408" t="s">
        <v>426</v>
      </c>
      <c r="J22" s="409"/>
      <c r="K22" s="409"/>
      <c r="L22" s="409"/>
      <c r="M22" s="410"/>
      <c r="O22" s="408" t="s">
        <v>426</v>
      </c>
      <c r="P22" s="409"/>
      <c r="Q22" s="409"/>
      <c r="R22" s="409"/>
      <c r="S22" s="410"/>
      <c r="U22" s="408" t="s">
        <v>426</v>
      </c>
      <c r="V22" s="409"/>
      <c r="W22" s="409"/>
      <c r="X22" s="409"/>
      <c r="Y22" s="410"/>
      <c r="AA22" s="408" t="s">
        <v>187</v>
      </c>
      <c r="AB22" s="409"/>
      <c r="AC22" s="409"/>
      <c r="AD22" s="409"/>
      <c r="AE22" s="410"/>
      <c r="AG22" s="408" t="s">
        <v>92</v>
      </c>
      <c r="AH22" s="409"/>
      <c r="AI22" s="409"/>
      <c r="AJ22" s="409"/>
      <c r="AK22" s="410"/>
      <c r="AM22" s="408" t="s">
        <v>426</v>
      </c>
      <c r="AN22" s="409"/>
      <c r="AO22" s="409"/>
      <c r="AP22" s="409"/>
      <c r="AQ22" s="410"/>
    </row>
    <row r="23" spans="3:43" ht="16.5" thickTop="1" thickBot="1" x14ac:dyDescent="0.3">
      <c r="C23" s="237">
        <v>9</v>
      </c>
      <c r="D23" s="235" t="s">
        <v>326</v>
      </c>
      <c r="E23" s="236">
        <v>9</v>
      </c>
      <c r="F23" s="233" t="s">
        <v>19</v>
      </c>
      <c r="G23" s="234">
        <v>0.4</v>
      </c>
      <c r="I23" s="237">
        <v>10</v>
      </c>
      <c r="J23" s="235" t="s">
        <v>326</v>
      </c>
      <c r="K23" s="236">
        <v>10</v>
      </c>
      <c r="L23" s="233" t="s">
        <v>19</v>
      </c>
      <c r="M23" s="234">
        <v>0.1</v>
      </c>
      <c r="O23" s="237">
        <v>3</v>
      </c>
      <c r="P23" s="235" t="s">
        <v>326</v>
      </c>
      <c r="Q23" s="236">
        <v>3</v>
      </c>
      <c r="R23" s="233" t="s">
        <v>19</v>
      </c>
      <c r="S23" s="234">
        <v>0.2</v>
      </c>
      <c r="U23" s="237">
        <v>12</v>
      </c>
      <c r="V23" s="235" t="s">
        <v>326</v>
      </c>
      <c r="W23" s="236">
        <v>12</v>
      </c>
      <c r="X23" s="233" t="s">
        <v>19</v>
      </c>
      <c r="Y23" s="234">
        <v>0.2</v>
      </c>
      <c r="AA23" s="237">
        <v>4</v>
      </c>
      <c r="AB23" s="235" t="s">
        <v>326</v>
      </c>
      <c r="AC23" s="236">
        <v>4</v>
      </c>
      <c r="AD23" s="233" t="s">
        <v>19</v>
      </c>
      <c r="AE23" s="234">
        <f>1</f>
        <v>1</v>
      </c>
      <c r="AG23" s="237">
        <v>14</v>
      </c>
      <c r="AH23" s="235" t="s">
        <v>326</v>
      </c>
      <c r="AI23" s="236">
        <v>14</v>
      </c>
      <c r="AJ23" s="233" t="s">
        <v>19</v>
      </c>
      <c r="AK23" s="234">
        <v>0.2</v>
      </c>
      <c r="AM23" s="237">
        <v>4</v>
      </c>
      <c r="AN23" s="235" t="s">
        <v>326</v>
      </c>
      <c r="AO23" s="236">
        <v>4</v>
      </c>
      <c r="AP23" s="233" t="s">
        <v>19</v>
      </c>
      <c r="AQ23" s="234">
        <f>1</f>
        <v>1</v>
      </c>
    </row>
    <row r="24" spans="3:43" ht="15.75" thickTop="1" x14ac:dyDescent="0.25">
      <c r="C24" s="238" t="s">
        <v>98</v>
      </c>
      <c r="D24" s="254">
        <f ca="1">SUM(EtCT:downtwo)</f>
        <v>43</v>
      </c>
      <c r="E24" s="254">
        <f ca="1">SUM(TtCT:downtwo)</f>
        <v>80</v>
      </c>
      <c r="F24" s="411">
        <f ca="1">IFERROR(D24/E24,0)</f>
        <v>0.53749999999999998</v>
      </c>
      <c r="G24" s="412"/>
      <c r="I24" s="238" t="s">
        <v>98</v>
      </c>
      <c r="J24" s="254">
        <f ca="1">SUM(EtCT:downtwo)</f>
        <v>221</v>
      </c>
      <c r="K24" s="254">
        <f ca="1">SUM(TtCT:downtwo)</f>
        <v>300</v>
      </c>
      <c r="L24" s="411">
        <f ca="1">IFERROR(J24/K24,0)</f>
        <v>0.73666666666666669</v>
      </c>
      <c r="M24" s="412"/>
      <c r="O24" s="238" t="s">
        <v>98</v>
      </c>
      <c r="P24" s="254">
        <f ca="1">SUM(EtCT:downtwo)</f>
        <v>288</v>
      </c>
      <c r="Q24" s="254">
        <f ca="1">SUM(TtCT:downtwo)</f>
        <v>300</v>
      </c>
      <c r="R24" s="411">
        <f ca="1">IFERROR(P24/Q24,0)</f>
        <v>0.96</v>
      </c>
      <c r="S24" s="412"/>
      <c r="U24" s="238" t="s">
        <v>98</v>
      </c>
      <c r="V24" s="254">
        <f ca="1">SUM(EtCT:downtwo)</f>
        <v>90.75</v>
      </c>
      <c r="W24" s="254">
        <f ca="1">SUM(TtCT:downtwo)</f>
        <v>118</v>
      </c>
      <c r="X24" s="411">
        <f ca="1">IFERROR(V24/W24,0)</f>
        <v>0.76906779661016944</v>
      </c>
      <c r="Y24" s="412"/>
      <c r="AA24" s="238" t="s">
        <v>98</v>
      </c>
      <c r="AB24" s="254">
        <f ca="1">SUM(EtCT:downtwo)</f>
        <v>241</v>
      </c>
      <c r="AC24" s="254">
        <f ca="1">SUM(TtCT:downtwo)</f>
        <v>400</v>
      </c>
      <c r="AD24" s="411">
        <f ca="1">IFERROR(AB24/AC24,0)</f>
        <v>0.60250000000000004</v>
      </c>
      <c r="AE24" s="412"/>
      <c r="AG24" s="238" t="s">
        <v>98</v>
      </c>
      <c r="AH24" s="254">
        <f ca="1">SUM(EtCT:downtwo)</f>
        <v>125</v>
      </c>
      <c r="AI24" s="254">
        <f ca="1">SUM(TtCT:downtwo)</f>
        <v>140</v>
      </c>
      <c r="AJ24" s="411">
        <f ca="1">IFERROR(AH24/AI24,0)</f>
        <v>0.8928571428571429</v>
      </c>
      <c r="AK24" s="412"/>
      <c r="AM24" s="238" t="s">
        <v>98</v>
      </c>
      <c r="AN24" s="254">
        <f ca="1">SUM(EtCT:downtwo)</f>
        <v>300</v>
      </c>
      <c r="AO24" s="254">
        <f ca="1">SUM(TtCT:downtwo)</f>
        <v>400</v>
      </c>
      <c r="AP24" s="411">
        <f ca="1">IFERROR(AN24/AO24,0)</f>
        <v>0.75</v>
      </c>
      <c r="AQ24" s="412"/>
    </row>
    <row r="25" spans="3:43" ht="15.75" thickBot="1" x14ac:dyDescent="0.3">
      <c r="C25" s="239" t="s">
        <v>18</v>
      </c>
      <c r="D25" s="413" t="s">
        <v>17</v>
      </c>
      <c r="E25" s="413"/>
      <c r="F25" s="240" t="s">
        <v>16</v>
      </c>
      <c r="G25" s="241" t="s">
        <v>15</v>
      </c>
      <c r="I25" s="239" t="s">
        <v>18</v>
      </c>
      <c r="J25" s="413" t="s">
        <v>17</v>
      </c>
      <c r="K25" s="413"/>
      <c r="L25" s="240" t="s">
        <v>16</v>
      </c>
      <c r="M25" s="241" t="s">
        <v>15</v>
      </c>
      <c r="O25" s="239" t="s">
        <v>18</v>
      </c>
      <c r="P25" s="413" t="s">
        <v>17</v>
      </c>
      <c r="Q25" s="413"/>
      <c r="R25" s="240" t="s">
        <v>16</v>
      </c>
      <c r="S25" s="241" t="s">
        <v>15</v>
      </c>
      <c r="U25" s="239" t="s">
        <v>18</v>
      </c>
      <c r="V25" s="413" t="s">
        <v>17</v>
      </c>
      <c r="W25" s="413"/>
      <c r="X25" s="240" t="s">
        <v>16</v>
      </c>
      <c r="Y25" s="241" t="s">
        <v>15</v>
      </c>
      <c r="AA25" s="239" t="s">
        <v>18</v>
      </c>
      <c r="AB25" s="413" t="s">
        <v>17</v>
      </c>
      <c r="AC25" s="413"/>
      <c r="AD25" s="240" t="s">
        <v>16</v>
      </c>
      <c r="AE25" s="241" t="s">
        <v>15</v>
      </c>
      <c r="AG25" s="239" t="s">
        <v>18</v>
      </c>
      <c r="AH25" s="415" t="s">
        <v>17</v>
      </c>
      <c r="AI25" s="416"/>
      <c r="AJ25" s="240" t="s">
        <v>16</v>
      </c>
      <c r="AK25" s="241" t="s">
        <v>15</v>
      </c>
      <c r="AM25" s="239" t="s">
        <v>18</v>
      </c>
      <c r="AN25" s="413" t="s">
        <v>17</v>
      </c>
      <c r="AO25" s="413"/>
      <c r="AP25" s="240" t="s">
        <v>16</v>
      </c>
      <c r="AQ25" s="241" t="s">
        <v>15</v>
      </c>
    </row>
    <row r="26" spans="3:43" ht="15.75" thickTop="1" x14ac:dyDescent="0.25">
      <c r="C26" s="11" t="s">
        <v>91</v>
      </c>
      <c r="D26" s="10">
        <v>4</v>
      </c>
      <c r="E26" s="10">
        <v>10</v>
      </c>
      <c r="F26" s="9">
        <f t="shared" ref="F26:F33" si="0">IFERROR(D26/E26,0)</f>
        <v>0.4</v>
      </c>
      <c r="G26" s="8"/>
      <c r="I26" s="11" t="s">
        <v>152</v>
      </c>
      <c r="J26" s="85">
        <v>35</v>
      </c>
      <c r="K26" s="10">
        <v>50</v>
      </c>
      <c r="L26" s="9">
        <f t="shared" ref="L26:L35" si="1">IFERROR(J26/K26,0)</f>
        <v>0.7</v>
      </c>
      <c r="M26" s="8"/>
      <c r="O26" s="11" t="s">
        <v>171</v>
      </c>
      <c r="P26" s="10">
        <v>96</v>
      </c>
      <c r="Q26" s="10">
        <v>100</v>
      </c>
      <c r="R26" s="9">
        <f>IFERROR(P26/Q26,0)</f>
        <v>0.96</v>
      </c>
      <c r="S26" s="8"/>
      <c r="U26" s="11" t="s">
        <v>171</v>
      </c>
      <c r="V26" s="10">
        <v>8</v>
      </c>
      <c r="W26" s="10">
        <v>10</v>
      </c>
      <c r="X26" s="9">
        <f>IFERROR(V26/W26,0)</f>
        <v>0.8</v>
      </c>
      <c r="Y26" s="8"/>
      <c r="AA26" s="11" t="s">
        <v>22</v>
      </c>
      <c r="AB26" s="83">
        <v>76</v>
      </c>
      <c r="AC26" s="84">
        <v>100</v>
      </c>
      <c r="AD26" s="9">
        <f>IFERROR(AB26/AC26,0)</f>
        <v>0.76</v>
      </c>
      <c r="AE26" s="8"/>
      <c r="AG26" s="82" t="s">
        <v>89</v>
      </c>
      <c r="AH26" s="103">
        <v>10</v>
      </c>
      <c r="AI26" s="104">
        <v>10</v>
      </c>
      <c r="AJ26" s="9">
        <f t="shared" ref="AJ26:AJ39" si="2">IFERROR(AH26/AI26,0)</f>
        <v>1</v>
      </c>
      <c r="AK26" s="8"/>
      <c r="AM26" s="11" t="s">
        <v>22</v>
      </c>
      <c r="AN26" s="65">
        <v>75</v>
      </c>
      <c r="AO26" s="64">
        <v>100</v>
      </c>
      <c r="AP26" s="63">
        <f>IFERROR(AN26/AO26,0)</f>
        <v>0.75</v>
      </c>
      <c r="AQ26" s="62"/>
    </row>
    <row r="27" spans="3:43" x14ac:dyDescent="0.25">
      <c r="C27" s="73" t="s">
        <v>88</v>
      </c>
      <c r="D27" s="71">
        <v>3</v>
      </c>
      <c r="E27" s="71">
        <v>10</v>
      </c>
      <c r="F27" s="63">
        <f t="shared" si="0"/>
        <v>0.3</v>
      </c>
      <c r="G27" s="62"/>
      <c r="I27" s="11" t="s">
        <v>153</v>
      </c>
      <c r="J27" s="72">
        <v>26</v>
      </c>
      <c r="K27" s="10">
        <v>40</v>
      </c>
      <c r="L27" s="63">
        <f t="shared" si="1"/>
        <v>0.65</v>
      </c>
      <c r="M27" s="76"/>
      <c r="O27" s="11" t="s">
        <v>172</v>
      </c>
      <c r="P27" s="10">
        <v>97</v>
      </c>
      <c r="Q27" s="10">
        <v>100</v>
      </c>
      <c r="R27" s="9">
        <f>IFERROR(P27/Q27,0)</f>
        <v>0.97</v>
      </c>
      <c r="S27" s="8"/>
      <c r="U27" s="11" t="s">
        <v>172</v>
      </c>
      <c r="V27" s="10">
        <v>3.75</v>
      </c>
      <c r="W27" s="10">
        <v>7</v>
      </c>
      <c r="X27" s="9">
        <f>IFERROR(V27/W27,0)</f>
        <v>0.5357142857142857</v>
      </c>
      <c r="Y27" s="8"/>
      <c r="AA27" s="11" t="s">
        <v>20</v>
      </c>
      <c r="AB27" s="65">
        <v>57</v>
      </c>
      <c r="AC27" s="64">
        <v>100</v>
      </c>
      <c r="AD27" s="63">
        <f>IFERROR(AB27/AC27,0)</f>
        <v>0.56999999999999995</v>
      </c>
      <c r="AE27" s="76"/>
      <c r="AG27" s="66" t="s">
        <v>86</v>
      </c>
      <c r="AH27" s="105">
        <v>7</v>
      </c>
      <c r="AI27" s="106">
        <v>10</v>
      </c>
      <c r="AJ27" s="63">
        <f t="shared" si="2"/>
        <v>0.7</v>
      </c>
      <c r="AK27" s="62"/>
      <c r="AM27" s="11" t="s">
        <v>20</v>
      </c>
      <c r="AN27" s="65">
        <v>75</v>
      </c>
      <c r="AO27" s="64">
        <v>100</v>
      </c>
      <c r="AP27" s="63">
        <f>IFERROR(AN27/AO27,0)</f>
        <v>0.75</v>
      </c>
      <c r="AQ27" s="62"/>
    </row>
    <row r="28" spans="3:43" ht="15.75" thickBot="1" x14ac:dyDescent="0.3">
      <c r="C28" s="73" t="s">
        <v>85</v>
      </c>
      <c r="D28" s="71">
        <v>3</v>
      </c>
      <c r="E28" s="71">
        <v>10</v>
      </c>
      <c r="F28" s="63">
        <f t="shared" si="0"/>
        <v>0.3</v>
      </c>
      <c r="G28" s="62"/>
      <c r="I28" s="11" t="s">
        <v>154</v>
      </c>
      <c r="J28" s="72">
        <v>26</v>
      </c>
      <c r="K28" s="10">
        <v>30</v>
      </c>
      <c r="L28" s="63">
        <f t="shared" si="1"/>
        <v>0.8666666666666667</v>
      </c>
      <c r="M28" s="62"/>
      <c r="O28" s="11" t="s">
        <v>173</v>
      </c>
      <c r="P28" s="10">
        <v>95</v>
      </c>
      <c r="Q28" s="10">
        <v>100</v>
      </c>
      <c r="R28" s="9">
        <f>IFERROR(P28/Q28,0)</f>
        <v>0.95</v>
      </c>
      <c r="S28" s="8"/>
      <c r="U28" s="11" t="s">
        <v>173</v>
      </c>
      <c r="V28" s="10">
        <v>8</v>
      </c>
      <c r="W28" s="10">
        <v>9</v>
      </c>
      <c r="X28" s="9">
        <f>IFERROR(V28/W28,0)</f>
        <v>0.88888888888888884</v>
      </c>
      <c r="Y28" s="8"/>
      <c r="AA28" s="11" t="s">
        <v>44</v>
      </c>
      <c r="AB28" s="65">
        <v>52</v>
      </c>
      <c r="AC28" s="64">
        <v>100</v>
      </c>
      <c r="AD28" s="63">
        <f>IFERROR(AB28/AC28,0)</f>
        <v>0.52</v>
      </c>
      <c r="AE28" s="62"/>
      <c r="AG28" s="66" t="s">
        <v>82</v>
      </c>
      <c r="AH28" s="72">
        <v>7</v>
      </c>
      <c r="AI28" s="71">
        <v>10</v>
      </c>
      <c r="AJ28" s="63">
        <f t="shared" si="2"/>
        <v>0.7</v>
      </c>
      <c r="AK28" s="62"/>
      <c r="AM28" s="11" t="s">
        <v>44</v>
      </c>
      <c r="AN28" s="65">
        <v>75</v>
      </c>
      <c r="AO28" s="64">
        <v>100</v>
      </c>
      <c r="AP28" s="63">
        <f>IFERROR(AN28/AO28,0)</f>
        <v>0.75</v>
      </c>
      <c r="AQ28" s="62"/>
    </row>
    <row r="29" spans="3:43" ht="16.5" thickTop="1" thickBot="1" x14ac:dyDescent="0.3">
      <c r="C29" s="73" t="s">
        <v>81</v>
      </c>
      <c r="D29" s="71">
        <v>6</v>
      </c>
      <c r="E29" s="71">
        <v>10</v>
      </c>
      <c r="F29" s="63">
        <f t="shared" si="0"/>
        <v>0.6</v>
      </c>
      <c r="G29" s="62"/>
      <c r="I29" s="11" t="s">
        <v>155</v>
      </c>
      <c r="J29" s="72">
        <v>30</v>
      </c>
      <c r="K29" s="10">
        <v>40</v>
      </c>
      <c r="L29" s="63">
        <f t="shared" si="1"/>
        <v>0.75</v>
      </c>
      <c r="M29" s="62"/>
      <c r="O29" s="403"/>
      <c r="P29" s="404"/>
      <c r="Q29" s="404"/>
      <c r="R29" s="404"/>
      <c r="S29" s="405"/>
      <c r="U29" s="11" t="s">
        <v>176</v>
      </c>
      <c r="V29" s="10">
        <v>9.5</v>
      </c>
      <c r="W29" s="10">
        <v>13</v>
      </c>
      <c r="X29" s="9">
        <f t="shared" ref="X29:X34" si="3">IFERROR(V29/W29,0)</f>
        <v>0.73076923076923073</v>
      </c>
      <c r="Y29" s="8"/>
      <c r="AA29" s="11" t="s">
        <v>14</v>
      </c>
      <c r="AB29" s="65">
        <v>56</v>
      </c>
      <c r="AC29" s="64">
        <v>100</v>
      </c>
      <c r="AD29" s="63">
        <f>IFERROR(AB29/AC29,0)</f>
        <v>0.56000000000000005</v>
      </c>
      <c r="AE29" s="62"/>
      <c r="AG29" s="66" t="s">
        <v>79</v>
      </c>
      <c r="AH29" s="72">
        <v>9</v>
      </c>
      <c r="AI29" s="71">
        <v>10</v>
      </c>
      <c r="AJ29" s="63">
        <f t="shared" si="2"/>
        <v>0.9</v>
      </c>
      <c r="AK29" s="62"/>
      <c r="AM29" s="11" t="s">
        <v>14</v>
      </c>
      <c r="AN29" s="65">
        <v>75</v>
      </c>
      <c r="AO29" s="64">
        <v>100</v>
      </c>
      <c r="AP29" s="63">
        <f>IFERROR(AN29/AO29,0)</f>
        <v>0.75</v>
      </c>
      <c r="AQ29" s="62"/>
    </row>
    <row r="30" spans="3:43" ht="16.5" thickTop="1" thickBot="1" x14ac:dyDescent="0.3">
      <c r="C30" s="73" t="s">
        <v>78</v>
      </c>
      <c r="D30" s="71">
        <v>6</v>
      </c>
      <c r="E30" s="71">
        <v>10</v>
      </c>
      <c r="F30" s="63">
        <f t="shared" si="0"/>
        <v>0.6</v>
      </c>
      <c r="G30" s="62"/>
      <c r="I30" s="11" t="s">
        <v>156</v>
      </c>
      <c r="J30" s="72">
        <v>20</v>
      </c>
      <c r="K30" s="10">
        <v>30</v>
      </c>
      <c r="L30" s="63">
        <f t="shared" si="1"/>
        <v>0.66666666666666663</v>
      </c>
      <c r="M30" s="76"/>
      <c r="U30" s="11" t="s">
        <v>177</v>
      </c>
      <c r="V30" s="10">
        <v>0</v>
      </c>
      <c r="W30" s="10">
        <v>12</v>
      </c>
      <c r="X30" s="9">
        <f t="shared" si="3"/>
        <v>0</v>
      </c>
      <c r="Y30" s="8"/>
      <c r="AA30" s="403"/>
      <c r="AB30" s="404"/>
      <c r="AC30" s="404"/>
      <c r="AD30" s="404"/>
      <c r="AE30" s="405"/>
      <c r="AG30" s="75" t="s">
        <v>76</v>
      </c>
      <c r="AH30" s="74">
        <v>9</v>
      </c>
      <c r="AI30" s="71">
        <v>10</v>
      </c>
      <c r="AJ30" s="63">
        <f t="shared" si="2"/>
        <v>0.9</v>
      </c>
      <c r="AK30" s="62"/>
      <c r="AM30" s="403"/>
      <c r="AN30" s="404"/>
      <c r="AO30" s="404"/>
      <c r="AP30" s="404"/>
      <c r="AQ30" s="405"/>
    </row>
    <row r="31" spans="3:43" ht="16.5" thickTop="1" thickBot="1" x14ac:dyDescent="0.3">
      <c r="C31" s="73" t="s">
        <v>75</v>
      </c>
      <c r="D31" s="71">
        <v>5</v>
      </c>
      <c r="E31" s="71">
        <v>10</v>
      </c>
      <c r="F31" s="63">
        <f t="shared" si="0"/>
        <v>0.5</v>
      </c>
      <c r="G31" s="62"/>
      <c r="I31" s="11" t="s">
        <v>157</v>
      </c>
      <c r="J31" s="72">
        <v>19</v>
      </c>
      <c r="K31" s="10">
        <v>20</v>
      </c>
      <c r="L31" s="63">
        <f t="shared" si="1"/>
        <v>0.95</v>
      </c>
      <c r="M31" s="62"/>
      <c r="O31" s="408" t="s">
        <v>93</v>
      </c>
      <c r="P31" s="409"/>
      <c r="Q31" s="409"/>
      <c r="R31" s="409"/>
      <c r="S31" s="410"/>
      <c r="U31" s="11" t="s">
        <v>178</v>
      </c>
      <c r="V31" s="10">
        <v>7</v>
      </c>
      <c r="W31" s="10">
        <v>10</v>
      </c>
      <c r="X31" s="9">
        <f t="shared" si="3"/>
        <v>0.7</v>
      </c>
      <c r="Y31" s="8"/>
      <c r="AG31" s="66" t="s">
        <v>73</v>
      </c>
      <c r="AH31" s="72">
        <v>9</v>
      </c>
      <c r="AI31" s="71">
        <v>10</v>
      </c>
      <c r="AJ31" s="63">
        <f t="shared" si="2"/>
        <v>0.9</v>
      </c>
      <c r="AK31" s="62"/>
    </row>
    <row r="32" spans="3:43" ht="16.5" thickTop="1" thickBot="1" x14ac:dyDescent="0.3">
      <c r="C32" s="73" t="s">
        <v>72</v>
      </c>
      <c r="D32" s="71">
        <v>6</v>
      </c>
      <c r="E32" s="71">
        <v>10</v>
      </c>
      <c r="F32" s="63">
        <f t="shared" si="0"/>
        <v>0.6</v>
      </c>
      <c r="G32" s="62"/>
      <c r="I32" s="11" t="s">
        <v>158</v>
      </c>
      <c r="J32" s="72">
        <v>20</v>
      </c>
      <c r="K32" s="10">
        <v>30</v>
      </c>
      <c r="L32" s="63">
        <f t="shared" si="1"/>
        <v>0.66666666666666663</v>
      </c>
      <c r="M32" s="62"/>
      <c r="O32" s="237">
        <v>4</v>
      </c>
      <c r="P32" s="235" t="s">
        <v>326</v>
      </c>
      <c r="Q32" s="236">
        <v>4</v>
      </c>
      <c r="R32" s="233" t="s">
        <v>19</v>
      </c>
      <c r="S32" s="234">
        <v>0.15</v>
      </c>
      <c r="U32" s="11" t="s">
        <v>179</v>
      </c>
      <c r="V32" s="10">
        <v>12.75</v>
      </c>
      <c r="W32" s="10">
        <v>13</v>
      </c>
      <c r="X32" s="9">
        <f t="shared" si="3"/>
        <v>0.98076923076923073</v>
      </c>
      <c r="Y32" s="8"/>
      <c r="AG32" s="66" t="s">
        <v>70</v>
      </c>
      <c r="AH32" s="72">
        <v>8</v>
      </c>
      <c r="AI32" s="71">
        <v>10</v>
      </c>
      <c r="AJ32" s="63">
        <f t="shared" si="2"/>
        <v>0.8</v>
      </c>
      <c r="AK32" s="62"/>
    </row>
    <row r="33" spans="3:37" ht="15.75" thickTop="1" x14ac:dyDescent="0.25">
      <c r="C33" s="73" t="s">
        <v>69</v>
      </c>
      <c r="D33" s="71">
        <v>10</v>
      </c>
      <c r="E33" s="71">
        <v>10</v>
      </c>
      <c r="F33" s="63">
        <f t="shared" si="0"/>
        <v>1</v>
      </c>
      <c r="G33" s="62"/>
      <c r="I33" s="11" t="s">
        <v>159</v>
      </c>
      <c r="J33" s="72">
        <v>16</v>
      </c>
      <c r="K33" s="10">
        <v>30</v>
      </c>
      <c r="L33" s="63">
        <f t="shared" si="1"/>
        <v>0.53333333333333333</v>
      </c>
      <c r="M33" s="62"/>
      <c r="O33" s="238" t="s">
        <v>98</v>
      </c>
      <c r="P33" s="254">
        <f ca="1">SUM(EtCT:downtwo)</f>
        <v>40</v>
      </c>
      <c r="Q33" s="254">
        <f ca="1">SUM(TtCT:downtwo)</f>
        <v>40</v>
      </c>
      <c r="R33" s="411">
        <f ca="1">IFERROR(P33/Q33,0)</f>
        <v>1</v>
      </c>
      <c r="S33" s="412"/>
      <c r="U33" s="11" t="s">
        <v>180</v>
      </c>
      <c r="V33" s="10">
        <v>11.5</v>
      </c>
      <c r="W33" s="10">
        <v>12</v>
      </c>
      <c r="X33" s="9">
        <f t="shared" si="3"/>
        <v>0.95833333333333337</v>
      </c>
      <c r="Y33" s="8"/>
      <c r="AG33" s="66" t="s">
        <v>66</v>
      </c>
      <c r="AH33" s="72">
        <v>10</v>
      </c>
      <c r="AI33" s="71">
        <v>10</v>
      </c>
      <c r="AJ33" s="63">
        <f t="shared" si="2"/>
        <v>1</v>
      </c>
      <c r="AK33" s="62"/>
    </row>
    <row r="34" spans="3:37" ht="15.75" thickBot="1" x14ac:dyDescent="0.3">
      <c r="C34" s="57" t="s">
        <v>48</v>
      </c>
      <c r="D34" s="56">
        <v>0</v>
      </c>
      <c r="E34" s="56">
        <v>0</v>
      </c>
      <c r="F34" s="55">
        <f>IFERROR(D34/E34,0)</f>
        <v>0</v>
      </c>
      <c r="G34" s="54"/>
      <c r="I34" s="11" t="s">
        <v>160</v>
      </c>
      <c r="J34" s="72">
        <v>29</v>
      </c>
      <c r="K34" s="10">
        <v>30</v>
      </c>
      <c r="L34" s="63">
        <f t="shared" si="1"/>
        <v>0.96666666666666667</v>
      </c>
      <c r="M34" s="62"/>
      <c r="O34" s="239" t="s">
        <v>18</v>
      </c>
      <c r="P34" s="413" t="s">
        <v>17</v>
      </c>
      <c r="Q34" s="413"/>
      <c r="R34" s="240" t="s">
        <v>16</v>
      </c>
      <c r="S34" s="241" t="s">
        <v>15</v>
      </c>
      <c r="U34" s="11" t="s">
        <v>181</v>
      </c>
      <c r="V34" s="10">
        <v>10</v>
      </c>
      <c r="W34" s="10">
        <v>10</v>
      </c>
      <c r="X34" s="9">
        <f t="shared" si="3"/>
        <v>1</v>
      </c>
      <c r="Y34" s="8"/>
      <c r="AG34" s="66" t="s">
        <v>62</v>
      </c>
      <c r="AH34" s="72">
        <v>10</v>
      </c>
      <c r="AI34" s="71">
        <v>10</v>
      </c>
      <c r="AJ34" s="63">
        <f t="shared" si="2"/>
        <v>1</v>
      </c>
      <c r="AK34" s="62"/>
    </row>
    <row r="35" spans="3:37" ht="16.5" thickTop="1" thickBot="1" x14ac:dyDescent="0.3">
      <c r="C35" s="403"/>
      <c r="D35" s="404"/>
      <c r="E35" s="404"/>
      <c r="F35" s="404"/>
      <c r="G35" s="405"/>
      <c r="I35" s="11" t="s">
        <v>60</v>
      </c>
      <c r="J35" s="72">
        <v>0</v>
      </c>
      <c r="K35" s="10">
        <v>0</v>
      </c>
      <c r="L35" s="63">
        <f t="shared" si="1"/>
        <v>0</v>
      </c>
      <c r="M35" s="62"/>
      <c r="O35" s="11" t="s">
        <v>84</v>
      </c>
      <c r="P35" s="10">
        <v>10</v>
      </c>
      <c r="Q35" s="10">
        <v>10</v>
      </c>
      <c r="R35" s="9">
        <f>IFERROR(P35/Q35,0)</f>
        <v>1</v>
      </c>
      <c r="S35" s="8"/>
      <c r="U35" s="11" t="s">
        <v>182</v>
      </c>
      <c r="V35" s="10">
        <v>10</v>
      </c>
      <c r="W35" s="10">
        <v>10</v>
      </c>
      <c r="X35" s="9">
        <f>IFERROR(V35/W35,0)</f>
        <v>1</v>
      </c>
      <c r="Y35" s="8"/>
      <c r="AG35" s="66" t="s">
        <v>58</v>
      </c>
      <c r="AH35" s="72">
        <v>10</v>
      </c>
      <c r="AI35" s="71">
        <v>10</v>
      </c>
      <c r="AJ35" s="63">
        <f t="shared" si="2"/>
        <v>1</v>
      </c>
      <c r="AK35" s="62"/>
    </row>
    <row r="36" spans="3:37" ht="16.5" thickTop="1" thickBot="1" x14ac:dyDescent="0.3">
      <c r="I36" s="403"/>
      <c r="J36" s="404"/>
      <c r="K36" s="404"/>
      <c r="L36" s="404"/>
      <c r="M36" s="405"/>
      <c r="O36" s="11" t="s">
        <v>77</v>
      </c>
      <c r="P36" s="10">
        <v>10</v>
      </c>
      <c r="Q36" s="10">
        <v>10</v>
      </c>
      <c r="R36" s="63">
        <f>IFERROR(P36/Q36,0)</f>
        <v>1</v>
      </c>
      <c r="S36" s="76"/>
      <c r="U36" s="11" t="s">
        <v>183</v>
      </c>
      <c r="V36" s="10">
        <v>5.25</v>
      </c>
      <c r="W36" s="10">
        <v>7</v>
      </c>
      <c r="X36" s="9">
        <f>IFERROR(V36/W36,0)</f>
        <v>0.75</v>
      </c>
      <c r="Y36" s="8"/>
      <c r="AG36" s="75" t="s">
        <v>56</v>
      </c>
      <c r="AH36" s="74">
        <v>6</v>
      </c>
      <c r="AI36" s="71">
        <v>10</v>
      </c>
      <c r="AJ36" s="63">
        <f t="shared" si="2"/>
        <v>0.6</v>
      </c>
      <c r="AK36" s="62"/>
    </row>
    <row r="37" spans="3:37" ht="16.5" thickTop="1" thickBot="1" x14ac:dyDescent="0.3">
      <c r="C37" s="408" t="s">
        <v>27</v>
      </c>
      <c r="D37" s="409"/>
      <c r="E37" s="409"/>
      <c r="F37" s="409"/>
      <c r="G37" s="410"/>
      <c r="O37" s="11" t="s">
        <v>71</v>
      </c>
      <c r="P37" s="10">
        <v>10</v>
      </c>
      <c r="Q37" s="10">
        <v>10</v>
      </c>
      <c r="R37" s="63">
        <f>IFERROR(P37/Q37,0)</f>
        <v>1</v>
      </c>
      <c r="S37" s="62"/>
      <c r="U37" s="11" t="s">
        <v>184</v>
      </c>
      <c r="V37" s="10">
        <v>5</v>
      </c>
      <c r="W37" s="10">
        <v>5</v>
      </c>
      <c r="X37" s="9">
        <f>IFERROR(V37/W37,0)</f>
        <v>1</v>
      </c>
      <c r="Y37" s="8"/>
      <c r="AG37" s="66" t="s">
        <v>54</v>
      </c>
      <c r="AH37" s="72">
        <v>10</v>
      </c>
      <c r="AI37" s="71">
        <v>10</v>
      </c>
      <c r="AJ37" s="63">
        <f t="shared" si="2"/>
        <v>1</v>
      </c>
      <c r="AK37" s="62"/>
    </row>
    <row r="38" spans="3:37" ht="16.5" thickTop="1" thickBot="1" x14ac:dyDescent="0.3">
      <c r="C38" s="237">
        <v>3</v>
      </c>
      <c r="D38" s="235" t="s">
        <v>326</v>
      </c>
      <c r="E38" s="236">
        <v>3</v>
      </c>
      <c r="F38" s="233" t="s">
        <v>19</v>
      </c>
      <c r="G38" s="234">
        <v>0.6</v>
      </c>
      <c r="I38" s="408" t="s">
        <v>162</v>
      </c>
      <c r="J38" s="409"/>
      <c r="K38" s="409"/>
      <c r="L38" s="409"/>
      <c r="M38" s="410"/>
      <c r="O38" s="11" t="s">
        <v>68</v>
      </c>
      <c r="P38" s="10">
        <v>10</v>
      </c>
      <c r="Q38" s="10">
        <v>10</v>
      </c>
      <c r="R38" s="63">
        <f>IFERROR(P38/Q38,0)</f>
        <v>1</v>
      </c>
      <c r="S38" s="62"/>
      <c r="U38" s="403"/>
      <c r="V38" s="404"/>
      <c r="W38" s="404"/>
      <c r="X38" s="404"/>
      <c r="Y38" s="405"/>
      <c r="AG38" s="66" t="s">
        <v>53</v>
      </c>
      <c r="AH38" s="72">
        <v>10</v>
      </c>
      <c r="AI38" s="71">
        <v>10</v>
      </c>
      <c r="AJ38" s="63">
        <f t="shared" si="2"/>
        <v>1</v>
      </c>
      <c r="AK38" s="62"/>
    </row>
    <row r="39" spans="3:37" ht="16.5" thickTop="1" thickBot="1" x14ac:dyDescent="0.3">
      <c r="C39" s="238" t="s">
        <v>98</v>
      </c>
      <c r="D39" s="254">
        <f ca="1">SUM(EtCT:downtwo)</f>
        <v>53</v>
      </c>
      <c r="E39" s="254">
        <f ca="1">SUM(TtCT:downtwo)</f>
        <v>60</v>
      </c>
      <c r="F39" s="411">
        <f ca="1">IFERROR(D39/E39,0)</f>
        <v>0.8833333333333333</v>
      </c>
      <c r="G39" s="412"/>
      <c r="I39" s="237">
        <v>9</v>
      </c>
      <c r="J39" s="235" t="s">
        <v>326</v>
      </c>
      <c r="K39" s="236">
        <v>9</v>
      </c>
      <c r="L39" s="233" t="s">
        <v>19</v>
      </c>
      <c r="M39" s="234">
        <v>0.15</v>
      </c>
      <c r="O39" s="403"/>
      <c r="P39" s="404"/>
      <c r="Q39" s="404"/>
      <c r="R39" s="404"/>
      <c r="S39" s="405"/>
      <c r="AG39" s="66" t="s">
        <v>49</v>
      </c>
      <c r="AH39" s="72">
        <v>10</v>
      </c>
      <c r="AI39" s="71">
        <v>10</v>
      </c>
      <c r="AJ39" s="63">
        <f t="shared" si="2"/>
        <v>1</v>
      </c>
      <c r="AK39" s="62"/>
    </row>
    <row r="40" spans="3:37" ht="16.5" thickTop="1" thickBot="1" x14ac:dyDescent="0.3">
      <c r="C40" s="239" t="s">
        <v>18</v>
      </c>
      <c r="D40" s="413" t="s">
        <v>17</v>
      </c>
      <c r="E40" s="413"/>
      <c r="F40" s="240" t="s">
        <v>16</v>
      </c>
      <c r="G40" s="241" t="s">
        <v>15</v>
      </c>
      <c r="I40" s="238" t="s">
        <v>98</v>
      </c>
      <c r="J40" s="254">
        <f ca="1">SUM(EtCT:downtwo)</f>
        <v>65.5</v>
      </c>
      <c r="K40" s="254">
        <f ca="1">SUM(TtCT:downtwo)</f>
        <v>70</v>
      </c>
      <c r="L40" s="411">
        <f ca="1">IFERROR(J40/K40,0)</f>
        <v>0.93571428571428572</v>
      </c>
      <c r="M40" s="412"/>
      <c r="U40" s="408" t="s">
        <v>45</v>
      </c>
      <c r="V40" s="409"/>
      <c r="W40" s="409"/>
      <c r="X40" s="409"/>
      <c r="Y40" s="410"/>
      <c r="AG40" s="403"/>
      <c r="AH40" s="404"/>
      <c r="AI40" s="404"/>
      <c r="AJ40" s="404"/>
      <c r="AK40" s="405"/>
    </row>
    <row r="41" spans="3:37" ht="16.5" thickTop="1" thickBot="1" x14ac:dyDescent="0.3">
      <c r="C41" s="11" t="s">
        <v>22</v>
      </c>
      <c r="D41" s="10">
        <v>18</v>
      </c>
      <c r="E41" s="10">
        <v>20</v>
      </c>
      <c r="F41" s="9">
        <f>IFERROR(D41/E41,0)</f>
        <v>0.9</v>
      </c>
      <c r="G41" s="8"/>
      <c r="I41" s="239" t="s">
        <v>18</v>
      </c>
      <c r="J41" s="413" t="s">
        <v>17</v>
      </c>
      <c r="K41" s="413"/>
      <c r="L41" s="240" t="s">
        <v>16</v>
      </c>
      <c r="M41" s="241" t="s">
        <v>15</v>
      </c>
      <c r="O41" s="408" t="s">
        <v>51</v>
      </c>
      <c r="P41" s="409"/>
      <c r="Q41" s="409"/>
      <c r="R41" s="409"/>
      <c r="S41" s="410"/>
      <c r="U41" s="237">
        <v>2</v>
      </c>
      <c r="V41" s="235" t="s">
        <v>326</v>
      </c>
      <c r="W41" s="236">
        <v>2</v>
      </c>
      <c r="X41" s="233" t="s">
        <v>19</v>
      </c>
      <c r="Y41" s="234">
        <v>0.15</v>
      </c>
    </row>
    <row r="42" spans="3:37" ht="16.5" thickTop="1" thickBot="1" x14ac:dyDescent="0.3">
      <c r="C42" s="11" t="s">
        <v>20</v>
      </c>
      <c r="D42" s="10">
        <v>20</v>
      </c>
      <c r="E42" s="10">
        <v>20</v>
      </c>
      <c r="F42" s="9">
        <f>IFERROR(D42/E42,0)</f>
        <v>1</v>
      </c>
      <c r="G42" s="8"/>
      <c r="I42" s="53" t="s">
        <v>91</v>
      </c>
      <c r="J42" s="52">
        <v>9.5</v>
      </c>
      <c r="K42" s="51">
        <v>10</v>
      </c>
      <c r="L42" s="50">
        <f>IFERROR(J42/K42,0)</f>
        <v>0.95</v>
      </c>
      <c r="M42" s="49"/>
      <c r="O42" s="237">
        <v>10</v>
      </c>
      <c r="P42" s="235" t="s">
        <v>326</v>
      </c>
      <c r="Q42" s="236">
        <v>10</v>
      </c>
      <c r="R42" s="233" t="s">
        <v>19</v>
      </c>
      <c r="S42" s="234">
        <v>0.4</v>
      </c>
      <c r="U42" s="238" t="s">
        <v>98</v>
      </c>
      <c r="V42" s="254">
        <f ca="1">SUM(EtCT:downtwo)</f>
        <v>86</v>
      </c>
      <c r="W42" s="254">
        <f ca="1">SUM(TtCT:downtwo)</f>
        <v>100</v>
      </c>
      <c r="X42" s="411">
        <f ca="1">IFERROR(V42/W42,0)</f>
        <v>0.86</v>
      </c>
      <c r="Y42" s="412"/>
      <c r="AG42" s="408" t="s">
        <v>192</v>
      </c>
      <c r="AH42" s="409"/>
      <c r="AI42" s="409"/>
      <c r="AJ42" s="409"/>
      <c r="AK42" s="410"/>
    </row>
    <row r="43" spans="3:37" ht="16.5" thickTop="1" thickBot="1" x14ac:dyDescent="0.3">
      <c r="C43" s="11" t="s">
        <v>14</v>
      </c>
      <c r="D43" s="10">
        <v>15</v>
      </c>
      <c r="E43" s="10">
        <v>20</v>
      </c>
      <c r="F43" s="9">
        <f>IFERROR(D43/E43,0)</f>
        <v>0.75</v>
      </c>
      <c r="G43" s="8"/>
      <c r="I43" s="48" t="s">
        <v>88</v>
      </c>
      <c r="J43" s="47">
        <v>10</v>
      </c>
      <c r="K43" s="46">
        <v>10</v>
      </c>
      <c r="L43" s="102">
        <f>IFERROR(J43/K43,0)</f>
        <v>1</v>
      </c>
      <c r="M43" s="44"/>
      <c r="O43" s="238" t="s">
        <v>98</v>
      </c>
      <c r="P43" s="254">
        <f ca="1">SUM(EtCT:downtwo)</f>
        <v>992</v>
      </c>
      <c r="Q43" s="254">
        <f ca="1">SUM(TtCT:downtwo)</f>
        <v>1100</v>
      </c>
      <c r="R43" s="411">
        <f ca="1">IFERROR(P43/Q43,0)</f>
        <v>0.90181818181818185</v>
      </c>
      <c r="S43" s="412"/>
      <c r="U43" s="239" t="s">
        <v>18</v>
      </c>
      <c r="V43" s="413" t="s">
        <v>17</v>
      </c>
      <c r="W43" s="413"/>
      <c r="X43" s="240" t="s">
        <v>16</v>
      </c>
      <c r="Y43" s="241" t="s">
        <v>15</v>
      </c>
      <c r="AG43" s="237">
        <v>2</v>
      </c>
      <c r="AH43" s="235" t="s">
        <v>326</v>
      </c>
      <c r="AI43" s="236">
        <v>2</v>
      </c>
      <c r="AJ43" s="233" t="s">
        <v>19</v>
      </c>
      <c r="AK43" s="234">
        <v>0.15</v>
      </c>
    </row>
    <row r="44" spans="3:37" ht="16.5" thickTop="1" thickBot="1" x14ac:dyDescent="0.3">
      <c r="C44" s="403"/>
      <c r="D44" s="404"/>
      <c r="E44" s="404"/>
      <c r="F44" s="404"/>
      <c r="G44" s="405"/>
      <c r="I44" s="48" t="s">
        <v>85</v>
      </c>
      <c r="J44" s="47">
        <v>0</v>
      </c>
      <c r="K44" s="46">
        <v>0</v>
      </c>
      <c r="L44" s="102">
        <f t="shared" ref="L44:L50" si="4">IFERROR(J44/K44,0)</f>
        <v>0</v>
      </c>
      <c r="M44" s="44"/>
      <c r="O44" s="239" t="s">
        <v>18</v>
      </c>
      <c r="P44" s="413" t="s">
        <v>17</v>
      </c>
      <c r="Q44" s="413"/>
      <c r="R44" s="240" t="s">
        <v>16</v>
      </c>
      <c r="S44" s="241" t="s">
        <v>15</v>
      </c>
      <c r="U44" s="11" t="s">
        <v>185</v>
      </c>
      <c r="V44" s="10">
        <v>48</v>
      </c>
      <c r="W44" s="10">
        <v>50</v>
      </c>
      <c r="X44" s="9">
        <f>IFERROR(V44/W44,0)</f>
        <v>0.96</v>
      </c>
      <c r="Y44" s="8"/>
      <c r="AG44" s="238" t="s">
        <v>98</v>
      </c>
      <c r="AH44" s="254">
        <f ca="1">SUM(EtCT:downtwo)</f>
        <v>168</v>
      </c>
      <c r="AI44" s="254">
        <f ca="1">SUM(TtCT:downtwo)</f>
        <v>200</v>
      </c>
      <c r="AJ44" s="411">
        <f ca="1">IFERROR(AH44/AI44,0)</f>
        <v>0.84</v>
      </c>
      <c r="AK44" s="412"/>
    </row>
    <row r="45" spans="3:37" ht="16.5" thickTop="1" thickBot="1" x14ac:dyDescent="0.3">
      <c r="I45" s="48" t="s">
        <v>163</v>
      </c>
      <c r="J45" s="47">
        <v>10</v>
      </c>
      <c r="K45" s="46">
        <v>10</v>
      </c>
      <c r="L45" s="102">
        <f t="shared" si="4"/>
        <v>1</v>
      </c>
      <c r="M45" s="44"/>
      <c r="O45" s="11" t="s">
        <v>47</v>
      </c>
      <c r="P45" s="10">
        <v>90</v>
      </c>
      <c r="Q45" s="10">
        <v>100</v>
      </c>
      <c r="R45" s="9">
        <f t="shared" ref="R45:R54" si="5">IFERROR(P45/Q45,0)</f>
        <v>0.9</v>
      </c>
      <c r="S45" s="8"/>
      <c r="U45" s="11" t="s">
        <v>186</v>
      </c>
      <c r="V45" s="10">
        <v>38</v>
      </c>
      <c r="W45" s="10">
        <v>50</v>
      </c>
      <c r="X45" s="63">
        <f>IFERROR(V45/W45,0)</f>
        <v>0.76</v>
      </c>
      <c r="Y45" s="76"/>
      <c r="AG45" s="239" t="s">
        <v>18</v>
      </c>
      <c r="AH45" s="415" t="s">
        <v>17</v>
      </c>
      <c r="AI45" s="416"/>
      <c r="AJ45" s="240" t="s">
        <v>16</v>
      </c>
      <c r="AK45" s="241" t="s">
        <v>15</v>
      </c>
    </row>
    <row r="46" spans="3:37" ht="16.5" thickTop="1" thickBot="1" x14ac:dyDescent="0.3">
      <c r="I46" s="48" t="s">
        <v>164</v>
      </c>
      <c r="J46" s="47">
        <v>8</v>
      </c>
      <c r="K46" s="46">
        <v>10</v>
      </c>
      <c r="L46" s="102">
        <f t="shared" si="4"/>
        <v>0.8</v>
      </c>
      <c r="M46" s="44"/>
      <c r="O46" s="11" t="s">
        <v>43</v>
      </c>
      <c r="P46" s="10">
        <v>97</v>
      </c>
      <c r="Q46" s="10">
        <v>100</v>
      </c>
      <c r="R46" s="9">
        <f t="shared" si="5"/>
        <v>0.97</v>
      </c>
      <c r="S46" s="8"/>
      <c r="U46" s="403"/>
      <c r="V46" s="404"/>
      <c r="W46" s="404"/>
      <c r="X46" s="404"/>
      <c r="Y46" s="405"/>
      <c r="AG46" s="31" t="s">
        <v>190</v>
      </c>
      <c r="AH46" s="30">
        <v>88</v>
      </c>
      <c r="AI46" s="30">
        <v>100</v>
      </c>
      <c r="AJ46" s="29">
        <f>IFERROR(AH46/AI46,0)</f>
        <v>0.88</v>
      </c>
      <c r="AK46" s="28"/>
    </row>
    <row r="47" spans="3:37" ht="16.5" thickTop="1" thickBot="1" x14ac:dyDescent="0.3">
      <c r="I47" s="48" t="s">
        <v>165</v>
      </c>
      <c r="J47" s="47">
        <v>10</v>
      </c>
      <c r="K47" s="46">
        <v>10</v>
      </c>
      <c r="L47" s="102">
        <f t="shared" si="4"/>
        <v>1</v>
      </c>
      <c r="M47" s="44"/>
      <c r="O47" s="11" t="s">
        <v>42</v>
      </c>
      <c r="P47" s="10">
        <v>92</v>
      </c>
      <c r="Q47" s="10">
        <v>100</v>
      </c>
      <c r="R47" s="9">
        <f t="shared" si="5"/>
        <v>0.92</v>
      </c>
      <c r="S47" s="8"/>
      <c r="AG47" s="25" t="s">
        <v>191</v>
      </c>
      <c r="AH47" s="24">
        <v>80</v>
      </c>
      <c r="AI47" s="24">
        <v>100</v>
      </c>
      <c r="AJ47" s="23">
        <f>IFERROR(AH47/AI47,0)</f>
        <v>0.8</v>
      </c>
      <c r="AK47" s="22"/>
    </row>
    <row r="48" spans="3:37" ht="16.5" thickTop="1" thickBot="1" x14ac:dyDescent="0.3">
      <c r="I48" s="48" t="s">
        <v>166</v>
      </c>
      <c r="J48" s="47">
        <v>8</v>
      </c>
      <c r="K48" s="46">
        <v>10</v>
      </c>
      <c r="L48" s="102">
        <f t="shared" si="4"/>
        <v>0.8</v>
      </c>
      <c r="M48" s="44"/>
      <c r="O48" s="11" t="s">
        <v>41</v>
      </c>
      <c r="P48" s="10">
        <v>91</v>
      </c>
      <c r="Q48" s="10">
        <v>100</v>
      </c>
      <c r="R48" s="9">
        <f t="shared" si="5"/>
        <v>0.91</v>
      </c>
      <c r="S48" s="8"/>
      <c r="U48" s="408" t="s">
        <v>187</v>
      </c>
      <c r="V48" s="409"/>
      <c r="W48" s="409"/>
      <c r="X48" s="409"/>
      <c r="Y48" s="410"/>
      <c r="AG48" s="403"/>
      <c r="AH48" s="404"/>
      <c r="AI48" s="404"/>
      <c r="AJ48" s="404"/>
      <c r="AK48" s="405"/>
    </row>
    <row r="49" spans="9:37" ht="16.5" thickTop="1" thickBot="1" x14ac:dyDescent="0.3">
      <c r="I49" s="48" t="s">
        <v>167</v>
      </c>
      <c r="J49" s="47">
        <v>0</v>
      </c>
      <c r="K49" s="46">
        <v>0</v>
      </c>
      <c r="L49" s="102">
        <f t="shared" si="4"/>
        <v>0</v>
      </c>
      <c r="M49" s="44"/>
      <c r="O49" s="11" t="s">
        <v>40</v>
      </c>
      <c r="P49" s="10">
        <v>91</v>
      </c>
      <c r="Q49" s="10">
        <v>100</v>
      </c>
      <c r="R49" s="9">
        <f t="shared" si="5"/>
        <v>0.91</v>
      </c>
      <c r="S49" s="8"/>
      <c r="U49" s="237">
        <v>2</v>
      </c>
      <c r="V49" s="235" t="s">
        <v>326</v>
      </c>
      <c r="W49" s="236">
        <v>2</v>
      </c>
      <c r="X49" s="233" t="s">
        <v>19</v>
      </c>
      <c r="Y49" s="234">
        <v>0.4</v>
      </c>
    </row>
    <row r="50" spans="9:37" ht="16.5" thickTop="1" thickBot="1" x14ac:dyDescent="0.3">
      <c r="I50" s="48" t="s">
        <v>168</v>
      </c>
      <c r="J50" s="47">
        <v>10</v>
      </c>
      <c r="K50" s="46">
        <v>10</v>
      </c>
      <c r="L50" s="102">
        <f t="shared" si="4"/>
        <v>1</v>
      </c>
      <c r="M50" s="44"/>
      <c r="O50" s="11" t="s">
        <v>39</v>
      </c>
      <c r="P50" s="10">
        <v>91</v>
      </c>
      <c r="Q50" s="10">
        <v>100</v>
      </c>
      <c r="R50" s="9">
        <f t="shared" si="5"/>
        <v>0.91</v>
      </c>
      <c r="S50" s="8"/>
      <c r="U50" s="238" t="s">
        <v>98</v>
      </c>
      <c r="V50" s="254">
        <f ca="1">SUM(EtCT:downtwo)</f>
        <v>140</v>
      </c>
      <c r="W50" s="254">
        <f ca="1">SUM(TtCT:downtwo)</f>
        <v>200</v>
      </c>
      <c r="X50" s="411">
        <f ca="1">IFERROR(V50/W50,0)</f>
        <v>0.7</v>
      </c>
      <c r="Y50" s="412"/>
      <c r="AG50" s="408" t="s">
        <v>193</v>
      </c>
      <c r="AH50" s="409"/>
      <c r="AI50" s="409"/>
      <c r="AJ50" s="409"/>
      <c r="AK50" s="410"/>
    </row>
    <row r="51" spans="9:37" ht="16.5" thickTop="1" thickBot="1" x14ac:dyDescent="0.3">
      <c r="I51" s="403"/>
      <c r="J51" s="404"/>
      <c r="K51" s="404"/>
      <c r="L51" s="404"/>
      <c r="M51" s="405"/>
      <c r="O51" s="11" t="s">
        <v>38</v>
      </c>
      <c r="P51" s="10">
        <v>91</v>
      </c>
      <c r="Q51" s="10">
        <v>100</v>
      </c>
      <c r="R51" s="9">
        <f t="shared" si="5"/>
        <v>0.91</v>
      </c>
      <c r="S51" s="8"/>
      <c r="U51" s="239" t="s">
        <v>18</v>
      </c>
      <c r="V51" s="415" t="s">
        <v>17</v>
      </c>
      <c r="W51" s="416"/>
      <c r="X51" s="240" t="s">
        <v>16</v>
      </c>
      <c r="Y51" s="241" t="s">
        <v>15</v>
      </c>
      <c r="AG51" s="237">
        <v>2</v>
      </c>
      <c r="AH51" s="235" t="s">
        <v>326</v>
      </c>
      <c r="AI51" s="236">
        <v>2</v>
      </c>
      <c r="AJ51" s="233" t="s">
        <v>19</v>
      </c>
      <c r="AK51" s="234">
        <v>0.2</v>
      </c>
    </row>
    <row r="52" spans="9:37" ht="16.5" thickTop="1" thickBot="1" x14ac:dyDescent="0.3">
      <c r="O52" s="11" t="s">
        <v>67</v>
      </c>
      <c r="P52" s="10">
        <v>91</v>
      </c>
      <c r="Q52" s="10">
        <v>100</v>
      </c>
      <c r="R52" s="9">
        <f t="shared" si="5"/>
        <v>0.91</v>
      </c>
      <c r="S52" s="8"/>
      <c r="U52" s="11" t="s">
        <v>47</v>
      </c>
      <c r="V52" s="10">
        <v>60</v>
      </c>
      <c r="W52" s="10">
        <v>100</v>
      </c>
      <c r="X52" s="9">
        <f>IFERROR(V52/W52,0)</f>
        <v>0.6</v>
      </c>
      <c r="Y52" s="8"/>
      <c r="AG52" s="238" t="s">
        <v>98</v>
      </c>
      <c r="AH52" s="254">
        <f ca="1">SUM(EtCT:downtwo)</f>
        <v>85</v>
      </c>
      <c r="AI52" s="254">
        <f ca="1">SUM(TtCT:downtwo)</f>
        <v>100</v>
      </c>
      <c r="AJ52" s="411">
        <f ca="1">IFERROR(AH52/AI52,0)</f>
        <v>0.85</v>
      </c>
      <c r="AK52" s="412"/>
    </row>
    <row r="53" spans="9:37" ht="16.5" thickTop="1" thickBot="1" x14ac:dyDescent="0.3">
      <c r="I53" s="408" t="s">
        <v>161</v>
      </c>
      <c r="J53" s="409"/>
      <c r="K53" s="409"/>
      <c r="L53" s="409"/>
      <c r="M53" s="410"/>
      <c r="O53" s="11" t="s">
        <v>61</v>
      </c>
      <c r="P53" s="10">
        <v>88</v>
      </c>
      <c r="Q53" s="10">
        <v>100</v>
      </c>
      <c r="R53" s="9">
        <f t="shared" si="5"/>
        <v>0.88</v>
      </c>
      <c r="S53" s="8"/>
      <c r="U53" s="11" t="s">
        <v>43</v>
      </c>
      <c r="V53" s="10">
        <v>80</v>
      </c>
      <c r="W53" s="10">
        <v>100</v>
      </c>
      <c r="X53" s="9">
        <f>IFERROR(V53/W53,0)</f>
        <v>0.8</v>
      </c>
      <c r="Y53" s="8"/>
      <c r="AG53" s="239" t="s">
        <v>18</v>
      </c>
      <c r="AH53" s="415" t="s">
        <v>17</v>
      </c>
      <c r="AI53" s="416"/>
      <c r="AJ53" s="240" t="s">
        <v>16</v>
      </c>
      <c r="AK53" s="241" t="s">
        <v>15</v>
      </c>
    </row>
    <row r="54" spans="9:37" ht="16.5" thickTop="1" thickBot="1" x14ac:dyDescent="0.3">
      <c r="I54" s="237">
        <v>3</v>
      </c>
      <c r="J54" s="235" t="s">
        <v>326</v>
      </c>
      <c r="K54" s="236">
        <v>3</v>
      </c>
      <c r="L54" s="233" t="s">
        <v>19</v>
      </c>
      <c r="M54" s="234">
        <v>0.75</v>
      </c>
      <c r="O54" s="11" t="s">
        <v>37</v>
      </c>
      <c r="P54" s="10">
        <v>170</v>
      </c>
      <c r="Q54" s="10">
        <v>200</v>
      </c>
      <c r="R54" s="9">
        <f t="shared" si="5"/>
        <v>0.85</v>
      </c>
      <c r="S54" s="8"/>
      <c r="U54" s="403"/>
      <c r="V54" s="404"/>
      <c r="W54" s="404"/>
      <c r="X54" s="404"/>
      <c r="Y54" s="405"/>
      <c r="AG54" s="21" t="s">
        <v>194</v>
      </c>
      <c r="AH54" s="20">
        <f>85</f>
        <v>85</v>
      </c>
      <c r="AI54" s="20">
        <v>100</v>
      </c>
      <c r="AJ54" s="19">
        <f>IFERROR(AH54/AI54,0)</f>
        <v>0.85</v>
      </c>
      <c r="AK54" s="18"/>
    </row>
    <row r="55" spans="9:37" ht="16.5" thickTop="1" thickBot="1" x14ac:dyDescent="0.3">
      <c r="I55" s="238" t="s">
        <v>98</v>
      </c>
      <c r="J55" s="254">
        <f ca="1">SUM(EtCT:downtwo)</f>
        <v>89.75</v>
      </c>
      <c r="K55" s="254">
        <f ca="1">SUM(TtCT:downtwo)</f>
        <v>120</v>
      </c>
      <c r="L55" s="411">
        <f ca="1">IFERROR(J55/K55,0)</f>
        <v>0.74791666666666667</v>
      </c>
      <c r="M55" s="412"/>
      <c r="O55" s="403"/>
      <c r="P55" s="404"/>
      <c r="Q55" s="404"/>
      <c r="R55" s="404"/>
      <c r="S55" s="405"/>
      <c r="AG55" s="17" t="s">
        <v>195</v>
      </c>
      <c r="AH55" s="16">
        <v>0</v>
      </c>
      <c r="AI55" s="16">
        <v>0</v>
      </c>
      <c r="AJ55" s="32">
        <f>IFERROR(AH55/AI55,0)</f>
        <v>0</v>
      </c>
      <c r="AK55" s="14"/>
    </row>
    <row r="56" spans="9:37" ht="16.5" thickTop="1" thickBot="1" x14ac:dyDescent="0.3">
      <c r="I56" s="239" t="s">
        <v>18</v>
      </c>
      <c r="J56" s="415" t="s">
        <v>17</v>
      </c>
      <c r="K56" s="416"/>
      <c r="L56" s="240" t="s">
        <v>16</v>
      </c>
      <c r="M56" s="241" t="s">
        <v>15</v>
      </c>
      <c r="AG56" s="403"/>
      <c r="AH56" s="404"/>
      <c r="AI56" s="404"/>
      <c r="AJ56" s="404"/>
      <c r="AK56" s="405"/>
    </row>
    <row r="57" spans="9:37" ht="16.5" thickTop="1" thickBot="1" x14ac:dyDescent="0.3">
      <c r="I57" s="11" t="s">
        <v>22</v>
      </c>
      <c r="J57" s="10">
        <v>29</v>
      </c>
      <c r="K57" s="10">
        <v>40</v>
      </c>
      <c r="L57" s="9">
        <f>IFERROR(J57/K57,0)</f>
        <v>0.72499999999999998</v>
      </c>
      <c r="M57" s="8"/>
      <c r="O57" s="408" t="s">
        <v>150</v>
      </c>
      <c r="P57" s="409"/>
      <c r="Q57" s="409"/>
      <c r="R57" s="409"/>
      <c r="S57" s="410"/>
    </row>
    <row r="58" spans="9:37" ht="16.5" thickTop="1" thickBot="1" x14ac:dyDescent="0.3">
      <c r="I58" s="11" t="s">
        <v>20</v>
      </c>
      <c r="J58" s="10">
        <v>24.75</v>
      </c>
      <c r="K58" s="10">
        <v>40</v>
      </c>
      <c r="L58" s="9">
        <f>IFERROR(J58/K58,0)</f>
        <v>0.61875000000000002</v>
      </c>
      <c r="M58" s="8"/>
      <c r="O58" s="237">
        <v>3</v>
      </c>
      <c r="P58" s="235" t="s">
        <v>326</v>
      </c>
      <c r="Q58" s="236">
        <v>3</v>
      </c>
      <c r="R58" s="233" t="s">
        <v>19</v>
      </c>
      <c r="S58" s="234">
        <v>0.25</v>
      </c>
      <c r="AG58" s="408" t="s">
        <v>32</v>
      </c>
      <c r="AH58" s="409"/>
      <c r="AI58" s="409"/>
      <c r="AJ58" s="409"/>
      <c r="AK58" s="410"/>
    </row>
    <row r="59" spans="9:37" ht="16.5" thickTop="1" thickBot="1" x14ac:dyDescent="0.3">
      <c r="I59" s="11" t="s">
        <v>44</v>
      </c>
      <c r="J59" s="10">
        <v>36</v>
      </c>
      <c r="K59" s="10">
        <v>40</v>
      </c>
      <c r="L59" s="9">
        <f>IFERROR(J59/K59,0)</f>
        <v>0.9</v>
      </c>
      <c r="M59" s="8"/>
      <c r="O59" s="238" t="s">
        <v>98</v>
      </c>
      <c r="P59" s="254">
        <f ca="1">SUM(EtCT:downtwo)</f>
        <v>31</v>
      </c>
      <c r="Q59" s="254">
        <f ca="1">SUM(TtCT:downtwo)</f>
        <v>80</v>
      </c>
      <c r="R59" s="411">
        <f ca="1">IFERROR(P59/Q59,0)</f>
        <v>0.38750000000000001</v>
      </c>
      <c r="S59" s="412"/>
      <c r="AG59" s="237">
        <v>2</v>
      </c>
      <c r="AH59" s="235" t="s">
        <v>326</v>
      </c>
      <c r="AI59" s="236">
        <v>2</v>
      </c>
      <c r="AJ59" s="233" t="s">
        <v>19</v>
      </c>
      <c r="AK59" s="234">
        <v>0</v>
      </c>
    </row>
    <row r="60" spans="9:37" ht="16.5" thickTop="1" thickBot="1" x14ac:dyDescent="0.3">
      <c r="I60" s="403"/>
      <c r="J60" s="404"/>
      <c r="K60" s="404"/>
      <c r="L60" s="404"/>
      <c r="M60" s="405"/>
      <c r="O60" s="239" t="s">
        <v>18</v>
      </c>
      <c r="P60" s="415" t="s">
        <v>17</v>
      </c>
      <c r="Q60" s="416"/>
      <c r="R60" s="240" t="s">
        <v>16</v>
      </c>
      <c r="S60" s="241" t="s">
        <v>15</v>
      </c>
      <c r="AG60" s="238" t="s">
        <v>98</v>
      </c>
      <c r="AH60" s="254">
        <f ca="1">SUM(EtCT:downtwo)</f>
        <v>98</v>
      </c>
      <c r="AI60" s="254">
        <f ca="1">SUM(TtCT:downtwo)</f>
        <v>100</v>
      </c>
      <c r="AJ60" s="411">
        <f ca="1">IFERROR(AH60/AI60,0)</f>
        <v>0.98</v>
      </c>
      <c r="AK60" s="412"/>
    </row>
    <row r="61" spans="9:37" ht="16.5" thickTop="1" thickBot="1" x14ac:dyDescent="0.3">
      <c r="O61" s="31" t="s">
        <v>28</v>
      </c>
      <c r="P61" s="30">
        <v>5</v>
      </c>
      <c r="Q61" s="30">
        <v>10</v>
      </c>
      <c r="R61" s="29">
        <f>IFERROR(P61/Q61,0)</f>
        <v>0.5</v>
      </c>
      <c r="S61" s="28"/>
      <c r="AG61" s="239" t="s">
        <v>18</v>
      </c>
      <c r="AH61" s="415" t="s">
        <v>17</v>
      </c>
      <c r="AI61" s="416"/>
      <c r="AJ61" s="240" t="s">
        <v>16</v>
      </c>
      <c r="AK61" s="241" t="s">
        <v>15</v>
      </c>
    </row>
    <row r="62" spans="9:37" ht="15.75" thickTop="1" x14ac:dyDescent="0.25">
      <c r="O62" s="25" t="s">
        <v>26</v>
      </c>
      <c r="P62" s="24">
        <v>5</v>
      </c>
      <c r="Q62" s="24">
        <v>25</v>
      </c>
      <c r="R62" s="27">
        <f>IFERROR(P62/Q62,0)</f>
        <v>0.2</v>
      </c>
      <c r="S62" s="26"/>
      <c r="AG62" s="21" t="s">
        <v>30</v>
      </c>
      <c r="AH62" s="20">
        <f>49</f>
        <v>49</v>
      </c>
      <c r="AI62" s="20">
        <v>50</v>
      </c>
      <c r="AJ62" s="19">
        <f>IFERROR(AH62/AI62,0)</f>
        <v>0.98</v>
      </c>
      <c r="AK62" s="18"/>
    </row>
    <row r="63" spans="9:37" ht="15.75" thickBot="1" x14ac:dyDescent="0.3">
      <c r="O63" s="25" t="s">
        <v>23</v>
      </c>
      <c r="P63" s="24">
        <v>21</v>
      </c>
      <c r="Q63" s="24">
        <v>45</v>
      </c>
      <c r="R63" s="23">
        <f>IFERROR(P63/Q63,0)</f>
        <v>0.46666666666666667</v>
      </c>
      <c r="S63" s="22"/>
      <c r="AG63" s="17" t="s">
        <v>29</v>
      </c>
      <c r="AH63" s="16">
        <v>49</v>
      </c>
      <c r="AI63" s="16">
        <v>50</v>
      </c>
      <c r="AJ63" s="32">
        <f>IFERROR(AH63/AI63,0)</f>
        <v>0.98</v>
      </c>
      <c r="AK63" s="14"/>
    </row>
    <row r="64" spans="9:37" ht="16.5" thickTop="1" thickBot="1" x14ac:dyDescent="0.3">
      <c r="O64" s="403"/>
      <c r="P64" s="404"/>
      <c r="Q64" s="404"/>
      <c r="R64" s="404"/>
      <c r="S64" s="405"/>
      <c r="AG64" s="403"/>
      <c r="AH64" s="404"/>
      <c r="AI64" s="404"/>
      <c r="AJ64" s="404"/>
      <c r="AK64" s="405"/>
    </row>
    <row r="65" spans="33:37" ht="16.5" thickTop="1" thickBot="1" x14ac:dyDescent="0.3"/>
    <row r="66" spans="33:37" ht="16.5" thickTop="1" thickBot="1" x14ac:dyDescent="0.3">
      <c r="AG66" s="408" t="s">
        <v>25</v>
      </c>
      <c r="AH66" s="409"/>
      <c r="AI66" s="409"/>
      <c r="AJ66" s="409"/>
      <c r="AK66" s="410"/>
    </row>
    <row r="67" spans="33:37" ht="16.5" thickTop="1" thickBot="1" x14ac:dyDescent="0.3">
      <c r="AG67" s="237">
        <v>1</v>
      </c>
      <c r="AH67" s="235" t="s">
        <v>326</v>
      </c>
      <c r="AI67" s="236">
        <v>1</v>
      </c>
      <c r="AJ67" s="233" t="s">
        <v>19</v>
      </c>
      <c r="AK67" s="234">
        <v>0.1</v>
      </c>
    </row>
    <row r="68" spans="33:37" ht="15.75" thickTop="1" x14ac:dyDescent="0.25">
      <c r="AG68" s="238" t="s">
        <v>98</v>
      </c>
      <c r="AH68" s="254">
        <f ca="1">SUM(EtCT:downtwo)</f>
        <v>100</v>
      </c>
      <c r="AI68" s="254">
        <f ca="1">SUM(TtCT:downtwo)</f>
        <v>100</v>
      </c>
      <c r="AJ68" s="411">
        <f ca="1">IFERROR(AH68/AI68,0)</f>
        <v>1</v>
      </c>
      <c r="AK68" s="412"/>
    </row>
    <row r="69" spans="33:37" ht="15.75" thickBot="1" x14ac:dyDescent="0.3">
      <c r="AG69" s="239" t="s">
        <v>18</v>
      </c>
      <c r="AH69" s="415" t="s">
        <v>17</v>
      </c>
      <c r="AI69" s="416"/>
      <c r="AJ69" s="240" t="s">
        <v>16</v>
      </c>
      <c r="AK69" s="241" t="s">
        <v>15</v>
      </c>
    </row>
    <row r="70" spans="33:37" ht="16.5" thickTop="1" thickBot="1" x14ac:dyDescent="0.3">
      <c r="AG70" s="11" t="s">
        <v>21</v>
      </c>
      <c r="AH70" s="10">
        <v>100</v>
      </c>
      <c r="AI70" s="10">
        <v>100</v>
      </c>
      <c r="AJ70" s="9">
        <f>IFERROR(AH70/AI70,0)</f>
        <v>1</v>
      </c>
      <c r="AK70" s="8"/>
    </row>
    <row r="71" spans="33:37" ht="16.5" thickTop="1" thickBot="1" x14ac:dyDescent="0.3">
      <c r="AG71" s="403"/>
      <c r="AH71" s="404"/>
      <c r="AI71" s="404"/>
      <c r="AJ71" s="404"/>
      <c r="AK71" s="405"/>
    </row>
    <row r="72" spans="33:37" ht="16.5" thickTop="1" thickBot="1" x14ac:dyDescent="0.3"/>
    <row r="73" spans="33:37" ht="16.5" thickTop="1" thickBot="1" x14ac:dyDescent="0.3">
      <c r="AG73" s="408" t="s">
        <v>196</v>
      </c>
      <c r="AH73" s="409"/>
      <c r="AI73" s="409"/>
      <c r="AJ73" s="409"/>
      <c r="AK73" s="410"/>
    </row>
    <row r="74" spans="33:37" ht="16.5" thickTop="1" thickBot="1" x14ac:dyDescent="0.3">
      <c r="AG74" s="237">
        <v>1</v>
      </c>
      <c r="AH74" s="235" t="s">
        <v>326</v>
      </c>
      <c r="AI74" s="236">
        <v>1</v>
      </c>
      <c r="AJ74" s="233" t="s">
        <v>19</v>
      </c>
      <c r="AK74" s="234">
        <v>0.2</v>
      </c>
    </row>
    <row r="75" spans="33:37" ht="15.75" thickTop="1" x14ac:dyDescent="0.25">
      <c r="AG75" s="238" t="s">
        <v>98</v>
      </c>
      <c r="AH75" s="254">
        <f ca="1">SUM(EtCT:downtwo)</f>
        <v>230</v>
      </c>
      <c r="AI75" s="254">
        <f ca="1">SUM(TtCT:downtwo)</f>
        <v>250</v>
      </c>
      <c r="AJ75" s="411">
        <f ca="1">IFERROR(AH75/AI75,0)</f>
        <v>0.92</v>
      </c>
      <c r="AK75" s="412"/>
    </row>
    <row r="76" spans="33:37" ht="15.75" thickBot="1" x14ac:dyDescent="0.3">
      <c r="AG76" s="239" t="s">
        <v>18</v>
      </c>
      <c r="AH76" s="415" t="s">
        <v>17</v>
      </c>
      <c r="AI76" s="416"/>
      <c r="AJ76" s="240" t="s">
        <v>16</v>
      </c>
      <c r="AK76" s="241" t="s">
        <v>15</v>
      </c>
    </row>
    <row r="77" spans="33:37" ht="16.5" thickTop="1" thickBot="1" x14ac:dyDescent="0.3">
      <c r="AG77" s="11" t="s">
        <v>16</v>
      </c>
      <c r="AH77" s="10">
        <v>230</v>
      </c>
      <c r="AI77" s="10">
        <v>250</v>
      </c>
      <c r="AJ77" s="9">
        <f>IFERROR(AH77/AI77,0)</f>
        <v>0.92</v>
      </c>
      <c r="AK77" s="8"/>
    </row>
    <row r="78" spans="33:37" ht="16.5" thickTop="1" thickBot="1" x14ac:dyDescent="0.3">
      <c r="AG78" s="403"/>
      <c r="AH78" s="404"/>
      <c r="AI78" s="404"/>
      <c r="AJ78" s="404"/>
      <c r="AK78" s="405"/>
    </row>
    <row r="79" spans="33:37" ht="16.5" thickTop="1" thickBot="1" x14ac:dyDescent="0.3"/>
    <row r="80" spans="33:37" ht="16.5" thickTop="1" thickBot="1" x14ac:dyDescent="0.3">
      <c r="AG80" s="408" t="s">
        <v>197</v>
      </c>
      <c r="AH80" s="409"/>
      <c r="AI80" s="409"/>
      <c r="AJ80" s="409"/>
      <c r="AK80" s="410"/>
    </row>
    <row r="81" spans="33:37" ht="16.5" thickTop="1" thickBot="1" x14ac:dyDescent="0.3">
      <c r="AG81" s="237">
        <v>1</v>
      </c>
      <c r="AH81" s="235" t="s">
        <v>326</v>
      </c>
      <c r="AI81" s="236">
        <v>1</v>
      </c>
      <c r="AJ81" s="233" t="s">
        <v>19</v>
      </c>
      <c r="AK81" s="234">
        <v>0.15</v>
      </c>
    </row>
    <row r="82" spans="33:37" ht="15.75" thickTop="1" x14ac:dyDescent="0.25">
      <c r="AG82" s="238" t="s">
        <v>98</v>
      </c>
      <c r="AH82" s="254">
        <f ca="1">SUM(EtCT:downtwo)</f>
        <v>96.7</v>
      </c>
      <c r="AI82" s="254">
        <f ca="1">SUM(TtCT:downtwo)</f>
        <v>100</v>
      </c>
      <c r="AJ82" s="411">
        <f ca="1">IFERROR(AH82/AI82,0)</f>
        <v>0.96700000000000008</v>
      </c>
      <c r="AK82" s="412"/>
    </row>
    <row r="83" spans="33:37" ht="15.75" thickBot="1" x14ac:dyDescent="0.3">
      <c r="AG83" s="239" t="s">
        <v>18</v>
      </c>
      <c r="AH83" s="415" t="s">
        <v>17</v>
      </c>
      <c r="AI83" s="416"/>
      <c r="AJ83" s="240" t="s">
        <v>16</v>
      </c>
      <c r="AK83" s="241" t="s">
        <v>15</v>
      </c>
    </row>
    <row r="84" spans="33:37" ht="16.5" thickTop="1" thickBot="1" x14ac:dyDescent="0.3">
      <c r="AG84" s="11" t="s">
        <v>16</v>
      </c>
      <c r="AH84" s="10">
        <v>96.7</v>
      </c>
      <c r="AI84" s="10">
        <v>100</v>
      </c>
      <c r="AJ84" s="9">
        <f>IFERROR(AH84/AI84,0)</f>
        <v>0.96700000000000008</v>
      </c>
      <c r="AK84" s="8"/>
    </row>
    <row r="85" spans="33:37" ht="16.5" thickTop="1" thickBot="1" x14ac:dyDescent="0.3">
      <c r="AG85" s="403"/>
      <c r="AH85" s="404"/>
      <c r="AI85" s="404"/>
      <c r="AJ85" s="404"/>
      <c r="AK85" s="405"/>
    </row>
    <row r="86" spans="33:37" ht="15.75" thickTop="1" x14ac:dyDescent="0.25"/>
  </sheetData>
  <mergeCells count="174">
    <mergeCell ref="AG42:AK42"/>
    <mergeCell ref="O22:S22"/>
    <mergeCell ref="O41:S41"/>
    <mergeCell ref="AG40:AK40"/>
    <mergeCell ref="O29:S29"/>
    <mergeCell ref="J56:K56"/>
    <mergeCell ref="I60:M60"/>
    <mergeCell ref="I17:J17"/>
    <mergeCell ref="I18:J18"/>
    <mergeCell ref="I19:J19"/>
    <mergeCell ref="I20:J20"/>
    <mergeCell ref="I22:M22"/>
    <mergeCell ref="L24:M24"/>
    <mergeCell ref="J25:K25"/>
    <mergeCell ref="I36:M36"/>
    <mergeCell ref="L40:M40"/>
    <mergeCell ref="I53:M53"/>
    <mergeCell ref="I51:M51"/>
    <mergeCell ref="L55:M55"/>
    <mergeCell ref="D40:E40"/>
    <mergeCell ref="C44:G44"/>
    <mergeCell ref="I13:M13"/>
    <mergeCell ref="I14:J14"/>
    <mergeCell ref="I15:J15"/>
    <mergeCell ref="I16:J16"/>
    <mergeCell ref="J41:K41"/>
    <mergeCell ref="C13:G13"/>
    <mergeCell ref="C14:D14"/>
    <mergeCell ref="C15:D15"/>
    <mergeCell ref="C16:D16"/>
    <mergeCell ref="C17:D17"/>
    <mergeCell ref="C18:D18"/>
    <mergeCell ref="C19:D19"/>
    <mergeCell ref="C20:D20"/>
    <mergeCell ref="C22:G22"/>
    <mergeCell ref="C37:G37"/>
    <mergeCell ref="I38:M38"/>
    <mergeCell ref="AJ82:AK82"/>
    <mergeCell ref="AH83:AI83"/>
    <mergeCell ref="AG85:AK85"/>
    <mergeCell ref="AA13:AE13"/>
    <mergeCell ref="AA14:AB14"/>
    <mergeCell ref="AA15:AB15"/>
    <mergeCell ref="AA16:AB16"/>
    <mergeCell ref="AA17:AB17"/>
    <mergeCell ref="AA18:AB18"/>
    <mergeCell ref="AA19:AB19"/>
    <mergeCell ref="AA20:AB20"/>
    <mergeCell ref="AD24:AE24"/>
    <mergeCell ref="AB25:AC25"/>
    <mergeCell ref="AA30:AE30"/>
    <mergeCell ref="AG56:AK56"/>
    <mergeCell ref="AJ60:AK60"/>
    <mergeCell ref="AG64:AK64"/>
    <mergeCell ref="AJ68:AK68"/>
    <mergeCell ref="AH69:AI69"/>
    <mergeCell ref="AG71:AK71"/>
    <mergeCell ref="AJ75:AK75"/>
    <mergeCell ref="AH76:AI76"/>
    <mergeCell ref="AG78:AK78"/>
    <mergeCell ref="AG17:AH17"/>
    <mergeCell ref="AG13:AK13"/>
    <mergeCell ref="AG15:AH15"/>
    <mergeCell ref="AG16:AH16"/>
    <mergeCell ref="U38:Y38"/>
    <mergeCell ref="U40:Y40"/>
    <mergeCell ref="AG18:AH18"/>
    <mergeCell ref="AG19:AH19"/>
    <mergeCell ref="AG20:AH20"/>
    <mergeCell ref="AJ24:AK24"/>
    <mergeCell ref="AH25:AI25"/>
    <mergeCell ref="U13:Y13"/>
    <mergeCell ref="U14:V14"/>
    <mergeCell ref="U15:V15"/>
    <mergeCell ref="U16:V16"/>
    <mergeCell ref="U17:V17"/>
    <mergeCell ref="U22:Y22"/>
    <mergeCell ref="AG22:AK22"/>
    <mergeCell ref="O13:S13"/>
    <mergeCell ref="R33:S33"/>
    <mergeCell ref="P34:Q34"/>
    <mergeCell ref="O39:S39"/>
    <mergeCell ref="B2:D2"/>
    <mergeCell ref="E2:G2"/>
    <mergeCell ref="B3:C3"/>
    <mergeCell ref="E3:F3"/>
    <mergeCell ref="B4:C4"/>
    <mergeCell ref="E4:F4"/>
    <mergeCell ref="O9:S9"/>
    <mergeCell ref="O31:S31"/>
    <mergeCell ref="O14:P14"/>
    <mergeCell ref="O15:P15"/>
    <mergeCell ref="O16:P16"/>
    <mergeCell ref="O17:P17"/>
    <mergeCell ref="O18:P18"/>
    <mergeCell ref="O19:P19"/>
    <mergeCell ref="F24:G24"/>
    <mergeCell ref="D25:E25"/>
    <mergeCell ref="C35:G35"/>
    <mergeCell ref="F39:G39"/>
    <mergeCell ref="R24:S24"/>
    <mergeCell ref="P25:Q25"/>
    <mergeCell ref="U6:Y6"/>
    <mergeCell ref="AA6:AE6"/>
    <mergeCell ref="C6:G6"/>
    <mergeCell ref="I6:M6"/>
    <mergeCell ref="O6:S6"/>
    <mergeCell ref="O20:P20"/>
    <mergeCell ref="AM6:AQ6"/>
    <mergeCell ref="AG8:AH8"/>
    <mergeCell ref="C7:D7"/>
    <mergeCell ref="I7:J7"/>
    <mergeCell ref="O7:P7"/>
    <mergeCell ref="AM7:AN7"/>
    <mergeCell ref="AG7:AH7"/>
    <mergeCell ref="U7:V7"/>
    <mergeCell ref="U8:V8"/>
    <mergeCell ref="AA7:AB7"/>
    <mergeCell ref="AA8:AB8"/>
    <mergeCell ref="C8:D8"/>
    <mergeCell ref="I8:J8"/>
    <mergeCell ref="O8:P8"/>
    <mergeCell ref="AM8:AN8"/>
    <mergeCell ref="AG6:AK6"/>
    <mergeCell ref="C9:G9"/>
    <mergeCell ref="I9:M9"/>
    <mergeCell ref="AM14:AN14"/>
    <mergeCell ref="AM15:AN15"/>
    <mergeCell ref="AM16:AN16"/>
    <mergeCell ref="U48:Y48"/>
    <mergeCell ref="AM9:AQ9"/>
    <mergeCell ref="AG9:AK9"/>
    <mergeCell ref="U9:Y9"/>
    <mergeCell ref="AA9:AE9"/>
    <mergeCell ref="AA22:AE22"/>
    <mergeCell ref="AM13:AQ13"/>
    <mergeCell ref="AG14:AH14"/>
    <mergeCell ref="X24:Y24"/>
    <mergeCell ref="V25:W25"/>
    <mergeCell ref="AM22:AQ22"/>
    <mergeCell ref="AP24:AQ24"/>
    <mergeCell ref="AN25:AO25"/>
    <mergeCell ref="AM30:AQ30"/>
    <mergeCell ref="U18:V18"/>
    <mergeCell ref="U19:V19"/>
    <mergeCell ref="U20:V20"/>
    <mergeCell ref="AM17:AN17"/>
    <mergeCell ref="AM18:AN18"/>
    <mergeCell ref="AM19:AN19"/>
    <mergeCell ref="AM20:AN20"/>
    <mergeCell ref="AG58:AK58"/>
    <mergeCell ref="AG73:AK73"/>
    <mergeCell ref="AH61:AI61"/>
    <mergeCell ref="AG80:AK80"/>
    <mergeCell ref="O57:S57"/>
    <mergeCell ref="AG66:AK66"/>
    <mergeCell ref="AJ52:AK52"/>
    <mergeCell ref="AH53:AI53"/>
    <mergeCell ref="X42:Y42"/>
    <mergeCell ref="V43:W43"/>
    <mergeCell ref="U46:Y46"/>
    <mergeCell ref="X50:Y50"/>
    <mergeCell ref="V51:W51"/>
    <mergeCell ref="U54:Y54"/>
    <mergeCell ref="AJ44:AK44"/>
    <mergeCell ref="AH45:AI45"/>
    <mergeCell ref="AG48:AK48"/>
    <mergeCell ref="R59:S59"/>
    <mergeCell ref="P60:Q60"/>
    <mergeCell ref="O64:S64"/>
    <mergeCell ref="R43:S43"/>
    <mergeCell ref="P44:Q44"/>
    <mergeCell ref="O55:S55"/>
    <mergeCell ref="AG50:AK50"/>
  </mergeCells>
  <phoneticPr fontId="6" type="noConversion"/>
  <conditionalFormatting sqref="E14:E20">
    <cfRule type="expression" dxfId="41" priority="10">
      <formula>IF((CELLV)&gt;(1-LSFa),1,0)</formula>
    </cfRule>
  </conditionalFormatting>
  <conditionalFormatting sqref="G14:G20">
    <cfRule type="expression" dxfId="40" priority="9">
      <formula>IF((CELLV)&gt;(1-LSFa),1,0)</formula>
    </cfRule>
  </conditionalFormatting>
  <conditionalFormatting sqref="K14:K20">
    <cfRule type="expression" dxfId="39" priority="8">
      <formula>IF((CELLV)&gt;(1-LSFb),1,0)</formula>
    </cfRule>
  </conditionalFormatting>
  <conditionalFormatting sqref="M14:M20">
    <cfRule type="expression" dxfId="38" priority="7">
      <formula>IF((CELLV)&gt;(1-LSFb),1,0)</formula>
    </cfRule>
  </conditionalFormatting>
  <conditionalFormatting sqref="AE14:AE20">
    <cfRule type="expression" dxfId="37" priority="1">
      <formula>IF((CELLV)&gt;(1-LSFe),1,0)</formula>
    </cfRule>
  </conditionalFormatting>
  <conditionalFormatting sqref="Q14:Q20">
    <cfRule type="expression" dxfId="36" priority="6">
      <formula>IF((CELLV)&gt;(1-LSFc),1,0)</formula>
    </cfRule>
  </conditionalFormatting>
  <conditionalFormatting sqref="S14:S20">
    <cfRule type="expression" dxfId="35" priority="5">
      <formula>IF((CELLV)&gt;(1-LSFc),1,0)</formula>
    </cfRule>
  </conditionalFormatting>
  <conditionalFormatting sqref="W14:W20">
    <cfRule type="expression" dxfId="34" priority="4">
      <formula>IF((CELLV)&gt;(1-LSFd),1,0)</formula>
    </cfRule>
  </conditionalFormatting>
  <conditionalFormatting sqref="Y14:Y20">
    <cfRule type="expression" dxfId="33" priority="3">
      <formula>IF((CELLV)&gt;(1-LSFd),1,0)</formula>
    </cfRule>
  </conditionalFormatting>
  <conditionalFormatting sqref="AC14:AC20">
    <cfRule type="expression" dxfId="32" priority="2">
      <formula>IF((CELLV)&gt;(1-LSFe),1,0)</formula>
    </cfRule>
  </conditionalFormatting>
  <dataValidations count="3">
    <dataValidation type="list" allowBlank="1" showInputMessage="1" showErrorMessage="1" sqref="W8 E8 K8 Q8 AO8 AC8 AI8" xr:uid="{8AE47A0A-33BA-4B17-A514-50338381438A}">
      <formula1>"NA,1,2,3,4,5,6,7"</formula1>
    </dataValidation>
    <dataValidation type="list" allowBlank="1" showInputMessage="1" showErrorMessage="1" sqref="G8 M8 S8 AQ8 AE8 AK8 Y8" xr:uid="{8B712DA5-22C3-4C3F-B4E9-2540C95D23B6}">
      <formula1>",Class,Retake,Dropped,P/F,Research"</formula1>
    </dataValidation>
    <dataValidation type="whole" operator="greaterThan" allowBlank="1" showInputMessage="1" showErrorMessage="1" sqref="AO23 AI23 AI43 AI51 AI59 AI67 AI74 AI81 AC23 W23 W41 W49 Q23 Q32 Q42 Q58 E23 E38 K23 K39 K54" xr:uid="{1173CFCB-2629-4406-B7D1-6C09FF326B4F}">
      <formula1>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E699BE2-76B3-4E65-8F69-2F082BBDBC83}">
          <x14:formula1>
            <xm:f>OFFSET(Settings!$L$4,0,0,INDIRECT(ADDRESS(ROW(),COLUMN()+2))+1,1)</xm:f>
          </x14:formula1>
          <xm:sqref>AM23 AG23 AG43 AG51 AG59 AG67 AG74 AG81 AA23 U23 U41 U49 O23 O32 O42 O58 C23 C38 I23 I39 I54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1332-0782-469C-B082-7E1C1F7090D1}">
  <sheetPr>
    <tabColor rgb="FFFF0000"/>
  </sheetPr>
  <dimension ref="B1:AK75"/>
  <sheetViews>
    <sheetView showGridLines="0" zoomScaleNormal="100" workbookViewId="0">
      <selection activeCell="C14" sqref="C14:AK20"/>
    </sheetView>
  </sheetViews>
  <sheetFormatPr defaultRowHeight="15" x14ac:dyDescent="0.25"/>
  <cols>
    <col min="1" max="1" width="4" style="1" customWidth="1"/>
    <col min="2" max="2" width="9.140625" style="1"/>
    <col min="3" max="3" width="7.7109375" style="1" customWidth="1"/>
    <col min="4" max="4" width="6" style="1" customWidth="1"/>
    <col min="5" max="5" width="7.85546875" style="1" customWidth="1"/>
    <col min="6" max="6" width="10.140625" style="1" bestFit="1" customWidth="1"/>
    <col min="7" max="7" width="9.140625" style="1"/>
    <col min="8" max="8" width="3" style="1" customWidth="1"/>
    <col min="9" max="9" width="11.5703125" style="1" customWidth="1"/>
    <col min="10" max="10" width="5.28515625" style="1" customWidth="1"/>
    <col min="11" max="11" width="7.85546875" style="1" customWidth="1"/>
    <col min="12" max="12" width="10.28515625" style="1" customWidth="1"/>
    <col min="13" max="13" width="9.140625" style="1"/>
    <col min="14" max="14" width="3.28515625" style="1" customWidth="1"/>
    <col min="15" max="15" width="8.85546875" style="1" customWidth="1"/>
    <col min="16" max="16" width="6.140625" style="1" customWidth="1"/>
    <col min="17" max="17" width="7.42578125" style="1" customWidth="1"/>
    <col min="18" max="18" width="10.28515625" style="1" customWidth="1"/>
    <col min="19" max="19" width="9.140625" style="1"/>
    <col min="20" max="20" width="3.140625" style="1" customWidth="1"/>
    <col min="21" max="21" width="9.140625" style="1"/>
    <col min="22" max="22" width="6.5703125" style="1" customWidth="1"/>
    <col min="23" max="23" width="7.710937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16384" width="9.140625" style="1"/>
  </cols>
  <sheetData>
    <row r="1" spans="2:37" ht="15.75" thickBot="1" x14ac:dyDescent="0.3"/>
    <row r="2" spans="2:37" ht="16.5" thickTop="1" thickBot="1" x14ac:dyDescent="0.3">
      <c r="B2" s="394" t="s">
        <v>120</v>
      </c>
      <c r="C2" s="395"/>
      <c r="D2" s="395"/>
      <c r="E2" s="395" t="s">
        <v>119</v>
      </c>
      <c r="F2" s="395"/>
      <c r="G2" s="396"/>
    </row>
    <row r="3" spans="2:37" ht="15.75" thickTop="1" x14ac:dyDescent="0.25">
      <c r="B3" s="397" t="s">
        <v>118</v>
      </c>
      <c r="C3" s="398"/>
      <c r="D3" s="245">
        <f>COUNTIF(6:6,"*")</f>
        <v>6</v>
      </c>
      <c r="E3" s="399" t="s">
        <v>117</v>
      </c>
      <c r="F3" s="398"/>
      <c r="G3" s="101">
        <f ca="1">G4/SUM(IF(OR(G8="P/F",G8="Dropped",G8="Retaken"),0,E8),IF(OR(M8="P/F",M8="Dropped",M8="Retaken"),0,K8),IF(OR(S8="P/F",S8="Dropped",S8="Retaken"),0,Q8),IF(OR(Y8="P/F",Y8="Dropped",Y8="Retaken"),0,W8),IF(OR(AE8="P/F",AE8="Dropped",AE8="Retaken"),0,AC8),IF(OR(AK8="P/F",AK8="Dropped",AK8="Retaken"),0,AI8),IF(OR(AQ8="P/F",AQ8="Dropped",AQ8="Retaken"),0,AO8))</f>
        <v>3.0566666666666666</v>
      </c>
    </row>
    <row r="4" spans="2:37" ht="15.75" thickBot="1" x14ac:dyDescent="0.3">
      <c r="B4" s="400" t="s">
        <v>115</v>
      </c>
      <c r="C4" s="401"/>
      <c r="D4" s="244">
        <f>SUMIF(8:8,"&lt;&gt;#N/A")</f>
        <v>18</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55.019999999999996</v>
      </c>
    </row>
    <row r="5" spans="2:37" ht="16.5" thickTop="1" thickBot="1" x14ac:dyDescent="0.3"/>
    <row r="6" spans="2:37" ht="16.5" thickTop="1" thickBot="1" x14ac:dyDescent="0.3">
      <c r="C6" s="382" t="s">
        <v>112</v>
      </c>
      <c r="D6" s="383"/>
      <c r="E6" s="383"/>
      <c r="F6" s="383"/>
      <c r="G6" s="384"/>
      <c r="I6" s="382" t="s">
        <v>111</v>
      </c>
      <c r="J6" s="383"/>
      <c r="K6" s="383"/>
      <c r="L6" s="383"/>
      <c r="M6" s="384"/>
      <c r="O6" s="382" t="s">
        <v>110</v>
      </c>
      <c r="P6" s="383"/>
      <c r="Q6" s="383"/>
      <c r="R6" s="383"/>
      <c r="S6" s="384"/>
      <c r="U6" s="382" t="s">
        <v>109</v>
      </c>
      <c r="V6" s="383"/>
      <c r="W6" s="383"/>
      <c r="X6" s="383"/>
      <c r="Y6" s="384"/>
      <c r="AA6" s="382" t="s">
        <v>504</v>
      </c>
      <c r="AB6" s="383"/>
      <c r="AC6" s="383"/>
      <c r="AD6" s="383"/>
      <c r="AE6" s="384"/>
      <c r="AG6" s="382" t="s">
        <v>501</v>
      </c>
      <c r="AH6" s="383"/>
      <c r="AI6" s="383"/>
      <c r="AJ6" s="383"/>
      <c r="AK6" s="384"/>
    </row>
    <row r="7" spans="2:37" x14ac:dyDescent="0.25">
      <c r="C7" s="385" t="s">
        <v>106</v>
      </c>
      <c r="D7" s="386"/>
      <c r="E7" s="99">
        <v>5</v>
      </c>
      <c r="F7" s="98" t="s">
        <v>105</v>
      </c>
      <c r="G7" s="97" t="s">
        <v>107</v>
      </c>
      <c r="I7" s="385" t="s">
        <v>106</v>
      </c>
      <c r="J7" s="386"/>
      <c r="K7" s="99">
        <v>3</v>
      </c>
      <c r="L7" s="98" t="s">
        <v>105</v>
      </c>
      <c r="M7" s="97" t="s">
        <v>108</v>
      </c>
      <c r="O7" s="385" t="s">
        <v>106</v>
      </c>
      <c r="P7" s="386"/>
      <c r="Q7" s="99">
        <v>4</v>
      </c>
      <c r="R7" s="98" t="s">
        <v>105</v>
      </c>
      <c r="S7" s="97" t="s">
        <v>107</v>
      </c>
      <c r="U7" s="385" t="s">
        <v>106</v>
      </c>
      <c r="V7" s="386"/>
      <c r="W7" s="99">
        <v>1</v>
      </c>
      <c r="X7" s="98" t="s">
        <v>105</v>
      </c>
      <c r="Y7" s="97" t="s">
        <v>107</v>
      </c>
      <c r="AA7" s="385" t="s">
        <v>106</v>
      </c>
      <c r="AB7" s="386"/>
      <c r="AC7" s="99">
        <v>1</v>
      </c>
      <c r="AD7" s="98" t="s">
        <v>105</v>
      </c>
      <c r="AE7" s="97"/>
      <c r="AG7" s="385" t="s">
        <v>106</v>
      </c>
      <c r="AH7" s="386"/>
      <c r="AI7" s="99">
        <v>5</v>
      </c>
      <c r="AJ7" s="98" t="s">
        <v>105</v>
      </c>
      <c r="AK7" s="97" t="s">
        <v>104</v>
      </c>
    </row>
    <row r="8" spans="2:37" ht="15.75" thickBot="1" x14ac:dyDescent="0.3">
      <c r="C8" s="377" t="s">
        <v>102</v>
      </c>
      <c r="D8" s="378"/>
      <c r="E8" s="95">
        <v>3</v>
      </c>
      <c r="F8" s="94" t="s">
        <v>101</v>
      </c>
      <c r="G8" s="93" t="s">
        <v>100</v>
      </c>
      <c r="I8" s="377" t="s">
        <v>102</v>
      </c>
      <c r="J8" s="378"/>
      <c r="K8" s="95">
        <v>3</v>
      </c>
      <c r="L8" s="94" t="s">
        <v>101</v>
      </c>
      <c r="M8" s="93" t="s">
        <v>100</v>
      </c>
      <c r="O8" s="377" t="s">
        <v>102</v>
      </c>
      <c r="P8" s="378"/>
      <c r="Q8" s="95">
        <v>3</v>
      </c>
      <c r="R8" s="94" t="s">
        <v>101</v>
      </c>
      <c r="S8" s="93" t="s">
        <v>100</v>
      </c>
      <c r="U8" s="377" t="s">
        <v>102</v>
      </c>
      <c r="V8" s="378"/>
      <c r="W8" s="95">
        <v>3</v>
      </c>
      <c r="X8" s="94" t="s">
        <v>101</v>
      </c>
      <c r="Y8" s="93" t="s">
        <v>100</v>
      </c>
      <c r="AA8" s="377" t="s">
        <v>102</v>
      </c>
      <c r="AB8" s="378"/>
      <c r="AC8" s="95">
        <v>3</v>
      </c>
      <c r="AD8" s="94" t="s">
        <v>101</v>
      </c>
      <c r="AE8" s="93" t="s">
        <v>103</v>
      </c>
      <c r="AG8" s="377" t="s">
        <v>102</v>
      </c>
      <c r="AH8" s="378"/>
      <c r="AI8" s="95">
        <v>3</v>
      </c>
      <c r="AJ8" s="94" t="s">
        <v>101</v>
      </c>
      <c r="AK8" s="93" t="s">
        <v>100</v>
      </c>
    </row>
    <row r="9" spans="2:37" ht="15.75" thickTop="1" x14ac:dyDescent="0.25">
      <c r="C9" s="379" t="s">
        <v>99</v>
      </c>
      <c r="D9" s="380"/>
      <c r="E9" s="380"/>
      <c r="F9" s="380"/>
      <c r="G9" s="381"/>
      <c r="I9" s="379" t="s">
        <v>99</v>
      </c>
      <c r="J9" s="380"/>
      <c r="K9" s="380"/>
      <c r="L9" s="380"/>
      <c r="M9" s="381"/>
      <c r="O9" s="379" t="s">
        <v>99</v>
      </c>
      <c r="P9" s="380"/>
      <c r="Q9" s="380"/>
      <c r="R9" s="380"/>
      <c r="S9" s="381"/>
      <c r="U9" s="379" t="s">
        <v>99</v>
      </c>
      <c r="V9" s="380"/>
      <c r="W9" s="380"/>
      <c r="X9" s="380"/>
      <c r="Y9" s="381"/>
      <c r="AA9" s="379" t="s">
        <v>99</v>
      </c>
      <c r="AB9" s="380"/>
      <c r="AC9" s="380"/>
      <c r="AD9" s="380"/>
      <c r="AE9" s="381"/>
      <c r="AG9" s="379" t="s">
        <v>99</v>
      </c>
      <c r="AH9" s="380"/>
      <c r="AI9" s="380"/>
      <c r="AJ9" s="380"/>
      <c r="AK9" s="381"/>
    </row>
    <row r="10" spans="2:37" x14ac:dyDescent="0.25">
      <c r="C10" s="92" t="s">
        <v>98</v>
      </c>
      <c r="D10" s="300"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C</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0.72132653061224494</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0.27867346938775511</v>
      </c>
      <c r="I10" s="92" t="s">
        <v>98</v>
      </c>
      <c r="J10" s="300" t="str" cm="1">
        <f t="array" aca="1" ref="J10" ca="1">IF(GRDtCT="Dropped","NA",IF(GRDtCT="P/F",IF(GRDtP&gt;=PtNPass,PtLPass,PtLFail),IF(GRDtP&gt;=PtNA,PtLA,IF(GRDtP&gt;=PtNAm,PtLAm,IF(GRDtP&gt;=PtNBp,PtLBp,IF(GRDtP&gt;=PtNB,PtLB,IF(GRDtP&gt;=PtNBm,PtLBm,IF(GRDtP&gt;=PtNCp,PtLCp,IF(GRDtP&gt;=PtNC,PtLC,IF(GRDtP&gt;=PtNCm,PtLCm,IF(GRDtP&gt;=PtNDp,PtLDp,IF(GRDtP&gt;=PtND,PtLD,IF(GRDtP&gt;=PtNDm,PtLDm,PtLF)))))))))))))</f>
        <v>C</v>
      </c>
      <c r="K10" s="90" cm="1">
        <f t="array" aca="1" ref="K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0.73955555555555552</v>
      </c>
      <c r="L10" s="12" t="s">
        <v>97</v>
      </c>
      <c r="M10" s="89" cm="1">
        <f t="array" aca="1" ref="M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0.26044444444444448</v>
      </c>
      <c r="O10" s="92" t="s">
        <v>98</v>
      </c>
      <c r="P10" s="300" t="str" cm="1">
        <f t="array" aca="1" ref="P10" ca="1">IF(GRDtCT="Dropped","NA",IF(GRDtCT="P/F",IF(GRDtP&gt;=PtNPass,PtLPass,PtLFail),IF(GRDtP&gt;=PtNA,PtLA,IF(GRDtP&gt;=PtNAm,PtLAm,IF(GRDtP&gt;=PtNBp,PtLBp,IF(GRDtP&gt;=PtNB,PtLB,IF(GRDtP&gt;=PtNBm,PtLBm,IF(GRDtP&gt;=PtNCp,PtLCp,IF(GRDtP&gt;=PtNC,PtLC,IF(GRDtP&gt;=PtNCm,PtLCm,IF(GRDtP&gt;=PtNDp,PtLDp,IF(GRDtP&gt;=PtND,PtLD,IF(GRDtP&gt;=PtNDm,PtLDm,PtLF)))))))))))))</f>
        <v>A</v>
      </c>
      <c r="Q10" s="90" cm="1">
        <f t="array" aca="1" ref="Q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0.98409090909090902</v>
      </c>
      <c r="R10" s="12" t="s">
        <v>97</v>
      </c>
      <c r="S10" s="89" cm="1">
        <f t="array" aca="1" ref="S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1.5909090909090928E-2</v>
      </c>
      <c r="U10" s="92" t="s">
        <v>98</v>
      </c>
      <c r="V10" s="300" t="str" cm="1">
        <f t="array" aca="1" ref="V10" ca="1">IF(GRDtCT="Dropped","NA",IF(GRDtCT="P/F",IF(GRDtP&gt;=PtNPass,PtLPass,PtLFail),IF(GRDtP&gt;=PtNA,PtLA,IF(GRDtP&gt;=PtNAm,PtLAm,IF(GRDtP&gt;=PtNBp,PtLBp,IF(GRDtP&gt;=PtNB,PtLB,IF(GRDtP&gt;=PtNBm,PtLBm,IF(GRDtP&gt;=PtNCp,PtLCp,IF(GRDtP&gt;=PtNC,PtLC,IF(GRDtP&gt;=PtNCm,PtLCm,IF(GRDtP&gt;=PtNDp,PtLDp,IF(GRDtP&gt;=PtND,PtLD,IF(GRDtP&gt;=PtNDm,PtLDm,PtLF)))))))))))))</f>
        <v>B-</v>
      </c>
      <c r="W10" s="90" cm="1">
        <f t="array" aca="1" ref="W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0.8120253164556962</v>
      </c>
      <c r="X10" s="12" t="s">
        <v>97</v>
      </c>
      <c r="Y10" s="89" cm="1">
        <f t="array" aca="1" ref="Y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0.1879746835443038</v>
      </c>
      <c r="AA10" s="92" t="s">
        <v>98</v>
      </c>
      <c r="AB10" s="300" t="str" cm="1">
        <f t="array" aca="1" ref="AB10" ca="1">IF(GRDtCT="Dropped","NA",IF(GRDtCT="P/F",IF(GRDtP&gt;=PtNPass,PtLPass,PtLFail),IF(GRDtP&gt;=PtNA,PtLA,IF(GRDtP&gt;=PtNAm,PtLAm,IF(GRDtP&gt;=PtNBp,PtLBp,IF(GRDtP&gt;=PtNB,PtLB,IF(GRDtP&gt;=PtNBm,PtLBm,IF(GRDtP&gt;=PtNCp,PtLCp,IF(GRDtP&gt;=PtNC,PtLC,IF(GRDtP&gt;=PtNCm,PtLCm,IF(GRDtP&gt;=PtNDp,PtLDp,IF(GRDtP&gt;=PtND,PtLD,IF(GRDtP&gt;=PtNDm,PtLDm,PtLF)))))))))))))</f>
        <v>A</v>
      </c>
      <c r="AC10" s="90" cm="1">
        <f t="array" aca="1" ref="AC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1</v>
      </c>
      <c r="AD10" s="12" t="s">
        <v>97</v>
      </c>
      <c r="AE10" s="89" cm="1">
        <f t="array" aca="1" ref="AE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v>
      </c>
      <c r="AG10" s="92" t="s">
        <v>98</v>
      </c>
      <c r="AH10" s="300" t="str" cm="1">
        <f t="array" aca="1" ref="AH10" ca="1">IF(GRDtCT="Dropped","NA",IF(GRDtCT="P/F",IF(GRDtP&gt;=PtNPass,PtLPass,PtLFail),IF(GRDtP&gt;=PtNA,PtLA,IF(GRDtP&gt;=PtNAm,PtLAm,IF(GRDtP&gt;=PtNBp,PtLBp,IF(GRDtP&gt;=PtNB,PtLB,IF(GRDtP&gt;=PtNBm,PtLBm,IF(GRDtP&gt;=PtNCp,PtLCp,IF(GRDtP&gt;=PtNC,PtLC,IF(GRDtP&gt;=PtNCm,PtLCm,IF(GRDtP&gt;=PtNDp,PtLDp,IF(GRDtP&gt;=PtND,PtLD,IF(GRDtP&gt;=PtNDm,PtLDm,PtLF)))))))))))))</f>
        <v>A-</v>
      </c>
      <c r="AI10" s="90" cm="1">
        <f t="array" aca="1" ref="AI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0.8988454545454545</v>
      </c>
      <c r="AJ10" s="12" t="s">
        <v>97</v>
      </c>
      <c r="AK10" s="89" cm="1">
        <f t="array" aca="1" ref="AK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0.10115454545454544</v>
      </c>
    </row>
    <row r="11" spans="2:37" ht="15.75" thickBot="1" x14ac:dyDescent="0.3">
      <c r="C11" s="88" t="s">
        <v>96</v>
      </c>
      <c r="D11" s="87"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v>
      </c>
      <c r="E11" s="86"/>
      <c r="F11" s="86" t="s">
        <v>95</v>
      </c>
      <c r="G11" s="242" cm="1">
        <f t="array" aca="1" ref="G11" ca="1">IF(OR(QPtCT="Dropped",QPtCT="P/F"),"NA",QPtGPA*QPtCR)</f>
        <v>6</v>
      </c>
      <c r="I11" s="88" t="s">
        <v>96</v>
      </c>
      <c r="J11" s="87" cm="1">
        <f t="array" aca="1" ref="J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v>
      </c>
      <c r="K11" s="86"/>
      <c r="L11" s="86" t="s">
        <v>95</v>
      </c>
      <c r="M11" s="242" cm="1">
        <f t="array" aca="1" ref="M11" ca="1">IF(OR(QPtCT="Dropped",QPtCT="P/F"),"NA",QPtGPA*QPtCR)</f>
        <v>6</v>
      </c>
      <c r="O11" s="88" t="s">
        <v>96</v>
      </c>
      <c r="P11" s="87" cm="1">
        <f t="array" aca="1" ref="P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4</v>
      </c>
      <c r="Q11" s="86"/>
      <c r="R11" s="86" t="s">
        <v>95</v>
      </c>
      <c r="S11" s="242" cm="1">
        <f t="array" aca="1" ref="S11" ca="1">IF(OR(QPtCT="Dropped",QPtCT="P/F"),"NA",QPtGPA*QPtCR)</f>
        <v>12</v>
      </c>
      <c r="U11" s="88" t="s">
        <v>96</v>
      </c>
      <c r="V11" s="87" cm="1">
        <f t="array" aca="1" ref="V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2.67</v>
      </c>
      <c r="W11" s="86"/>
      <c r="X11" s="86" t="s">
        <v>95</v>
      </c>
      <c r="Y11" s="242" cm="1">
        <f t="array" aca="1" ref="Y11" ca="1">IF(OR(QPtCT="Dropped",QPtCT="P/F"),"NA",QPtGPA*QPtCR)</f>
        <v>8.01</v>
      </c>
      <c r="AA11" s="88" t="s">
        <v>96</v>
      </c>
      <c r="AB11" s="87" cm="1">
        <f t="array" aca="1" ref="AB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4</v>
      </c>
      <c r="AC11" s="86"/>
      <c r="AD11" s="86" t="s">
        <v>95</v>
      </c>
      <c r="AE11" s="242" cm="1">
        <f t="array" aca="1" ref="AE11" ca="1">IF(OR(QPtCT="Dropped",QPtCT="P/F"),"NA",QPtGPA*QPtCR)</f>
        <v>12</v>
      </c>
      <c r="AG11" s="88" t="s">
        <v>96</v>
      </c>
      <c r="AH11" s="87" cm="1">
        <f t="array" aca="1" ref="AH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3.67</v>
      </c>
      <c r="AI11" s="86"/>
      <c r="AJ11" s="86" t="s">
        <v>95</v>
      </c>
      <c r="AK11" s="242" cm="1">
        <f t="array" aca="1" ref="AK11" ca="1">IF(OR(QPtCT="Dropped",QPtCT="P/F"),"NA",QPtGPA*QPtCR)</f>
        <v>11.01</v>
      </c>
    </row>
    <row r="12" spans="2:37" ht="12" customHeight="1" thickTop="1" thickBot="1" x14ac:dyDescent="0.3"/>
    <row r="13" spans="2:37" ht="16.5" thickTop="1" thickBot="1" x14ac:dyDescent="0.3">
      <c r="C13" s="389" t="s">
        <v>327</v>
      </c>
      <c r="D13" s="390"/>
      <c r="E13" s="390"/>
      <c r="F13" s="390"/>
      <c r="G13" s="391"/>
      <c r="I13" s="389" t="s">
        <v>327</v>
      </c>
      <c r="J13" s="390"/>
      <c r="K13" s="390"/>
      <c r="L13" s="390"/>
      <c r="M13" s="391"/>
      <c r="O13" s="389" t="s">
        <v>327</v>
      </c>
      <c r="P13" s="390"/>
      <c r="Q13" s="390"/>
      <c r="R13" s="390"/>
      <c r="S13" s="391"/>
      <c r="U13" s="389" t="s">
        <v>327</v>
      </c>
      <c r="V13" s="390"/>
      <c r="W13" s="390"/>
      <c r="X13" s="390"/>
      <c r="Y13" s="391"/>
      <c r="AA13" s="389" t="s">
        <v>327</v>
      </c>
      <c r="AB13" s="390"/>
      <c r="AC13" s="390"/>
      <c r="AD13" s="390"/>
      <c r="AE13" s="391"/>
      <c r="AG13" s="389" t="s">
        <v>327</v>
      </c>
      <c r="AH13" s="390"/>
      <c r="AI13" s="390"/>
      <c r="AJ13" s="390"/>
      <c r="AK13" s="391"/>
    </row>
    <row r="14" spans="2:37" ht="15.75" thickTop="1" x14ac:dyDescent="0.25">
      <c r="C14" s="392" t="s">
        <v>13</v>
      </c>
      <c r="D14" s="393"/>
      <c r="E14" s="231">
        <f>0.92</f>
        <v>0.92</v>
      </c>
      <c r="F14" s="368" t="s">
        <v>6</v>
      </c>
      <c r="G14" s="4">
        <f>0.7</f>
        <v>0.7</v>
      </c>
      <c r="I14" s="392" t="s">
        <v>13</v>
      </c>
      <c r="J14" s="393"/>
      <c r="K14" s="231">
        <f>0.93</f>
        <v>0.93</v>
      </c>
      <c r="L14" s="368" t="s">
        <v>6</v>
      </c>
      <c r="M14" s="4">
        <f>0.7</f>
        <v>0.7</v>
      </c>
      <c r="O14" s="392" t="s">
        <v>13</v>
      </c>
      <c r="P14" s="393"/>
      <c r="Q14" s="231">
        <f>0.93</f>
        <v>0.93</v>
      </c>
      <c r="R14" s="368" t="s">
        <v>6</v>
      </c>
      <c r="S14" s="4">
        <f>0.7</f>
        <v>0.7</v>
      </c>
      <c r="U14" s="392" t="s">
        <v>13</v>
      </c>
      <c r="V14" s="393"/>
      <c r="W14" s="231">
        <f>0.94</f>
        <v>0.94</v>
      </c>
      <c r="X14" s="368" t="s">
        <v>6</v>
      </c>
      <c r="Y14" s="4">
        <f>0.7</f>
        <v>0.7</v>
      </c>
      <c r="AA14" s="392" t="s">
        <v>13</v>
      </c>
      <c r="AB14" s="393"/>
      <c r="AC14" s="231">
        <f>0.94</f>
        <v>0.94</v>
      </c>
      <c r="AD14" s="368" t="s">
        <v>6</v>
      </c>
      <c r="AE14" s="4">
        <f>0.7</f>
        <v>0.7</v>
      </c>
      <c r="AG14" s="392" t="s">
        <v>13</v>
      </c>
      <c r="AH14" s="393"/>
      <c r="AI14" s="231">
        <f>0.92</f>
        <v>0.92</v>
      </c>
      <c r="AJ14" s="368" t="s">
        <v>6</v>
      </c>
      <c r="AK14" s="4">
        <f>0.69</f>
        <v>0.69</v>
      </c>
    </row>
    <row r="15" spans="2:37" x14ac:dyDescent="0.25">
      <c r="C15" s="387" t="s">
        <v>12</v>
      </c>
      <c r="D15" s="388"/>
      <c r="E15" s="231">
        <f>0.89</f>
        <v>0.89</v>
      </c>
      <c r="F15" s="368" t="s">
        <v>5</v>
      </c>
      <c r="G15" s="4">
        <f>0.67</f>
        <v>0.67</v>
      </c>
      <c r="I15" s="387" t="s">
        <v>12</v>
      </c>
      <c r="J15" s="388"/>
      <c r="K15" s="231">
        <f>0.9</f>
        <v>0.9</v>
      </c>
      <c r="L15" s="368" t="s">
        <v>5</v>
      </c>
      <c r="M15" s="4">
        <f>0.67</f>
        <v>0.67</v>
      </c>
      <c r="O15" s="387" t="s">
        <v>12</v>
      </c>
      <c r="P15" s="388"/>
      <c r="Q15" s="231">
        <f>0.9</f>
        <v>0.9</v>
      </c>
      <c r="R15" s="368" t="s">
        <v>5</v>
      </c>
      <c r="S15" s="4">
        <f>0.67</f>
        <v>0.67</v>
      </c>
      <c r="U15" s="387" t="s">
        <v>12</v>
      </c>
      <c r="V15" s="388"/>
      <c r="W15" s="231">
        <f>0.9</f>
        <v>0.9</v>
      </c>
      <c r="X15" s="368" t="s">
        <v>5</v>
      </c>
      <c r="Y15" s="4">
        <f>0.67</f>
        <v>0.67</v>
      </c>
      <c r="AA15" s="387" t="s">
        <v>12</v>
      </c>
      <c r="AB15" s="388"/>
      <c r="AC15" s="231">
        <f>0.9</f>
        <v>0.9</v>
      </c>
      <c r="AD15" s="368" t="s">
        <v>5</v>
      </c>
      <c r="AE15" s="4">
        <f>0.67</f>
        <v>0.67</v>
      </c>
      <c r="AG15" s="387" t="s">
        <v>12</v>
      </c>
      <c r="AH15" s="388"/>
      <c r="AI15" s="231">
        <f>0.89</f>
        <v>0.89</v>
      </c>
      <c r="AJ15" s="368" t="s">
        <v>5</v>
      </c>
      <c r="AK15" s="4">
        <f>0.66</f>
        <v>0.66</v>
      </c>
    </row>
    <row r="16" spans="2:37" x14ac:dyDescent="0.25">
      <c r="C16" s="387" t="s">
        <v>11</v>
      </c>
      <c r="D16" s="388"/>
      <c r="E16" s="231">
        <f>0.86</f>
        <v>0.86</v>
      </c>
      <c r="F16" s="368" t="s">
        <v>4</v>
      </c>
      <c r="G16" s="4">
        <f>0.6</f>
        <v>0.6</v>
      </c>
      <c r="I16" s="387" t="s">
        <v>11</v>
      </c>
      <c r="J16" s="388"/>
      <c r="K16" s="231">
        <f>0.87</f>
        <v>0.87</v>
      </c>
      <c r="L16" s="368" t="s">
        <v>4</v>
      </c>
      <c r="M16" s="4">
        <f>0.6</f>
        <v>0.6</v>
      </c>
      <c r="O16" s="387" t="s">
        <v>11</v>
      </c>
      <c r="P16" s="388"/>
      <c r="Q16" s="231">
        <f>0.87</f>
        <v>0.87</v>
      </c>
      <c r="R16" s="368" t="s">
        <v>4</v>
      </c>
      <c r="S16" s="4">
        <f>0.6</f>
        <v>0.6</v>
      </c>
      <c r="U16" s="387" t="s">
        <v>11</v>
      </c>
      <c r="V16" s="388"/>
      <c r="W16" s="231">
        <f>0.87</f>
        <v>0.87</v>
      </c>
      <c r="X16" s="368" t="s">
        <v>4</v>
      </c>
      <c r="Y16" s="4">
        <f>0.6</f>
        <v>0.6</v>
      </c>
      <c r="AA16" s="387" t="s">
        <v>11</v>
      </c>
      <c r="AB16" s="388"/>
      <c r="AC16" s="231">
        <f>0.87</f>
        <v>0.87</v>
      </c>
      <c r="AD16" s="368" t="s">
        <v>4</v>
      </c>
      <c r="AE16" s="4">
        <f>0.6</f>
        <v>0.6</v>
      </c>
      <c r="AG16" s="387" t="s">
        <v>11</v>
      </c>
      <c r="AH16" s="388"/>
      <c r="AI16" s="231">
        <f>0.86</f>
        <v>0.86</v>
      </c>
      <c r="AJ16" s="368" t="s">
        <v>4</v>
      </c>
      <c r="AK16" s="4">
        <f>0.61</f>
        <v>0.61</v>
      </c>
    </row>
    <row r="17" spans="3:37" x14ac:dyDescent="0.25">
      <c r="C17" s="387" t="s">
        <v>10</v>
      </c>
      <c r="D17" s="388"/>
      <c r="E17" s="231">
        <f>0.81</f>
        <v>0.81</v>
      </c>
      <c r="F17" s="368" t="s">
        <v>3</v>
      </c>
      <c r="G17" s="4">
        <v>0.56999999999999995</v>
      </c>
      <c r="I17" s="387" t="s">
        <v>10</v>
      </c>
      <c r="J17" s="388"/>
      <c r="K17" s="231">
        <f>0.83</f>
        <v>0.83</v>
      </c>
      <c r="L17" s="368" t="s">
        <v>3</v>
      </c>
      <c r="M17" s="4">
        <v>0.56999999999999995</v>
      </c>
      <c r="O17" s="387" t="s">
        <v>10</v>
      </c>
      <c r="P17" s="388"/>
      <c r="Q17" s="231">
        <f>0.83</f>
        <v>0.83</v>
      </c>
      <c r="R17" s="368" t="s">
        <v>3</v>
      </c>
      <c r="S17" s="4">
        <v>0.56999999999999995</v>
      </c>
      <c r="U17" s="387" t="s">
        <v>10</v>
      </c>
      <c r="V17" s="388"/>
      <c r="W17" s="231">
        <f>0.84</f>
        <v>0.84</v>
      </c>
      <c r="X17" s="368" t="s">
        <v>3</v>
      </c>
      <c r="Y17" s="4">
        <v>0.56999999999999995</v>
      </c>
      <c r="AA17" s="387" t="s">
        <v>10</v>
      </c>
      <c r="AB17" s="388"/>
      <c r="AC17" s="231">
        <f>0.84</f>
        <v>0.84</v>
      </c>
      <c r="AD17" s="368" t="s">
        <v>3</v>
      </c>
      <c r="AE17" s="4">
        <v>0.56999999999999995</v>
      </c>
      <c r="AG17" s="387" t="s">
        <v>10</v>
      </c>
      <c r="AH17" s="388"/>
      <c r="AI17" s="231">
        <f>0.81</f>
        <v>0.81</v>
      </c>
      <c r="AJ17" s="368" t="s">
        <v>3</v>
      </c>
      <c r="AK17" s="4">
        <v>0.56999999999999995</v>
      </c>
    </row>
    <row r="18" spans="3:37" x14ac:dyDescent="0.25">
      <c r="C18" s="387" t="s">
        <v>9</v>
      </c>
      <c r="D18" s="388"/>
      <c r="E18" s="231">
        <f>0.79</f>
        <v>0.79</v>
      </c>
      <c r="F18" s="7" t="s">
        <v>2</v>
      </c>
      <c r="G18" s="270">
        <f>0.5</f>
        <v>0.5</v>
      </c>
      <c r="I18" s="387" t="s">
        <v>9</v>
      </c>
      <c r="J18" s="388"/>
      <c r="K18" s="231">
        <f>0.8</f>
        <v>0.8</v>
      </c>
      <c r="L18" s="7" t="s">
        <v>2</v>
      </c>
      <c r="M18" s="6">
        <f>0.5</f>
        <v>0.5</v>
      </c>
      <c r="O18" s="387" t="s">
        <v>9</v>
      </c>
      <c r="P18" s="388"/>
      <c r="Q18" s="231">
        <f>0.8</f>
        <v>0.8</v>
      </c>
      <c r="R18" s="7" t="s">
        <v>2</v>
      </c>
      <c r="S18" s="6">
        <f>0.5</f>
        <v>0.5</v>
      </c>
      <c r="U18" s="387" t="s">
        <v>9</v>
      </c>
      <c r="V18" s="388"/>
      <c r="W18" s="231">
        <f>0.8</f>
        <v>0.8</v>
      </c>
      <c r="X18" s="7" t="s">
        <v>2</v>
      </c>
      <c r="Y18" s="6">
        <f>0.5</f>
        <v>0.5</v>
      </c>
      <c r="AA18" s="387" t="s">
        <v>9</v>
      </c>
      <c r="AB18" s="388"/>
      <c r="AC18" s="231">
        <f>0.8</f>
        <v>0.8</v>
      </c>
      <c r="AD18" s="7" t="s">
        <v>2</v>
      </c>
      <c r="AE18" s="6">
        <f>0.5</f>
        <v>0.5</v>
      </c>
      <c r="AG18" s="387" t="s">
        <v>9</v>
      </c>
      <c r="AH18" s="388"/>
      <c r="AI18" s="231">
        <f>0.79</f>
        <v>0.79</v>
      </c>
      <c r="AJ18" s="7" t="s">
        <v>2</v>
      </c>
      <c r="AK18" s="6">
        <f>0.5</f>
        <v>0.5</v>
      </c>
    </row>
    <row r="19" spans="3:37" x14ac:dyDescent="0.25">
      <c r="C19" s="387" t="s">
        <v>8</v>
      </c>
      <c r="D19" s="388"/>
      <c r="E19" s="231">
        <f>0.76</f>
        <v>0.76</v>
      </c>
      <c r="F19" s="368" t="s">
        <v>1</v>
      </c>
      <c r="G19" s="4">
        <f>G16</f>
        <v>0.6</v>
      </c>
      <c r="I19" s="387" t="s">
        <v>8</v>
      </c>
      <c r="J19" s="388"/>
      <c r="K19" s="231">
        <f>0.77</f>
        <v>0.77</v>
      </c>
      <c r="L19" s="368" t="s">
        <v>1</v>
      </c>
      <c r="M19" s="4">
        <f>M16</f>
        <v>0.6</v>
      </c>
      <c r="O19" s="387" t="s">
        <v>8</v>
      </c>
      <c r="P19" s="388"/>
      <c r="Q19" s="231">
        <f>0.77</f>
        <v>0.77</v>
      </c>
      <c r="R19" s="368" t="s">
        <v>1</v>
      </c>
      <c r="S19" s="4">
        <f>S16</f>
        <v>0.6</v>
      </c>
      <c r="U19" s="387" t="s">
        <v>8</v>
      </c>
      <c r="V19" s="388"/>
      <c r="W19" s="231">
        <f>0.77</f>
        <v>0.77</v>
      </c>
      <c r="X19" s="368" t="s">
        <v>1</v>
      </c>
      <c r="Y19" s="4">
        <f>Y16</f>
        <v>0.6</v>
      </c>
      <c r="AA19" s="387" t="s">
        <v>8</v>
      </c>
      <c r="AB19" s="388"/>
      <c r="AC19" s="231">
        <f>0.77</f>
        <v>0.77</v>
      </c>
      <c r="AD19" s="368" t="s">
        <v>1</v>
      </c>
      <c r="AE19" s="4">
        <f>AE16</f>
        <v>0.6</v>
      </c>
      <c r="AG19" s="387" t="s">
        <v>8</v>
      </c>
      <c r="AH19" s="388"/>
      <c r="AI19" s="231">
        <f>0.76</f>
        <v>0.76</v>
      </c>
      <c r="AJ19" s="368" t="s">
        <v>1</v>
      </c>
      <c r="AK19" s="4">
        <f>AK16</f>
        <v>0.61</v>
      </c>
    </row>
    <row r="20" spans="3:37" ht="15.75" thickBot="1" x14ac:dyDescent="0.3">
      <c r="C20" s="406" t="s">
        <v>7</v>
      </c>
      <c r="D20" s="407"/>
      <c r="E20" s="232">
        <v>0.71</v>
      </c>
      <c r="F20" s="367" t="s">
        <v>0</v>
      </c>
      <c r="G20" s="2">
        <f>IFERROR('Summer-Fall 2019'!#REF!/F20,0)</f>
        <v>0</v>
      </c>
      <c r="I20" s="406" t="s">
        <v>7</v>
      </c>
      <c r="J20" s="407"/>
      <c r="K20" s="232">
        <v>0.73</v>
      </c>
      <c r="L20" s="367" t="s">
        <v>0</v>
      </c>
      <c r="M20" s="2">
        <f>IFERROR('Summer-Fall 2019'!#REF!/L20,0)</f>
        <v>0</v>
      </c>
      <c r="O20" s="406" t="s">
        <v>7</v>
      </c>
      <c r="P20" s="407"/>
      <c r="Q20" s="232">
        <v>0.73</v>
      </c>
      <c r="R20" s="367" t="s">
        <v>0</v>
      </c>
      <c r="S20" s="2">
        <f>IFERROR('Summer-Fall 2019'!#REF!/R20,0)</f>
        <v>0</v>
      </c>
      <c r="U20" s="406" t="s">
        <v>7</v>
      </c>
      <c r="V20" s="407"/>
      <c r="W20" s="232">
        <v>0.74</v>
      </c>
      <c r="X20" s="367" t="s">
        <v>0</v>
      </c>
      <c r="Y20" s="2">
        <f>IFERROR('Summer-Fall 2019'!C60/X20,0)</f>
        <v>0</v>
      </c>
      <c r="AA20" s="406" t="s">
        <v>7</v>
      </c>
      <c r="AB20" s="407"/>
      <c r="AC20" s="232">
        <v>0.74</v>
      </c>
      <c r="AD20" s="367" t="s">
        <v>0</v>
      </c>
      <c r="AE20" s="2">
        <f>IFERROR('Summer-Fall 2019'!I60/AD20,0)</f>
        <v>0</v>
      </c>
      <c r="AG20" s="406" t="s">
        <v>7</v>
      </c>
      <c r="AH20" s="407"/>
      <c r="AI20" s="232">
        <f>0.71</f>
        <v>0.71</v>
      </c>
      <c r="AJ20" s="367" t="s">
        <v>0</v>
      </c>
      <c r="AK20" s="2">
        <f>IFERROR('Summer-Fall 2019'!O60/AJ20,0)</f>
        <v>0</v>
      </c>
    </row>
    <row r="21" spans="3:37" ht="16.5" thickTop="1" thickBot="1" x14ac:dyDescent="0.3"/>
    <row r="22" spans="3:37" ht="16.5" thickTop="1" thickBot="1" x14ac:dyDescent="0.3">
      <c r="C22" s="408" t="s">
        <v>94</v>
      </c>
      <c r="D22" s="409"/>
      <c r="E22" s="409"/>
      <c r="F22" s="409"/>
      <c r="G22" s="410"/>
      <c r="I22" s="408" t="s">
        <v>31</v>
      </c>
      <c r="J22" s="409"/>
      <c r="K22" s="409"/>
      <c r="L22" s="409"/>
      <c r="M22" s="410"/>
      <c r="O22" s="408" t="s">
        <v>531</v>
      </c>
      <c r="P22" s="409"/>
      <c r="Q22" s="409"/>
      <c r="R22" s="409"/>
      <c r="S22" s="410"/>
      <c r="U22" s="408" t="s">
        <v>51</v>
      </c>
      <c r="V22" s="409"/>
      <c r="W22" s="409"/>
      <c r="X22" s="409"/>
      <c r="Y22" s="410"/>
      <c r="AA22" s="408" t="s">
        <v>92</v>
      </c>
      <c r="AB22" s="409"/>
      <c r="AC22" s="409"/>
      <c r="AD22" s="409"/>
      <c r="AE22" s="410"/>
      <c r="AG22" s="408" t="s">
        <v>92</v>
      </c>
      <c r="AH22" s="409"/>
      <c r="AI22" s="409"/>
      <c r="AJ22" s="409"/>
      <c r="AK22" s="410"/>
    </row>
    <row r="23" spans="3:37" ht="16.5" thickTop="1" thickBot="1" x14ac:dyDescent="0.3">
      <c r="C23" s="237">
        <v>15</v>
      </c>
      <c r="D23" s="235" t="s">
        <v>326</v>
      </c>
      <c r="E23" s="236">
        <v>15</v>
      </c>
      <c r="F23" s="233" t="s">
        <v>19</v>
      </c>
      <c r="G23" s="234">
        <v>0.3</v>
      </c>
      <c r="I23" s="237">
        <v>10</v>
      </c>
      <c r="J23" s="235" t="s">
        <v>326</v>
      </c>
      <c r="K23" s="236">
        <v>10</v>
      </c>
      <c r="L23" s="233" t="s">
        <v>19</v>
      </c>
      <c r="M23" s="234">
        <v>0.1</v>
      </c>
      <c r="O23" s="237">
        <v>11</v>
      </c>
      <c r="P23" s="235" t="s">
        <v>326</v>
      </c>
      <c r="Q23" s="236">
        <v>11</v>
      </c>
      <c r="R23" s="233" t="s">
        <v>19</v>
      </c>
      <c r="S23" s="234">
        <v>0.1</v>
      </c>
      <c r="U23" s="237">
        <v>14</v>
      </c>
      <c r="V23" s="235" t="s">
        <v>326</v>
      </c>
      <c r="W23" s="236">
        <v>14</v>
      </c>
      <c r="X23" s="233" t="s">
        <v>19</v>
      </c>
      <c r="Y23" s="234">
        <v>1</v>
      </c>
      <c r="AA23" s="237">
        <v>14</v>
      </c>
      <c r="AB23" s="235" t="s">
        <v>326</v>
      </c>
      <c r="AC23" s="236">
        <v>14</v>
      </c>
      <c r="AD23" s="233" t="s">
        <v>19</v>
      </c>
      <c r="AE23" s="234">
        <v>1</v>
      </c>
      <c r="AG23" s="237">
        <v>14</v>
      </c>
      <c r="AH23" s="235" t="s">
        <v>326</v>
      </c>
      <c r="AI23" s="236">
        <v>14</v>
      </c>
      <c r="AJ23" s="233" t="s">
        <v>19</v>
      </c>
      <c r="AK23" s="234">
        <v>0.3</v>
      </c>
    </row>
    <row r="24" spans="3:37" ht="15.75" thickTop="1" x14ac:dyDescent="0.25">
      <c r="C24" s="238" t="s">
        <v>98</v>
      </c>
      <c r="D24" s="254">
        <f ca="1">SUM(EtCT:downtwo)</f>
        <v>396.5</v>
      </c>
      <c r="E24" s="254">
        <f ca="1">SUM(TtCT:downtwo)</f>
        <v>490</v>
      </c>
      <c r="F24" s="411">
        <f ca="1">IFERROR(D24/E24,0)</f>
        <v>0.8091836734693878</v>
      </c>
      <c r="G24" s="412"/>
      <c r="I24" s="238" t="s">
        <v>98</v>
      </c>
      <c r="J24" s="254">
        <f ca="1">SUM(EtCT:downtwo)</f>
        <v>77</v>
      </c>
      <c r="K24" s="254">
        <f ca="1">SUM(TtCT:downtwo)</f>
        <v>90</v>
      </c>
      <c r="L24" s="411">
        <f ca="1">IFERROR(J24/K24,0)</f>
        <v>0.85555555555555551</v>
      </c>
      <c r="M24" s="412"/>
      <c r="O24" s="238" t="s">
        <v>98</v>
      </c>
      <c r="P24" s="254">
        <f ca="1">SUM(EtCT:downtwo)</f>
        <v>110</v>
      </c>
      <c r="Q24" s="254">
        <f ca="1">SUM(TtCT:downtwo)</f>
        <v>110</v>
      </c>
      <c r="R24" s="411">
        <f ca="1">IFERROR(P24/Q24,0)</f>
        <v>1</v>
      </c>
      <c r="S24" s="412"/>
      <c r="U24" s="238" t="s">
        <v>98</v>
      </c>
      <c r="V24" s="254">
        <f ca="1">SUM(EtCT:downtwo)</f>
        <v>1283</v>
      </c>
      <c r="W24" s="254">
        <f ca="1">SUM(TtCT:downtwo)</f>
        <v>1580</v>
      </c>
      <c r="X24" s="411">
        <f ca="1">IFERROR(V24/W24,0)</f>
        <v>0.8120253164556962</v>
      </c>
      <c r="Y24" s="412"/>
      <c r="AA24" s="238" t="s">
        <v>98</v>
      </c>
      <c r="AB24" s="254">
        <f ca="1">SUM(EtCT:downtwo)</f>
        <v>280</v>
      </c>
      <c r="AC24" s="254">
        <f ca="1">SUM(TtCT:downtwo)</f>
        <v>280</v>
      </c>
      <c r="AD24" s="411">
        <f ca="1">IFERROR(AB24/AC24,0)</f>
        <v>1</v>
      </c>
      <c r="AE24" s="412"/>
      <c r="AG24" s="238" t="s">
        <v>98</v>
      </c>
      <c r="AH24" s="254">
        <f ca="1">SUM(EtCT:downtwo)</f>
        <v>97</v>
      </c>
      <c r="AI24" s="254">
        <f ca="1">SUM(TtCT:downtwo)</f>
        <v>110</v>
      </c>
      <c r="AJ24" s="411">
        <f ca="1">IFERROR(AH24/AI24,0)</f>
        <v>0.88181818181818183</v>
      </c>
      <c r="AK24" s="412"/>
    </row>
    <row r="25" spans="3:37" ht="15.75" thickBot="1" x14ac:dyDescent="0.3">
      <c r="C25" s="239" t="s">
        <v>18</v>
      </c>
      <c r="D25" s="413" t="s">
        <v>17</v>
      </c>
      <c r="E25" s="413"/>
      <c r="F25" s="240" t="s">
        <v>16</v>
      </c>
      <c r="G25" s="241" t="s">
        <v>15</v>
      </c>
      <c r="I25" s="239" t="s">
        <v>18</v>
      </c>
      <c r="J25" s="413" t="s">
        <v>17</v>
      </c>
      <c r="K25" s="413"/>
      <c r="L25" s="240" t="s">
        <v>16</v>
      </c>
      <c r="M25" s="241" t="s">
        <v>15</v>
      </c>
      <c r="O25" s="239" t="s">
        <v>18</v>
      </c>
      <c r="P25" s="413" t="s">
        <v>17</v>
      </c>
      <c r="Q25" s="413"/>
      <c r="R25" s="240" t="s">
        <v>16</v>
      </c>
      <c r="S25" s="241" t="s">
        <v>15</v>
      </c>
      <c r="U25" s="239" t="s">
        <v>18</v>
      </c>
      <c r="V25" s="413" t="s">
        <v>17</v>
      </c>
      <c r="W25" s="413"/>
      <c r="X25" s="240" t="s">
        <v>16</v>
      </c>
      <c r="Y25" s="241" t="s">
        <v>15</v>
      </c>
      <c r="AA25" s="239" t="s">
        <v>18</v>
      </c>
      <c r="AB25" s="413" t="s">
        <v>17</v>
      </c>
      <c r="AC25" s="413"/>
      <c r="AD25" s="240" t="s">
        <v>16</v>
      </c>
      <c r="AE25" s="241" t="s">
        <v>15</v>
      </c>
      <c r="AG25" s="239" t="s">
        <v>18</v>
      </c>
      <c r="AH25" s="413" t="s">
        <v>17</v>
      </c>
      <c r="AI25" s="413"/>
      <c r="AJ25" s="240" t="s">
        <v>16</v>
      </c>
      <c r="AK25" s="241" t="s">
        <v>15</v>
      </c>
    </row>
    <row r="26" spans="3:37" ht="15.75" thickTop="1" x14ac:dyDescent="0.25">
      <c r="C26" s="11" t="s">
        <v>47</v>
      </c>
      <c r="D26" s="10">
        <v>17</v>
      </c>
      <c r="E26" s="10">
        <v>20</v>
      </c>
      <c r="F26" s="9">
        <f t="shared" ref="F26:F40" si="0">IFERROR(D26/E26,0)</f>
        <v>0.85</v>
      </c>
      <c r="G26" s="8"/>
      <c r="I26" s="11" t="s">
        <v>91</v>
      </c>
      <c r="J26" s="85">
        <v>7</v>
      </c>
      <c r="K26" s="10">
        <v>10</v>
      </c>
      <c r="L26" s="9">
        <f t="shared" ref="L26:L35" si="1">IFERROR(J26/K26,0)</f>
        <v>0.7</v>
      </c>
      <c r="M26" s="8"/>
      <c r="O26" s="11" t="s">
        <v>90</v>
      </c>
      <c r="P26" s="10">
        <v>10</v>
      </c>
      <c r="Q26" s="10">
        <v>10</v>
      </c>
      <c r="R26" s="9">
        <f t="shared" ref="R26:R36" si="2">IFERROR(P26/Q26,0)</f>
        <v>1</v>
      </c>
      <c r="S26" s="8"/>
      <c r="U26" s="11" t="s">
        <v>47</v>
      </c>
      <c r="V26" s="83">
        <v>20</v>
      </c>
      <c r="W26" s="84">
        <v>20</v>
      </c>
      <c r="X26" s="9">
        <f t="shared" ref="X26:X39" si="3">IFERROR(V26/W26,0)</f>
        <v>1</v>
      </c>
      <c r="Y26" s="8"/>
      <c r="AA26" s="82" t="s">
        <v>89</v>
      </c>
      <c r="AB26" s="83">
        <v>20</v>
      </c>
      <c r="AC26" s="83">
        <v>20</v>
      </c>
      <c r="AD26" s="9">
        <f t="shared" ref="AD26:AD39" si="4">IFERROR(AB26/AC26,0)</f>
        <v>1</v>
      </c>
      <c r="AE26" s="8"/>
      <c r="AG26" s="82" t="s">
        <v>89</v>
      </c>
      <c r="AH26" s="81"/>
      <c r="AI26" s="81"/>
      <c r="AJ26" s="9">
        <f t="shared" ref="AJ26:AJ39" si="5">IFERROR(AH26/AI26,0)</f>
        <v>0</v>
      </c>
      <c r="AK26" s="8"/>
    </row>
    <row r="27" spans="3:37" x14ac:dyDescent="0.25">
      <c r="C27" s="79" t="s">
        <v>43</v>
      </c>
      <c r="D27" s="78">
        <v>14.5</v>
      </c>
      <c r="E27" s="78">
        <v>30</v>
      </c>
      <c r="F27" s="77">
        <f t="shared" si="0"/>
        <v>0.48333333333333334</v>
      </c>
      <c r="G27" s="76"/>
      <c r="I27" s="11" t="s">
        <v>88</v>
      </c>
      <c r="J27" s="72">
        <v>5</v>
      </c>
      <c r="K27" s="10">
        <v>10</v>
      </c>
      <c r="L27" s="63">
        <f t="shared" si="1"/>
        <v>0.5</v>
      </c>
      <c r="M27" s="76"/>
      <c r="O27" s="11" t="s">
        <v>87</v>
      </c>
      <c r="P27" s="10">
        <v>10</v>
      </c>
      <c r="Q27" s="10">
        <v>10</v>
      </c>
      <c r="R27" s="63">
        <f t="shared" si="2"/>
        <v>1</v>
      </c>
      <c r="S27" s="76"/>
      <c r="U27" s="11" t="s">
        <v>43</v>
      </c>
      <c r="V27" s="65">
        <v>90</v>
      </c>
      <c r="W27" s="64">
        <v>100</v>
      </c>
      <c r="X27" s="63">
        <f t="shared" si="3"/>
        <v>0.9</v>
      </c>
      <c r="Y27" s="76"/>
      <c r="AA27" s="66" t="s">
        <v>86</v>
      </c>
      <c r="AB27" s="65">
        <v>20</v>
      </c>
      <c r="AC27" s="64">
        <v>20</v>
      </c>
      <c r="AD27" s="63">
        <f t="shared" si="4"/>
        <v>1</v>
      </c>
      <c r="AE27" s="76"/>
      <c r="AG27" s="66" t="s">
        <v>86</v>
      </c>
      <c r="AH27" s="80"/>
      <c r="AI27" s="80"/>
      <c r="AJ27" s="63">
        <f t="shared" si="5"/>
        <v>0</v>
      </c>
      <c r="AK27" s="62"/>
    </row>
    <row r="28" spans="3:37" x14ac:dyDescent="0.25">
      <c r="C28" s="73" t="s">
        <v>42</v>
      </c>
      <c r="D28" s="71">
        <v>28</v>
      </c>
      <c r="E28" s="71">
        <v>30</v>
      </c>
      <c r="F28" s="63">
        <f t="shared" si="0"/>
        <v>0.93333333333333335</v>
      </c>
      <c r="G28" s="62"/>
      <c r="I28" s="11" t="s">
        <v>85</v>
      </c>
      <c r="J28" s="72">
        <v>5.5</v>
      </c>
      <c r="K28" s="10">
        <v>10</v>
      </c>
      <c r="L28" s="63">
        <f t="shared" si="1"/>
        <v>0.55000000000000004</v>
      </c>
      <c r="M28" s="62"/>
      <c r="O28" s="11" t="s">
        <v>84</v>
      </c>
      <c r="P28" s="10">
        <v>10</v>
      </c>
      <c r="Q28" s="10">
        <v>10</v>
      </c>
      <c r="R28" s="63">
        <f t="shared" si="2"/>
        <v>1</v>
      </c>
      <c r="S28" s="62"/>
      <c r="U28" s="11" t="s">
        <v>42</v>
      </c>
      <c r="V28" s="65">
        <v>100</v>
      </c>
      <c r="W28" s="64">
        <v>130</v>
      </c>
      <c r="X28" s="63">
        <f t="shared" si="3"/>
        <v>0.76923076923076927</v>
      </c>
      <c r="Y28" s="62"/>
      <c r="AA28" s="66" t="s">
        <v>83</v>
      </c>
      <c r="AB28" s="65">
        <v>20</v>
      </c>
      <c r="AC28" s="64">
        <v>20</v>
      </c>
      <c r="AD28" s="63">
        <f t="shared" si="4"/>
        <v>1</v>
      </c>
      <c r="AE28" s="62"/>
      <c r="AG28" s="66" t="s">
        <v>82</v>
      </c>
      <c r="AH28" s="72">
        <v>10</v>
      </c>
      <c r="AI28" s="71">
        <v>10</v>
      </c>
      <c r="AJ28" s="63">
        <f t="shared" si="5"/>
        <v>1</v>
      </c>
      <c r="AK28" s="62"/>
    </row>
    <row r="29" spans="3:37" x14ac:dyDescent="0.25">
      <c r="C29" s="73" t="s">
        <v>41</v>
      </c>
      <c r="D29" s="71">
        <v>23</v>
      </c>
      <c r="E29" s="71">
        <v>25</v>
      </c>
      <c r="F29" s="63">
        <f t="shared" si="0"/>
        <v>0.92</v>
      </c>
      <c r="G29" s="62"/>
      <c r="I29" s="11" t="s">
        <v>81</v>
      </c>
      <c r="J29" s="72">
        <v>5</v>
      </c>
      <c r="K29" s="10">
        <v>10</v>
      </c>
      <c r="L29" s="63">
        <f t="shared" si="1"/>
        <v>0.5</v>
      </c>
      <c r="M29" s="62"/>
      <c r="O29" s="11" t="s">
        <v>80</v>
      </c>
      <c r="P29" s="10">
        <v>10</v>
      </c>
      <c r="Q29" s="10">
        <v>10</v>
      </c>
      <c r="R29" s="63">
        <f t="shared" si="2"/>
        <v>1</v>
      </c>
      <c r="S29" s="62"/>
      <c r="U29" s="11" t="s">
        <v>41</v>
      </c>
      <c r="V29" s="65">
        <v>126</v>
      </c>
      <c r="W29" s="64">
        <v>160</v>
      </c>
      <c r="X29" s="63">
        <f t="shared" si="3"/>
        <v>0.78749999999999998</v>
      </c>
      <c r="Y29" s="62"/>
      <c r="AA29" s="66" t="s">
        <v>79</v>
      </c>
      <c r="AB29" s="65">
        <v>20</v>
      </c>
      <c r="AC29" s="64">
        <v>20</v>
      </c>
      <c r="AD29" s="63">
        <f t="shared" si="4"/>
        <v>1</v>
      </c>
      <c r="AE29" s="62"/>
      <c r="AG29" s="66" t="s">
        <v>79</v>
      </c>
      <c r="AH29" s="72">
        <v>10</v>
      </c>
      <c r="AI29" s="71">
        <v>10</v>
      </c>
      <c r="AJ29" s="63">
        <f t="shared" si="5"/>
        <v>1</v>
      </c>
      <c r="AK29" s="62"/>
    </row>
    <row r="30" spans="3:37" x14ac:dyDescent="0.25">
      <c r="C30" s="79" t="s">
        <v>40</v>
      </c>
      <c r="D30" s="78">
        <v>11</v>
      </c>
      <c r="E30" s="78">
        <v>20</v>
      </c>
      <c r="F30" s="77">
        <f t="shared" si="0"/>
        <v>0.55000000000000004</v>
      </c>
      <c r="G30" s="76"/>
      <c r="I30" s="11" t="s">
        <v>78</v>
      </c>
      <c r="J30" s="72">
        <v>5.5</v>
      </c>
      <c r="K30" s="10">
        <v>10</v>
      </c>
      <c r="L30" s="63">
        <f t="shared" si="1"/>
        <v>0.55000000000000004</v>
      </c>
      <c r="M30" s="76"/>
      <c r="O30" s="11" t="s">
        <v>77</v>
      </c>
      <c r="P30" s="10">
        <v>10</v>
      </c>
      <c r="Q30" s="10">
        <v>10</v>
      </c>
      <c r="R30" s="63">
        <f t="shared" si="2"/>
        <v>1</v>
      </c>
      <c r="S30" s="76"/>
      <c r="U30" s="11" t="s">
        <v>40</v>
      </c>
      <c r="V30" s="65">
        <v>100</v>
      </c>
      <c r="W30" s="64">
        <v>120</v>
      </c>
      <c r="X30" s="63">
        <f t="shared" si="3"/>
        <v>0.83333333333333337</v>
      </c>
      <c r="Y30" s="76"/>
      <c r="AA30" s="66" t="s">
        <v>76</v>
      </c>
      <c r="AB30" s="65">
        <v>20</v>
      </c>
      <c r="AC30" s="64">
        <v>20</v>
      </c>
      <c r="AD30" s="63">
        <f t="shared" si="4"/>
        <v>1</v>
      </c>
      <c r="AE30" s="76"/>
      <c r="AG30" s="75" t="s">
        <v>76</v>
      </c>
      <c r="AH30" s="74">
        <v>4</v>
      </c>
      <c r="AI30" s="71">
        <v>10</v>
      </c>
      <c r="AJ30" s="63">
        <f t="shared" si="5"/>
        <v>0.4</v>
      </c>
      <c r="AK30" s="62"/>
    </row>
    <row r="31" spans="3:37" x14ac:dyDescent="0.25">
      <c r="C31" s="73" t="s">
        <v>39</v>
      </c>
      <c r="D31" s="71">
        <v>34</v>
      </c>
      <c r="E31" s="71">
        <v>35</v>
      </c>
      <c r="F31" s="63">
        <f t="shared" si="0"/>
        <v>0.97142857142857142</v>
      </c>
      <c r="G31" s="62"/>
      <c r="I31" s="11" t="s">
        <v>75</v>
      </c>
      <c r="J31" s="72">
        <v>6</v>
      </c>
      <c r="K31" s="10">
        <v>10</v>
      </c>
      <c r="L31" s="63">
        <f t="shared" si="1"/>
        <v>0.6</v>
      </c>
      <c r="M31" s="62"/>
      <c r="O31" s="11" t="s">
        <v>74</v>
      </c>
      <c r="P31" s="10">
        <v>10</v>
      </c>
      <c r="Q31" s="10">
        <v>10</v>
      </c>
      <c r="R31" s="63">
        <f t="shared" si="2"/>
        <v>1</v>
      </c>
      <c r="S31" s="62"/>
      <c r="U31" s="11" t="s">
        <v>39</v>
      </c>
      <c r="V31" s="65">
        <v>70</v>
      </c>
      <c r="W31" s="64">
        <v>100</v>
      </c>
      <c r="X31" s="63">
        <f t="shared" si="3"/>
        <v>0.7</v>
      </c>
      <c r="Y31" s="62"/>
      <c r="AA31" s="66" t="s">
        <v>73</v>
      </c>
      <c r="AB31" s="65">
        <v>20</v>
      </c>
      <c r="AC31" s="64">
        <v>20</v>
      </c>
      <c r="AD31" s="63">
        <f t="shared" si="4"/>
        <v>1</v>
      </c>
      <c r="AE31" s="62"/>
      <c r="AG31" s="66" t="s">
        <v>73</v>
      </c>
      <c r="AH31" s="72">
        <v>8</v>
      </c>
      <c r="AI31" s="71">
        <v>10</v>
      </c>
      <c r="AJ31" s="63">
        <f t="shared" si="5"/>
        <v>0.8</v>
      </c>
      <c r="AK31" s="62"/>
    </row>
    <row r="32" spans="3:37" x14ac:dyDescent="0.25">
      <c r="C32" s="73" t="s">
        <v>38</v>
      </c>
      <c r="D32" s="71">
        <v>35</v>
      </c>
      <c r="E32" s="71">
        <v>35</v>
      </c>
      <c r="F32" s="63">
        <f t="shared" si="0"/>
        <v>1</v>
      </c>
      <c r="G32" s="62"/>
      <c r="I32" s="11" t="s">
        <v>72</v>
      </c>
      <c r="J32" s="72">
        <v>6</v>
      </c>
      <c r="K32" s="10">
        <v>10</v>
      </c>
      <c r="L32" s="63">
        <f t="shared" si="1"/>
        <v>0.6</v>
      </c>
      <c r="M32" s="62"/>
      <c r="O32" s="11" t="s">
        <v>71</v>
      </c>
      <c r="P32" s="10">
        <v>10</v>
      </c>
      <c r="Q32" s="10">
        <v>10</v>
      </c>
      <c r="R32" s="63">
        <f t="shared" si="2"/>
        <v>1</v>
      </c>
      <c r="S32" s="62"/>
      <c r="U32" s="11" t="s">
        <v>38</v>
      </c>
      <c r="V32" s="65">
        <v>95</v>
      </c>
      <c r="W32" s="64">
        <v>160</v>
      </c>
      <c r="X32" s="63">
        <f t="shared" si="3"/>
        <v>0.59375</v>
      </c>
      <c r="Y32" s="62"/>
      <c r="AA32" s="66" t="s">
        <v>70</v>
      </c>
      <c r="AB32" s="65">
        <v>20</v>
      </c>
      <c r="AC32" s="64">
        <v>20</v>
      </c>
      <c r="AD32" s="63">
        <f t="shared" si="4"/>
        <v>1</v>
      </c>
      <c r="AE32" s="62"/>
      <c r="AG32" s="66" t="s">
        <v>70</v>
      </c>
      <c r="AH32" s="72">
        <v>10</v>
      </c>
      <c r="AI32" s="71">
        <v>10</v>
      </c>
      <c r="AJ32" s="63">
        <f t="shared" si="5"/>
        <v>1</v>
      </c>
      <c r="AK32" s="62"/>
    </row>
    <row r="33" spans="3:37" x14ac:dyDescent="0.25">
      <c r="C33" s="73" t="s">
        <v>67</v>
      </c>
      <c r="D33" s="71">
        <v>30</v>
      </c>
      <c r="E33" s="71">
        <v>30</v>
      </c>
      <c r="F33" s="63">
        <f t="shared" si="0"/>
        <v>1</v>
      </c>
      <c r="G33" s="62"/>
      <c r="I33" s="11" t="s">
        <v>69</v>
      </c>
      <c r="J33" s="72">
        <v>5</v>
      </c>
      <c r="K33" s="10">
        <v>10</v>
      </c>
      <c r="L33" s="63">
        <f t="shared" si="1"/>
        <v>0.5</v>
      </c>
      <c r="M33" s="62"/>
      <c r="O33" s="11" t="s">
        <v>68</v>
      </c>
      <c r="P33" s="10">
        <v>10</v>
      </c>
      <c r="Q33" s="10">
        <v>10</v>
      </c>
      <c r="R33" s="63">
        <f t="shared" si="2"/>
        <v>1</v>
      </c>
      <c r="S33" s="62"/>
      <c r="U33" s="11" t="s">
        <v>67</v>
      </c>
      <c r="V33" s="65">
        <v>24</v>
      </c>
      <c r="W33" s="64">
        <v>50</v>
      </c>
      <c r="X33" s="63">
        <f t="shared" si="3"/>
        <v>0.48</v>
      </c>
      <c r="Y33" s="62"/>
      <c r="AA33" s="66" t="s">
        <v>66</v>
      </c>
      <c r="AB33" s="65">
        <v>20</v>
      </c>
      <c r="AC33" s="64">
        <v>20</v>
      </c>
      <c r="AD33" s="63">
        <f t="shared" si="4"/>
        <v>1</v>
      </c>
      <c r="AE33" s="62"/>
      <c r="AG33" s="66" t="s">
        <v>66</v>
      </c>
      <c r="AH33" s="72">
        <v>10</v>
      </c>
      <c r="AI33" s="71">
        <v>10</v>
      </c>
      <c r="AJ33" s="63">
        <f t="shared" si="5"/>
        <v>1</v>
      </c>
      <c r="AK33" s="62"/>
    </row>
    <row r="34" spans="3:37" x14ac:dyDescent="0.25">
      <c r="C34" s="73" t="s">
        <v>65</v>
      </c>
      <c r="D34" s="71">
        <v>41.5</v>
      </c>
      <c r="E34" s="71">
        <v>50</v>
      </c>
      <c r="F34" s="63">
        <f t="shared" si="0"/>
        <v>0.83</v>
      </c>
      <c r="G34" s="62"/>
      <c r="I34" s="11" t="s">
        <v>64</v>
      </c>
      <c r="J34" s="72">
        <v>7</v>
      </c>
      <c r="K34" s="10">
        <v>10</v>
      </c>
      <c r="L34" s="63">
        <f t="shared" si="1"/>
        <v>0.7</v>
      </c>
      <c r="M34" s="62"/>
      <c r="O34" s="11" t="s">
        <v>63</v>
      </c>
      <c r="P34" s="10">
        <v>10</v>
      </c>
      <c r="Q34" s="10">
        <v>10</v>
      </c>
      <c r="R34" s="63">
        <f t="shared" si="2"/>
        <v>1</v>
      </c>
      <c r="S34" s="62"/>
      <c r="U34" s="11" t="s">
        <v>61</v>
      </c>
      <c r="V34" s="65">
        <v>300</v>
      </c>
      <c r="W34" s="64">
        <v>300</v>
      </c>
      <c r="X34" s="63">
        <f t="shared" si="3"/>
        <v>1</v>
      </c>
      <c r="Y34" s="62"/>
      <c r="AA34" s="66" t="s">
        <v>62</v>
      </c>
      <c r="AB34" s="65">
        <v>20</v>
      </c>
      <c r="AC34" s="64">
        <v>20</v>
      </c>
      <c r="AD34" s="63">
        <f t="shared" si="4"/>
        <v>1</v>
      </c>
      <c r="AE34" s="62"/>
      <c r="AG34" s="66" t="s">
        <v>62</v>
      </c>
      <c r="AH34" s="72">
        <v>10</v>
      </c>
      <c r="AI34" s="71">
        <v>10</v>
      </c>
      <c r="AJ34" s="63">
        <f t="shared" si="5"/>
        <v>1</v>
      </c>
      <c r="AK34" s="62"/>
    </row>
    <row r="35" spans="3:37" ht="15.75" thickBot="1" x14ac:dyDescent="0.3">
      <c r="C35" s="73" t="s">
        <v>61</v>
      </c>
      <c r="D35" s="71">
        <v>35</v>
      </c>
      <c r="E35" s="71">
        <v>40</v>
      </c>
      <c r="F35" s="63">
        <f t="shared" si="0"/>
        <v>0.875</v>
      </c>
      <c r="G35" s="62"/>
      <c r="I35" s="11" t="s">
        <v>60</v>
      </c>
      <c r="J35" s="72">
        <v>25</v>
      </c>
      <c r="K35" s="10">
        <v>0</v>
      </c>
      <c r="L35" s="63">
        <f t="shared" si="1"/>
        <v>0</v>
      </c>
      <c r="M35" s="62"/>
      <c r="O35" s="11" t="s">
        <v>59</v>
      </c>
      <c r="P35" s="10">
        <v>10</v>
      </c>
      <c r="Q35" s="10">
        <v>10</v>
      </c>
      <c r="R35" s="63">
        <f t="shared" si="2"/>
        <v>1</v>
      </c>
      <c r="S35" s="62"/>
      <c r="U35" s="11" t="s">
        <v>37</v>
      </c>
      <c r="V35" s="65">
        <v>74</v>
      </c>
      <c r="W35" s="64">
        <v>75</v>
      </c>
      <c r="X35" s="63">
        <f t="shared" si="3"/>
        <v>0.98666666666666669</v>
      </c>
      <c r="Y35" s="62"/>
      <c r="AA35" s="66" t="s">
        <v>58</v>
      </c>
      <c r="AB35" s="65">
        <v>20</v>
      </c>
      <c r="AC35" s="64">
        <v>20</v>
      </c>
      <c r="AD35" s="63">
        <f t="shared" si="4"/>
        <v>1</v>
      </c>
      <c r="AE35" s="62"/>
      <c r="AG35" s="66" t="s">
        <v>58</v>
      </c>
      <c r="AH35" s="72">
        <v>10</v>
      </c>
      <c r="AI35" s="71">
        <v>10</v>
      </c>
      <c r="AJ35" s="63">
        <f t="shared" si="5"/>
        <v>1</v>
      </c>
      <c r="AK35" s="62"/>
    </row>
    <row r="36" spans="3:37" ht="16.5" thickTop="1" thickBot="1" x14ac:dyDescent="0.3">
      <c r="C36" s="73" t="s">
        <v>37</v>
      </c>
      <c r="D36" s="71">
        <v>28</v>
      </c>
      <c r="E36" s="71">
        <v>30</v>
      </c>
      <c r="F36" s="63">
        <f t="shared" si="0"/>
        <v>0.93333333333333335</v>
      </c>
      <c r="G36" s="62"/>
      <c r="I36" s="403"/>
      <c r="J36" s="404"/>
      <c r="K36" s="404"/>
      <c r="L36" s="404"/>
      <c r="M36" s="405"/>
      <c r="O36" s="11" t="s">
        <v>57</v>
      </c>
      <c r="P36" s="10">
        <v>10</v>
      </c>
      <c r="Q36" s="10">
        <v>10</v>
      </c>
      <c r="R36" s="63">
        <f t="shared" si="2"/>
        <v>1</v>
      </c>
      <c r="S36" s="62"/>
      <c r="U36" s="11" t="s">
        <v>35</v>
      </c>
      <c r="V36" s="65">
        <v>70</v>
      </c>
      <c r="W36" s="64">
        <v>75</v>
      </c>
      <c r="X36" s="63">
        <f t="shared" si="3"/>
        <v>0.93333333333333335</v>
      </c>
      <c r="Y36" s="62"/>
      <c r="AA36" s="66" t="s">
        <v>56</v>
      </c>
      <c r="AB36" s="65">
        <v>20</v>
      </c>
      <c r="AC36" s="64">
        <v>20</v>
      </c>
      <c r="AD36" s="63">
        <f t="shared" si="4"/>
        <v>1</v>
      </c>
      <c r="AE36" s="62"/>
      <c r="AG36" s="75" t="s">
        <v>56</v>
      </c>
      <c r="AH36" s="74">
        <v>5</v>
      </c>
      <c r="AI36" s="71">
        <v>10</v>
      </c>
      <c r="AJ36" s="63">
        <f t="shared" si="5"/>
        <v>0.5</v>
      </c>
      <c r="AK36" s="62"/>
    </row>
    <row r="37" spans="3:37" ht="16.5" thickTop="1" thickBot="1" x14ac:dyDescent="0.3">
      <c r="C37" s="73" t="s">
        <v>55</v>
      </c>
      <c r="D37" s="71">
        <v>60</v>
      </c>
      <c r="E37" s="71">
        <v>65</v>
      </c>
      <c r="F37" s="63">
        <f t="shared" si="0"/>
        <v>0.92307692307692313</v>
      </c>
      <c r="G37" s="62"/>
      <c r="O37" s="403"/>
      <c r="P37" s="404"/>
      <c r="Q37" s="404"/>
      <c r="R37" s="404"/>
      <c r="S37" s="405"/>
      <c r="U37" s="11" t="s">
        <v>34</v>
      </c>
      <c r="V37" s="65">
        <v>80</v>
      </c>
      <c r="W37" s="64">
        <v>110</v>
      </c>
      <c r="X37" s="63">
        <f t="shared" si="3"/>
        <v>0.72727272727272729</v>
      </c>
      <c r="Y37" s="62"/>
      <c r="AA37" s="66" t="s">
        <v>54</v>
      </c>
      <c r="AB37" s="65">
        <v>20</v>
      </c>
      <c r="AC37" s="64">
        <v>20</v>
      </c>
      <c r="AD37" s="63">
        <f t="shared" si="4"/>
        <v>1</v>
      </c>
      <c r="AE37" s="62"/>
      <c r="AG37" s="66" t="s">
        <v>54</v>
      </c>
      <c r="AH37" s="72">
        <v>10</v>
      </c>
      <c r="AI37" s="71">
        <v>10</v>
      </c>
      <c r="AJ37" s="63">
        <f t="shared" si="5"/>
        <v>1</v>
      </c>
      <c r="AK37" s="62"/>
    </row>
    <row r="38" spans="3:37" ht="16.5" thickTop="1" thickBot="1" x14ac:dyDescent="0.3">
      <c r="C38" s="73" t="s">
        <v>35</v>
      </c>
      <c r="D38" s="71">
        <v>28.5</v>
      </c>
      <c r="E38" s="71">
        <v>35</v>
      </c>
      <c r="F38" s="63">
        <f t="shared" si="0"/>
        <v>0.81428571428571428</v>
      </c>
      <c r="G38" s="62"/>
      <c r="I38" s="408" t="s">
        <v>27</v>
      </c>
      <c r="J38" s="409"/>
      <c r="K38" s="409"/>
      <c r="L38" s="409"/>
      <c r="M38" s="410"/>
      <c r="U38" s="11" t="s">
        <v>33</v>
      </c>
      <c r="V38" s="65">
        <v>24</v>
      </c>
      <c r="W38" s="64">
        <v>30</v>
      </c>
      <c r="X38" s="63">
        <f t="shared" si="3"/>
        <v>0.8</v>
      </c>
      <c r="Y38" s="62"/>
      <c r="AA38" s="66" t="s">
        <v>53</v>
      </c>
      <c r="AB38" s="65">
        <v>20</v>
      </c>
      <c r="AC38" s="64">
        <v>20</v>
      </c>
      <c r="AD38" s="63">
        <f t="shared" si="4"/>
        <v>1</v>
      </c>
      <c r="AE38" s="62"/>
      <c r="AG38" s="66" t="s">
        <v>53</v>
      </c>
      <c r="AH38" s="72">
        <v>10</v>
      </c>
      <c r="AI38" s="71">
        <v>10</v>
      </c>
      <c r="AJ38" s="63">
        <f t="shared" si="5"/>
        <v>1</v>
      </c>
      <c r="AK38" s="62"/>
    </row>
    <row r="39" spans="3:37" ht="16.5" thickTop="1" thickBot="1" x14ac:dyDescent="0.3">
      <c r="C39" s="70" t="s">
        <v>52</v>
      </c>
      <c r="D39" s="69">
        <v>10</v>
      </c>
      <c r="E39" s="69">
        <v>45</v>
      </c>
      <c r="F39" s="68">
        <f t="shared" si="0"/>
        <v>0.22222222222222221</v>
      </c>
      <c r="G39" s="67"/>
      <c r="I39" s="237">
        <v>3</v>
      </c>
      <c r="J39" s="235" t="s">
        <v>326</v>
      </c>
      <c r="K39" s="236">
        <v>3</v>
      </c>
      <c r="L39" s="233" t="s">
        <v>19</v>
      </c>
      <c r="M39" s="234">
        <v>0.6</v>
      </c>
      <c r="O39" s="408" t="s">
        <v>51</v>
      </c>
      <c r="P39" s="409"/>
      <c r="Q39" s="409"/>
      <c r="R39" s="409"/>
      <c r="S39" s="410"/>
      <c r="U39" s="11" t="s">
        <v>50</v>
      </c>
      <c r="V39" s="344">
        <v>110</v>
      </c>
      <c r="W39" s="345">
        <v>150</v>
      </c>
      <c r="X39" s="63">
        <f t="shared" si="3"/>
        <v>0.73333333333333328</v>
      </c>
      <c r="Y39" s="62"/>
      <c r="AA39" s="66" t="s">
        <v>49</v>
      </c>
      <c r="AB39" s="65">
        <v>20</v>
      </c>
      <c r="AC39" s="64">
        <v>20</v>
      </c>
      <c r="AD39" s="63">
        <f t="shared" si="4"/>
        <v>1</v>
      </c>
      <c r="AE39" s="62"/>
      <c r="AG39" s="61" t="s">
        <v>49</v>
      </c>
      <c r="AH39" s="60"/>
      <c r="AI39" s="60"/>
      <c r="AJ39" s="59">
        <f t="shared" si="5"/>
        <v>0</v>
      </c>
      <c r="AK39" s="58"/>
    </row>
    <row r="40" spans="3:37" ht="16.5" thickTop="1" thickBot="1" x14ac:dyDescent="0.3">
      <c r="C40" s="57" t="s">
        <v>48</v>
      </c>
      <c r="D40" s="56">
        <v>1</v>
      </c>
      <c r="E40" s="56">
        <v>0</v>
      </c>
      <c r="F40" s="55">
        <f t="shared" si="0"/>
        <v>0</v>
      </c>
      <c r="G40" s="54"/>
      <c r="I40" s="238" t="s">
        <v>98</v>
      </c>
      <c r="J40" s="254">
        <f ca="1">SUM(EtCT:downtwo)</f>
        <v>197</v>
      </c>
      <c r="K40" s="254">
        <f ca="1">SUM(TtCT:downtwo)</f>
        <v>300</v>
      </c>
      <c r="L40" s="411">
        <f ca="1">IFERROR(J40/K40,0)</f>
        <v>0.65666666666666662</v>
      </c>
      <c r="M40" s="412"/>
      <c r="O40" s="237">
        <v>11</v>
      </c>
      <c r="P40" s="235" t="s">
        <v>326</v>
      </c>
      <c r="Q40" s="236">
        <v>11</v>
      </c>
      <c r="R40" s="233" t="s">
        <v>19</v>
      </c>
      <c r="S40" s="234">
        <v>0.5</v>
      </c>
      <c r="U40" s="403"/>
      <c r="V40" s="417"/>
      <c r="W40" s="417"/>
      <c r="X40" s="404"/>
      <c r="Y40" s="405"/>
      <c r="AA40" s="403"/>
      <c r="AB40" s="404"/>
      <c r="AC40" s="404"/>
      <c r="AD40" s="404"/>
      <c r="AE40" s="405"/>
      <c r="AG40" s="403"/>
      <c r="AH40" s="404"/>
      <c r="AI40" s="404"/>
      <c r="AJ40" s="404"/>
      <c r="AK40" s="405"/>
    </row>
    <row r="41" spans="3:37" ht="16.5" thickTop="1" thickBot="1" x14ac:dyDescent="0.3">
      <c r="C41" s="403"/>
      <c r="D41" s="404"/>
      <c r="E41" s="404"/>
      <c r="F41" s="404"/>
      <c r="G41" s="405"/>
      <c r="I41" s="239" t="s">
        <v>18</v>
      </c>
      <c r="J41" s="413" t="s">
        <v>17</v>
      </c>
      <c r="K41" s="413"/>
      <c r="L41" s="240" t="s">
        <v>16</v>
      </c>
      <c r="M41" s="241" t="s">
        <v>15</v>
      </c>
      <c r="O41" s="238" t="s">
        <v>98</v>
      </c>
      <c r="P41" s="254">
        <f ca="1">SUM(EtCT:downtwo)</f>
        <v>1065</v>
      </c>
      <c r="Q41" s="254">
        <f ca="1">SUM(TtCT:downtwo)</f>
        <v>1100</v>
      </c>
      <c r="R41" s="411">
        <f ca="1">IFERROR(P41/Q41,0)</f>
        <v>0.96818181818181814</v>
      </c>
      <c r="S41" s="412"/>
    </row>
    <row r="42" spans="3:37" ht="16.5" thickTop="1" thickBot="1" x14ac:dyDescent="0.3">
      <c r="I42" s="53" t="s">
        <v>22</v>
      </c>
      <c r="J42" s="52">
        <v>82</v>
      </c>
      <c r="K42" s="51">
        <v>100</v>
      </c>
      <c r="L42" s="50">
        <f>IFERROR(J42/K42,0)</f>
        <v>0.82</v>
      </c>
      <c r="M42" s="49"/>
      <c r="O42" s="239" t="s">
        <v>18</v>
      </c>
      <c r="P42" s="413" t="s">
        <v>17</v>
      </c>
      <c r="Q42" s="413"/>
      <c r="R42" s="240" t="s">
        <v>16</v>
      </c>
      <c r="S42" s="241" t="s">
        <v>15</v>
      </c>
      <c r="AG42" s="408" t="s">
        <v>46</v>
      </c>
      <c r="AH42" s="409"/>
      <c r="AI42" s="409"/>
      <c r="AJ42" s="409"/>
      <c r="AK42" s="410"/>
    </row>
    <row r="43" spans="3:37" ht="16.5" thickTop="1" thickBot="1" x14ac:dyDescent="0.3">
      <c r="C43" s="408" t="s">
        <v>45</v>
      </c>
      <c r="D43" s="409"/>
      <c r="E43" s="409"/>
      <c r="F43" s="409"/>
      <c r="G43" s="410"/>
      <c r="I43" s="48" t="s">
        <v>20</v>
      </c>
      <c r="J43" s="47">
        <v>60</v>
      </c>
      <c r="K43" s="46">
        <v>100</v>
      </c>
      <c r="L43" s="45">
        <f>IFERROR(J43/K43,0)</f>
        <v>0.6</v>
      </c>
      <c r="M43" s="44"/>
      <c r="O43" s="11" t="s">
        <v>47</v>
      </c>
      <c r="P43" s="10">
        <v>72</v>
      </c>
      <c r="Q43" s="10">
        <v>100</v>
      </c>
      <c r="R43" s="9">
        <f t="shared" ref="R43:R53" si="6">IFERROR(P43/Q43,0)</f>
        <v>0.72</v>
      </c>
      <c r="S43" s="8"/>
      <c r="AG43" s="237">
        <v>5</v>
      </c>
      <c r="AH43" s="235" t="s">
        <v>326</v>
      </c>
      <c r="AI43" s="236">
        <v>5</v>
      </c>
      <c r="AJ43" s="233" t="s">
        <v>19</v>
      </c>
      <c r="AK43" s="234">
        <v>0.2</v>
      </c>
    </row>
    <row r="44" spans="3:37" ht="16.5" thickTop="1" thickBot="1" x14ac:dyDescent="0.3">
      <c r="C44" s="237">
        <v>1</v>
      </c>
      <c r="D44" s="235" t="s">
        <v>326</v>
      </c>
      <c r="E44" s="236">
        <v>1</v>
      </c>
      <c r="F44" s="233" t="s">
        <v>19</v>
      </c>
      <c r="G44" s="234">
        <v>0.2</v>
      </c>
      <c r="I44" s="43" t="s">
        <v>44</v>
      </c>
      <c r="J44" s="42">
        <v>55</v>
      </c>
      <c r="K44" s="41">
        <v>100</v>
      </c>
      <c r="L44" s="40">
        <f>IFERROR(J44/K44,0)</f>
        <v>0.55000000000000004</v>
      </c>
      <c r="M44" s="39"/>
      <c r="O44" s="11" t="s">
        <v>43</v>
      </c>
      <c r="P44" s="10">
        <v>100</v>
      </c>
      <c r="Q44" s="10">
        <v>100</v>
      </c>
      <c r="R44" s="9">
        <f t="shared" si="6"/>
        <v>1</v>
      </c>
      <c r="S44" s="8"/>
      <c r="AG44" s="238" t="s">
        <v>98</v>
      </c>
      <c r="AH44" s="254">
        <f ca="1">SUM(EtCT:downtwo)</f>
        <v>370.6</v>
      </c>
      <c r="AI44" s="254">
        <f ca="1">SUM(TtCT:downtwo)</f>
        <v>400</v>
      </c>
      <c r="AJ44" s="411">
        <f ca="1">IFERROR(AH44/AI44,0)</f>
        <v>0.9265000000000001</v>
      </c>
      <c r="AK44" s="412"/>
    </row>
    <row r="45" spans="3:37" ht="16.5" thickTop="1" thickBot="1" x14ac:dyDescent="0.3">
      <c r="C45" s="238" t="s">
        <v>98</v>
      </c>
      <c r="D45" s="254">
        <f ca="1">SUM(EtCT:downtwo)</f>
        <v>85</v>
      </c>
      <c r="E45" s="254">
        <f ca="1">SUM(TtCT:downtwo)</f>
        <v>100</v>
      </c>
      <c r="F45" s="411">
        <f ca="1">IFERROR(D45/E45,0)</f>
        <v>0.85</v>
      </c>
      <c r="G45" s="412"/>
      <c r="I45" s="403"/>
      <c r="J45" s="404"/>
      <c r="K45" s="404"/>
      <c r="L45" s="404"/>
      <c r="M45" s="405"/>
      <c r="O45" s="11" t="s">
        <v>42</v>
      </c>
      <c r="P45" s="10">
        <v>100</v>
      </c>
      <c r="Q45" s="10">
        <v>100</v>
      </c>
      <c r="R45" s="9">
        <f t="shared" si="6"/>
        <v>1</v>
      </c>
      <c r="S45" s="8"/>
      <c r="AG45" s="239" t="s">
        <v>18</v>
      </c>
      <c r="AH45" s="413" t="s">
        <v>17</v>
      </c>
      <c r="AI45" s="413"/>
      <c r="AJ45" s="240" t="s">
        <v>16</v>
      </c>
      <c r="AK45" s="241" t="s">
        <v>15</v>
      </c>
    </row>
    <row r="46" spans="3:37" ht="16.5" thickTop="1" thickBot="1" x14ac:dyDescent="0.3">
      <c r="C46" s="239" t="s">
        <v>18</v>
      </c>
      <c r="D46" s="413" t="s">
        <v>17</v>
      </c>
      <c r="E46" s="413"/>
      <c r="F46" s="240" t="s">
        <v>16</v>
      </c>
      <c r="G46" s="241" t="s">
        <v>15</v>
      </c>
      <c r="O46" s="11" t="s">
        <v>41</v>
      </c>
      <c r="P46" s="10">
        <v>100</v>
      </c>
      <c r="Q46" s="10">
        <v>100</v>
      </c>
      <c r="R46" s="9">
        <f t="shared" si="6"/>
        <v>1</v>
      </c>
      <c r="S46" s="8"/>
      <c r="AG46" s="31">
        <v>43488</v>
      </c>
      <c r="AH46" s="30">
        <v>47.6</v>
      </c>
      <c r="AI46" s="30">
        <v>50</v>
      </c>
      <c r="AJ46" s="29">
        <f>IFERROR(AH46/AI46,0)</f>
        <v>0.95200000000000007</v>
      </c>
      <c r="AK46" s="28"/>
    </row>
    <row r="47" spans="3:37" ht="16.5" thickTop="1" thickBot="1" x14ac:dyDescent="0.3">
      <c r="C47" s="11" t="s">
        <v>14</v>
      </c>
      <c r="D47" s="10">
        <v>85</v>
      </c>
      <c r="E47" s="10">
        <v>100</v>
      </c>
      <c r="F47" s="9">
        <f>IFERROR(D47/E47,0)</f>
        <v>0.85</v>
      </c>
      <c r="G47" s="8"/>
      <c r="I47" s="408" t="s">
        <v>14</v>
      </c>
      <c r="J47" s="409"/>
      <c r="K47" s="409"/>
      <c r="L47" s="409"/>
      <c r="M47" s="410"/>
      <c r="O47" s="11" t="s">
        <v>40</v>
      </c>
      <c r="P47" s="10">
        <v>99</v>
      </c>
      <c r="Q47" s="10">
        <v>100</v>
      </c>
      <c r="R47" s="9">
        <f t="shared" si="6"/>
        <v>0.99</v>
      </c>
      <c r="S47" s="8"/>
      <c r="AG47" s="25">
        <v>43511</v>
      </c>
      <c r="AH47" s="24">
        <v>46</v>
      </c>
      <c r="AI47" s="24">
        <v>50</v>
      </c>
      <c r="AJ47" s="23">
        <f>IFERROR(AH47/AI47,0)</f>
        <v>0.92</v>
      </c>
      <c r="AK47" s="22"/>
    </row>
    <row r="48" spans="3:37" ht="16.5" thickTop="1" thickBot="1" x14ac:dyDescent="0.3">
      <c r="C48" s="403"/>
      <c r="D48" s="404"/>
      <c r="E48" s="404"/>
      <c r="F48" s="404"/>
      <c r="G48" s="405"/>
      <c r="I48" s="237">
        <v>1</v>
      </c>
      <c r="J48" s="235" t="s">
        <v>326</v>
      </c>
      <c r="K48" s="236">
        <v>1</v>
      </c>
      <c r="L48" s="233" t="s">
        <v>19</v>
      </c>
      <c r="M48" s="234">
        <v>0.3</v>
      </c>
      <c r="O48" s="11" t="s">
        <v>39</v>
      </c>
      <c r="P48" s="10">
        <v>98</v>
      </c>
      <c r="Q48" s="10">
        <v>100</v>
      </c>
      <c r="R48" s="9">
        <f t="shared" si="6"/>
        <v>0.98</v>
      </c>
      <c r="S48" s="8"/>
      <c r="AG48" s="25">
        <v>43521</v>
      </c>
      <c r="AH48" s="24">
        <v>36</v>
      </c>
      <c r="AI48" s="24">
        <v>50</v>
      </c>
      <c r="AJ48" s="23">
        <f>IFERROR(AH48/AI48,0)</f>
        <v>0.72</v>
      </c>
      <c r="AK48" s="22"/>
    </row>
    <row r="49" spans="3:37" ht="16.5" thickTop="1" thickBot="1" x14ac:dyDescent="0.3">
      <c r="I49" s="238" t="s">
        <v>98</v>
      </c>
      <c r="J49" s="254">
        <f ca="1">SUM(EtCT:downtwo)</f>
        <v>130</v>
      </c>
      <c r="K49" s="254">
        <f ca="1">SUM(TtCT:downtwo)</f>
        <v>150</v>
      </c>
      <c r="L49" s="411">
        <f ca="1">IFERROR(J49/K49,0)</f>
        <v>0.8666666666666667</v>
      </c>
      <c r="M49" s="412"/>
      <c r="O49" s="11" t="s">
        <v>38</v>
      </c>
      <c r="P49" s="10">
        <v>96</v>
      </c>
      <c r="Q49" s="10">
        <v>100</v>
      </c>
      <c r="R49" s="9">
        <f t="shared" si="6"/>
        <v>0.96</v>
      </c>
      <c r="S49" s="8"/>
      <c r="AG49" s="25">
        <v>43539</v>
      </c>
      <c r="AH49" s="24">
        <v>41</v>
      </c>
      <c r="AI49" s="24">
        <v>50</v>
      </c>
      <c r="AJ49" s="23">
        <f>IFERROR(AH49/AI49,0)</f>
        <v>0.82</v>
      </c>
      <c r="AK49" s="22"/>
    </row>
    <row r="50" spans="3:37" ht="16.5" thickTop="1" thickBot="1" x14ac:dyDescent="0.3">
      <c r="C50" s="408" t="s">
        <v>25</v>
      </c>
      <c r="D50" s="409"/>
      <c r="E50" s="409"/>
      <c r="F50" s="409"/>
      <c r="G50" s="410"/>
      <c r="I50" s="239" t="s">
        <v>18</v>
      </c>
      <c r="J50" s="413" t="s">
        <v>17</v>
      </c>
      <c r="K50" s="413"/>
      <c r="L50" s="240" t="s">
        <v>16</v>
      </c>
      <c r="M50" s="241" t="s">
        <v>15</v>
      </c>
      <c r="O50" s="11" t="s">
        <v>37</v>
      </c>
      <c r="P50" s="10">
        <v>100</v>
      </c>
      <c r="Q50" s="10">
        <v>100</v>
      </c>
      <c r="R50" s="9">
        <f t="shared" si="6"/>
        <v>1</v>
      </c>
      <c r="S50" s="8"/>
      <c r="AG50" s="36" t="s">
        <v>36</v>
      </c>
      <c r="AH50" s="35">
        <v>200</v>
      </c>
      <c r="AI50" s="24">
        <v>200</v>
      </c>
      <c r="AJ50" s="38">
        <f>IFERROR(AH50/AI50,0)</f>
        <v>1</v>
      </c>
      <c r="AK50" s="37"/>
    </row>
    <row r="51" spans="3:37" ht="16.5" thickTop="1" thickBot="1" x14ac:dyDescent="0.3">
      <c r="C51" s="237">
        <v>5</v>
      </c>
      <c r="D51" s="235" t="s">
        <v>326</v>
      </c>
      <c r="E51" s="236">
        <v>5</v>
      </c>
      <c r="F51" s="233" t="s">
        <v>19</v>
      </c>
      <c r="G51" s="234">
        <v>0</v>
      </c>
      <c r="I51" s="11" t="s">
        <v>14</v>
      </c>
      <c r="J51" s="10">
        <v>130</v>
      </c>
      <c r="K51" s="10">
        <v>150</v>
      </c>
      <c r="L51" s="9">
        <f>IFERROR(J51/K51,0)</f>
        <v>0.8666666666666667</v>
      </c>
      <c r="M51" s="8"/>
      <c r="O51" s="11" t="s">
        <v>35</v>
      </c>
      <c r="P51" s="10">
        <v>100</v>
      </c>
      <c r="Q51" s="10">
        <v>100</v>
      </c>
      <c r="R51" s="9">
        <f t="shared" si="6"/>
        <v>1</v>
      </c>
      <c r="S51" s="8"/>
      <c r="AG51" s="403"/>
      <c r="AH51" s="404"/>
      <c r="AI51" s="404"/>
      <c r="AJ51" s="404"/>
      <c r="AK51" s="405"/>
    </row>
    <row r="52" spans="3:37" ht="16.5" thickTop="1" thickBot="1" x14ac:dyDescent="0.3">
      <c r="C52" s="238" t="s">
        <v>98</v>
      </c>
      <c r="D52" s="254">
        <f ca="1">SUM(EtCT:downtwo)</f>
        <v>5</v>
      </c>
      <c r="E52" s="254">
        <f ca="1">SUM(TtCT:downtwo)</f>
        <v>5</v>
      </c>
      <c r="F52" s="411">
        <f ca="1">IFERROR(D52/E52,0)</f>
        <v>1</v>
      </c>
      <c r="G52" s="412"/>
      <c r="I52" s="403"/>
      <c r="J52" s="404"/>
      <c r="K52" s="404"/>
      <c r="L52" s="404"/>
      <c r="M52" s="405"/>
      <c r="O52" s="11" t="s">
        <v>34</v>
      </c>
      <c r="P52" s="10">
        <v>100</v>
      </c>
      <c r="Q52" s="10">
        <v>100</v>
      </c>
      <c r="R52" s="9">
        <f t="shared" si="6"/>
        <v>1</v>
      </c>
      <c r="S52" s="8"/>
    </row>
    <row r="53" spans="3:37" ht="16.5" thickTop="1" thickBot="1" x14ac:dyDescent="0.3">
      <c r="C53" s="239" t="s">
        <v>18</v>
      </c>
      <c r="D53" s="413" t="s">
        <v>17</v>
      </c>
      <c r="E53" s="413"/>
      <c r="F53" s="240" t="s">
        <v>16</v>
      </c>
      <c r="G53" s="241" t="s">
        <v>15</v>
      </c>
      <c r="O53" s="11" t="s">
        <v>33</v>
      </c>
      <c r="P53" s="10">
        <v>100</v>
      </c>
      <c r="Q53" s="10">
        <v>100</v>
      </c>
      <c r="R53" s="9">
        <f t="shared" si="6"/>
        <v>1</v>
      </c>
      <c r="S53" s="8"/>
      <c r="AG53" s="408" t="s">
        <v>32</v>
      </c>
      <c r="AH53" s="409"/>
      <c r="AI53" s="409"/>
      <c r="AJ53" s="409"/>
      <c r="AK53" s="410"/>
    </row>
    <row r="54" spans="3:37" ht="16.5" thickTop="1" thickBot="1" x14ac:dyDescent="0.3">
      <c r="C54" s="346">
        <v>43488</v>
      </c>
      <c r="D54" s="30">
        <v>1</v>
      </c>
      <c r="E54" s="30">
        <v>1</v>
      </c>
      <c r="F54" s="29">
        <f t="shared" ref="F54:F58" si="7">IFERROR(D54/E54,0)</f>
        <v>1</v>
      </c>
      <c r="G54" s="28"/>
      <c r="O54" s="403"/>
      <c r="P54" s="404"/>
      <c r="Q54" s="404"/>
      <c r="R54" s="404"/>
      <c r="S54" s="405"/>
      <c r="AG54" s="237">
        <v>2</v>
      </c>
      <c r="AH54" s="235" t="s">
        <v>326</v>
      </c>
      <c r="AI54" s="236">
        <v>2</v>
      </c>
      <c r="AJ54" s="233" t="s">
        <v>19</v>
      </c>
      <c r="AK54" s="234">
        <v>0.3</v>
      </c>
    </row>
    <row r="55" spans="3:37" ht="16.5" thickTop="1" thickBot="1" x14ac:dyDescent="0.3">
      <c r="C55" s="347">
        <v>43511</v>
      </c>
      <c r="D55" s="24">
        <v>1</v>
      </c>
      <c r="E55" s="24">
        <v>1</v>
      </c>
      <c r="F55" s="27">
        <f t="shared" si="7"/>
        <v>1</v>
      </c>
      <c r="G55" s="26"/>
      <c r="AG55" s="238" t="s">
        <v>98</v>
      </c>
      <c r="AH55" s="254">
        <f ca="1">SUM(EtCT:downtwo)</f>
        <v>83</v>
      </c>
      <c r="AI55" s="254">
        <f ca="1">SUM(TtCT:downtwo)</f>
        <v>100</v>
      </c>
      <c r="AJ55" s="411">
        <f ca="1">IFERROR(AH55/AI55,0)</f>
        <v>0.83</v>
      </c>
      <c r="AK55" s="412"/>
    </row>
    <row r="56" spans="3:37" ht="16.5" thickTop="1" thickBot="1" x14ac:dyDescent="0.3">
      <c r="C56" s="347">
        <v>43521</v>
      </c>
      <c r="D56" s="24">
        <v>1</v>
      </c>
      <c r="E56" s="24">
        <v>1</v>
      </c>
      <c r="F56" s="23">
        <f t="shared" si="7"/>
        <v>1</v>
      </c>
      <c r="G56" s="22"/>
      <c r="O56" s="408" t="s">
        <v>31</v>
      </c>
      <c r="P56" s="409"/>
      <c r="Q56" s="409"/>
      <c r="R56" s="409"/>
      <c r="S56" s="410"/>
      <c r="AG56" s="239" t="s">
        <v>18</v>
      </c>
      <c r="AH56" s="413" t="s">
        <v>17</v>
      </c>
      <c r="AI56" s="413"/>
      <c r="AJ56" s="240" t="s">
        <v>16</v>
      </c>
      <c r="AK56" s="241" t="s">
        <v>15</v>
      </c>
    </row>
    <row r="57" spans="3:37" ht="16.5" thickTop="1" thickBot="1" x14ac:dyDescent="0.3">
      <c r="C57" s="347">
        <v>43539</v>
      </c>
      <c r="D57" s="24">
        <v>1</v>
      </c>
      <c r="E57" s="24">
        <v>1</v>
      </c>
      <c r="F57" s="23">
        <f t="shared" si="7"/>
        <v>1</v>
      </c>
      <c r="G57" s="22"/>
      <c r="O57" s="237">
        <v>4</v>
      </c>
      <c r="P57" s="235" t="s">
        <v>326</v>
      </c>
      <c r="Q57" s="236">
        <v>4</v>
      </c>
      <c r="R57" s="233" t="s">
        <v>19</v>
      </c>
      <c r="S57" s="234">
        <v>0.15</v>
      </c>
      <c r="AG57" s="21" t="s">
        <v>30</v>
      </c>
      <c r="AH57" s="20">
        <f>40</f>
        <v>40</v>
      </c>
      <c r="AI57" s="20">
        <v>50</v>
      </c>
      <c r="AJ57" s="19">
        <f>IFERROR(AH57/AI57,0)</f>
        <v>0.8</v>
      </c>
      <c r="AK57" s="18"/>
    </row>
    <row r="58" spans="3:37" ht="16.5" thickTop="1" thickBot="1" x14ac:dyDescent="0.3">
      <c r="C58" s="348">
        <v>43560</v>
      </c>
      <c r="D58" s="35">
        <v>1</v>
      </c>
      <c r="E58" s="35">
        <v>1</v>
      </c>
      <c r="F58" s="34">
        <f t="shared" si="7"/>
        <v>1</v>
      </c>
      <c r="G58" s="33"/>
      <c r="O58" s="238" t="s">
        <v>98</v>
      </c>
      <c r="P58" s="254">
        <f ca="1">SUM(EtCT:downtwo)</f>
        <v>40</v>
      </c>
      <c r="Q58" s="254">
        <f ca="1">SUM(TtCT:downtwo)</f>
        <v>40</v>
      </c>
      <c r="R58" s="411">
        <f ca="1">IFERROR(P58/Q58,0)</f>
        <v>1</v>
      </c>
      <c r="S58" s="412"/>
      <c r="AG58" s="17" t="s">
        <v>29</v>
      </c>
      <c r="AH58" s="16">
        <v>43</v>
      </c>
      <c r="AI58" s="16">
        <v>50</v>
      </c>
      <c r="AJ58" s="32">
        <f>IFERROR(AH58/AI58,0)</f>
        <v>0.86</v>
      </c>
      <c r="AK58" s="14"/>
    </row>
    <row r="59" spans="3:37" ht="16.5" thickTop="1" thickBot="1" x14ac:dyDescent="0.3">
      <c r="C59" s="403"/>
      <c r="D59" s="404"/>
      <c r="E59" s="404"/>
      <c r="F59" s="404"/>
      <c r="G59" s="405"/>
      <c r="O59" s="239" t="s">
        <v>18</v>
      </c>
      <c r="P59" s="413" t="s">
        <v>17</v>
      </c>
      <c r="Q59" s="413"/>
      <c r="R59" s="240" t="s">
        <v>16</v>
      </c>
      <c r="S59" s="241" t="s">
        <v>15</v>
      </c>
      <c r="AG59" s="403"/>
      <c r="AH59" s="404"/>
      <c r="AI59" s="404"/>
      <c r="AJ59" s="404"/>
      <c r="AK59" s="405"/>
    </row>
    <row r="60" spans="3:37" ht="16.5" thickTop="1" thickBot="1" x14ac:dyDescent="0.3">
      <c r="O60" s="31" t="s">
        <v>28</v>
      </c>
      <c r="P60" s="30">
        <v>10</v>
      </c>
      <c r="Q60" s="30">
        <v>10</v>
      </c>
      <c r="R60" s="29">
        <f>IFERROR(P60/Q60,0)</f>
        <v>1</v>
      </c>
      <c r="S60" s="28"/>
    </row>
    <row r="61" spans="3:37" ht="16.5" thickTop="1" thickBot="1" x14ac:dyDescent="0.3">
      <c r="C61" s="408" t="s">
        <v>27</v>
      </c>
      <c r="D61" s="409"/>
      <c r="E61" s="409"/>
      <c r="F61" s="409"/>
      <c r="G61" s="410"/>
      <c r="O61" s="25" t="s">
        <v>26</v>
      </c>
      <c r="P61" s="24">
        <v>10</v>
      </c>
      <c r="Q61" s="24">
        <v>10</v>
      </c>
      <c r="R61" s="27">
        <f>IFERROR(P61/Q61,0)</f>
        <v>1</v>
      </c>
      <c r="S61" s="26"/>
      <c r="AG61" s="408" t="s">
        <v>25</v>
      </c>
      <c r="AH61" s="409"/>
      <c r="AI61" s="409"/>
      <c r="AJ61" s="409"/>
      <c r="AK61" s="410"/>
    </row>
    <row r="62" spans="3:37" ht="16.5" thickTop="1" thickBot="1" x14ac:dyDescent="0.3">
      <c r="C62" s="237">
        <v>2</v>
      </c>
      <c r="D62" s="235" t="s">
        <v>326</v>
      </c>
      <c r="E62" s="236">
        <v>2</v>
      </c>
      <c r="F62" s="233" t="s">
        <v>19</v>
      </c>
      <c r="G62" s="234">
        <v>0.3</v>
      </c>
      <c r="O62" s="25" t="s">
        <v>24</v>
      </c>
      <c r="P62" s="24">
        <v>10</v>
      </c>
      <c r="Q62" s="24">
        <v>10</v>
      </c>
      <c r="R62" s="23">
        <f>IFERROR(P62/Q62,0)</f>
        <v>1</v>
      </c>
      <c r="S62" s="22"/>
      <c r="AG62" s="237">
        <v>1</v>
      </c>
      <c r="AH62" s="235" t="s">
        <v>326</v>
      </c>
      <c r="AI62" s="236">
        <v>1</v>
      </c>
      <c r="AJ62" s="233" t="s">
        <v>19</v>
      </c>
      <c r="AK62" s="234">
        <v>0.2</v>
      </c>
    </row>
    <row r="63" spans="3:37" ht="16.5" thickTop="1" thickBot="1" x14ac:dyDescent="0.3">
      <c r="C63" s="238" t="s">
        <v>98</v>
      </c>
      <c r="D63" s="254">
        <f ca="1">SUM(EtCT:downtwo)</f>
        <v>64.5</v>
      </c>
      <c r="E63" s="254">
        <f ca="1">SUM(TtCT:downtwo)</f>
        <v>105</v>
      </c>
      <c r="F63" s="411">
        <f ca="1">IFERROR(D63/E63,0)</f>
        <v>0.61428571428571432</v>
      </c>
      <c r="G63" s="412"/>
      <c r="O63" s="25" t="s">
        <v>23</v>
      </c>
      <c r="P63" s="24">
        <v>10</v>
      </c>
      <c r="Q63" s="24">
        <v>10</v>
      </c>
      <c r="R63" s="23">
        <f>IFERROR(P63/Q63,0)</f>
        <v>1</v>
      </c>
      <c r="S63" s="22"/>
      <c r="AG63" s="238" t="s">
        <v>98</v>
      </c>
      <c r="AH63" s="254">
        <f ca="1">SUM(EtCT:downtwo)</f>
        <v>100</v>
      </c>
      <c r="AI63" s="254">
        <f ca="1">SUM(TtCT:downtwo)</f>
        <v>100</v>
      </c>
      <c r="AJ63" s="411">
        <f ca="1">IFERROR(AH63/AI63,0)</f>
        <v>1</v>
      </c>
      <c r="AK63" s="412"/>
    </row>
    <row r="64" spans="3:37" ht="16.5" thickTop="1" thickBot="1" x14ac:dyDescent="0.3">
      <c r="C64" s="239" t="s">
        <v>18</v>
      </c>
      <c r="D64" s="413" t="s">
        <v>17</v>
      </c>
      <c r="E64" s="413"/>
      <c r="F64" s="240" t="s">
        <v>16</v>
      </c>
      <c r="G64" s="241" t="s">
        <v>15</v>
      </c>
      <c r="O64" s="403"/>
      <c r="P64" s="404"/>
      <c r="Q64" s="404"/>
      <c r="R64" s="404"/>
      <c r="S64" s="405"/>
      <c r="AG64" s="239" t="s">
        <v>18</v>
      </c>
      <c r="AH64" s="413" t="s">
        <v>17</v>
      </c>
      <c r="AI64" s="413"/>
      <c r="AJ64" s="240" t="s">
        <v>16</v>
      </c>
      <c r="AK64" s="241" t="s">
        <v>15</v>
      </c>
    </row>
    <row r="65" spans="3:37" ht="16.5" thickTop="1" thickBot="1" x14ac:dyDescent="0.3">
      <c r="C65" s="21" t="s">
        <v>22</v>
      </c>
      <c r="D65" s="20">
        <f>20+11.5</f>
        <v>31.5</v>
      </c>
      <c r="E65" s="20">
        <v>45</v>
      </c>
      <c r="F65" s="19">
        <f>IFERROR(D65/E65,0)</f>
        <v>0.7</v>
      </c>
      <c r="G65" s="18"/>
      <c r="AG65" s="11" t="s">
        <v>21</v>
      </c>
      <c r="AH65" s="10">
        <v>100</v>
      </c>
      <c r="AI65" s="10">
        <v>100</v>
      </c>
      <c r="AJ65" s="9">
        <f>IFERROR(AH65/AI65,0)</f>
        <v>1</v>
      </c>
      <c r="AK65" s="8"/>
    </row>
    <row r="66" spans="3:37" ht="16.5" thickTop="1" thickBot="1" x14ac:dyDescent="0.3">
      <c r="C66" s="17" t="s">
        <v>20</v>
      </c>
      <c r="D66" s="16">
        <v>33</v>
      </c>
      <c r="E66" s="16">
        <v>60</v>
      </c>
      <c r="F66" s="15">
        <f>IFERROR(D66/E66,0)</f>
        <v>0.55000000000000004</v>
      </c>
      <c r="G66" s="14"/>
      <c r="O66" s="408" t="s">
        <v>14</v>
      </c>
      <c r="P66" s="409"/>
      <c r="Q66" s="409"/>
      <c r="R66" s="409"/>
      <c r="S66" s="410"/>
      <c r="AG66" s="403"/>
      <c r="AH66" s="404"/>
      <c r="AI66" s="404"/>
      <c r="AJ66" s="404"/>
      <c r="AK66" s="405"/>
    </row>
    <row r="67" spans="3:37" ht="16.5" thickTop="1" thickBot="1" x14ac:dyDescent="0.3">
      <c r="C67" s="403"/>
      <c r="D67" s="404"/>
      <c r="E67" s="404"/>
      <c r="F67" s="404"/>
      <c r="G67" s="405"/>
      <c r="O67" s="237">
        <v>4</v>
      </c>
      <c r="P67" s="235" t="s">
        <v>326</v>
      </c>
      <c r="Q67" s="236">
        <v>4</v>
      </c>
      <c r="R67" s="233" t="s">
        <v>19</v>
      </c>
      <c r="S67" s="234">
        <v>0.25</v>
      </c>
    </row>
    <row r="68" spans="3:37" ht="16.5" thickTop="1" thickBot="1" x14ac:dyDescent="0.3">
      <c r="O68" s="238" t="s">
        <v>98</v>
      </c>
      <c r="P68" s="254">
        <f ca="1">SUM(EtCT:downtwo)</f>
        <v>100</v>
      </c>
      <c r="Q68" s="254">
        <f ca="1">SUM(TtCT:downtwo)</f>
        <v>100</v>
      </c>
      <c r="R68" s="411">
        <f ca="1">IFERROR(P68/Q68,0)</f>
        <v>1</v>
      </c>
      <c r="S68" s="412"/>
    </row>
    <row r="69" spans="3:37" ht="16.5" thickTop="1" thickBot="1" x14ac:dyDescent="0.3">
      <c r="C69" s="408" t="s">
        <v>14</v>
      </c>
      <c r="D69" s="409"/>
      <c r="E69" s="409"/>
      <c r="F69" s="409"/>
      <c r="G69" s="410"/>
      <c r="O69" s="239" t="s">
        <v>18</v>
      </c>
      <c r="P69" s="413" t="s">
        <v>17</v>
      </c>
      <c r="Q69" s="413"/>
      <c r="R69" s="240" t="s">
        <v>16</v>
      </c>
      <c r="S69" s="241" t="s">
        <v>15</v>
      </c>
    </row>
    <row r="70" spans="3:37" ht="16.5" thickTop="1" thickBot="1" x14ac:dyDescent="0.3">
      <c r="C70" s="237">
        <v>1</v>
      </c>
      <c r="D70" s="235" t="s">
        <v>326</v>
      </c>
      <c r="E70" s="236">
        <v>1</v>
      </c>
      <c r="F70" s="233" t="s">
        <v>19</v>
      </c>
      <c r="G70" s="234">
        <v>0.2</v>
      </c>
      <c r="O70" s="11" t="s">
        <v>14</v>
      </c>
      <c r="P70" s="10">
        <v>100</v>
      </c>
      <c r="Q70" s="10">
        <v>100</v>
      </c>
      <c r="R70" s="9">
        <f>IFERROR(P70/Q70,0)</f>
        <v>1</v>
      </c>
      <c r="S70" s="8"/>
    </row>
    <row r="71" spans="3:37" ht="16.5" thickTop="1" thickBot="1" x14ac:dyDescent="0.3">
      <c r="C71" s="238" t="s">
        <v>98</v>
      </c>
      <c r="D71" s="254">
        <f ca="1">SUM(EtCT:downtwo)</f>
        <v>87</v>
      </c>
      <c r="E71" s="254">
        <f ca="1">SUM(TtCT:downtwo)</f>
        <v>140</v>
      </c>
      <c r="F71" s="411">
        <f ca="1">IFERROR(D71/E71,0)</f>
        <v>0.62142857142857144</v>
      </c>
      <c r="G71" s="412"/>
      <c r="O71" s="403"/>
      <c r="P71" s="404"/>
      <c r="Q71" s="404"/>
      <c r="R71" s="404"/>
      <c r="S71" s="405"/>
    </row>
    <row r="72" spans="3:37" ht="16.5" thickTop="1" thickBot="1" x14ac:dyDescent="0.3">
      <c r="C72" s="239" t="s">
        <v>18</v>
      </c>
      <c r="D72" s="413" t="s">
        <v>17</v>
      </c>
      <c r="E72" s="413"/>
      <c r="F72" s="240" t="s">
        <v>16</v>
      </c>
      <c r="G72" s="241" t="s">
        <v>15</v>
      </c>
    </row>
    <row r="73" spans="3:37" ht="16.5" thickTop="1" thickBot="1" x14ac:dyDescent="0.3">
      <c r="C73" s="11" t="s">
        <v>14</v>
      </c>
      <c r="D73" s="10">
        <v>87</v>
      </c>
      <c r="E73" s="10">
        <v>140</v>
      </c>
      <c r="F73" s="9">
        <f>IFERROR(D73/E73,0)</f>
        <v>0.62142857142857144</v>
      </c>
      <c r="G73" s="8"/>
    </row>
    <row r="74" spans="3:37" ht="16.5" thickTop="1" thickBot="1" x14ac:dyDescent="0.3">
      <c r="C74" s="403"/>
      <c r="D74" s="404"/>
      <c r="E74" s="404"/>
      <c r="F74" s="404"/>
      <c r="G74" s="405"/>
    </row>
    <row r="75" spans="3:37" ht="15.75" thickTop="1" x14ac:dyDescent="0.25"/>
  </sheetData>
  <mergeCells count="150">
    <mergeCell ref="C69:G69"/>
    <mergeCell ref="F71:G71"/>
    <mergeCell ref="D72:E72"/>
    <mergeCell ref="C74:G74"/>
    <mergeCell ref="C59:G59"/>
    <mergeCell ref="C61:G61"/>
    <mergeCell ref="F63:G63"/>
    <mergeCell ref="D64:E64"/>
    <mergeCell ref="C67:G67"/>
    <mergeCell ref="C20:D20"/>
    <mergeCell ref="C22:G22"/>
    <mergeCell ref="F24:G24"/>
    <mergeCell ref="D25:E25"/>
    <mergeCell ref="C41:G41"/>
    <mergeCell ref="C15:D15"/>
    <mergeCell ref="C16:D16"/>
    <mergeCell ref="C17:D17"/>
    <mergeCell ref="C18:D18"/>
    <mergeCell ref="C19:D19"/>
    <mergeCell ref="J25:K25"/>
    <mergeCell ref="I36:M36"/>
    <mergeCell ref="L40:M40"/>
    <mergeCell ref="J41:K41"/>
    <mergeCell ref="I38:M38"/>
    <mergeCell ref="I18:J18"/>
    <mergeCell ref="I19:J19"/>
    <mergeCell ref="I20:J20"/>
    <mergeCell ref="L24:M24"/>
    <mergeCell ref="O13:S13"/>
    <mergeCell ref="O14:P14"/>
    <mergeCell ref="O15:P15"/>
    <mergeCell ref="O16:P16"/>
    <mergeCell ref="O17:P17"/>
    <mergeCell ref="I13:M13"/>
    <mergeCell ref="I14:J14"/>
    <mergeCell ref="I15:J15"/>
    <mergeCell ref="I16:J16"/>
    <mergeCell ref="I17:J17"/>
    <mergeCell ref="U40:Y40"/>
    <mergeCell ref="U15:V15"/>
    <mergeCell ref="U16:V16"/>
    <mergeCell ref="U17:V17"/>
    <mergeCell ref="U18:V18"/>
    <mergeCell ref="U19:V19"/>
    <mergeCell ref="P42:Q42"/>
    <mergeCell ref="O18:P18"/>
    <mergeCell ref="O19:P19"/>
    <mergeCell ref="O20:P20"/>
    <mergeCell ref="O22:S22"/>
    <mergeCell ref="R24:S24"/>
    <mergeCell ref="P25:Q25"/>
    <mergeCell ref="O37:S37"/>
    <mergeCell ref="O39:S39"/>
    <mergeCell ref="R41:S41"/>
    <mergeCell ref="AJ63:AK63"/>
    <mergeCell ref="AH64:AI64"/>
    <mergeCell ref="AG66:AK66"/>
    <mergeCell ref="AA15:AB15"/>
    <mergeCell ref="AA16:AB16"/>
    <mergeCell ref="AA17:AB17"/>
    <mergeCell ref="AA18:AB18"/>
    <mergeCell ref="AA19:AB19"/>
    <mergeCell ref="AA20:AB20"/>
    <mergeCell ref="AA22:AE22"/>
    <mergeCell ref="AD24:AE24"/>
    <mergeCell ref="AB25:AC25"/>
    <mergeCell ref="AA40:AE40"/>
    <mergeCell ref="AJ44:AK44"/>
    <mergeCell ref="AH45:AI45"/>
    <mergeCell ref="AG51:AK51"/>
    <mergeCell ref="AJ55:AK55"/>
    <mergeCell ref="AH56:AI56"/>
    <mergeCell ref="AG22:AK22"/>
    <mergeCell ref="AJ24:AK24"/>
    <mergeCell ref="AH25:AI25"/>
    <mergeCell ref="AG40:AK40"/>
    <mergeCell ref="AG42:AK42"/>
    <mergeCell ref="AG53:AK53"/>
    <mergeCell ref="AG6:AK6"/>
    <mergeCell ref="B2:D2"/>
    <mergeCell ref="E2:G2"/>
    <mergeCell ref="B3:C3"/>
    <mergeCell ref="E3:F3"/>
    <mergeCell ref="B4:C4"/>
    <mergeCell ref="E4:F4"/>
    <mergeCell ref="C6:G6"/>
    <mergeCell ref="I6:M6"/>
    <mergeCell ref="O6:S6"/>
    <mergeCell ref="U6:Y6"/>
    <mergeCell ref="AA6:AE6"/>
    <mergeCell ref="AG8:AH8"/>
    <mergeCell ref="C7:D7"/>
    <mergeCell ref="I7:J7"/>
    <mergeCell ref="O7:P7"/>
    <mergeCell ref="U7:V7"/>
    <mergeCell ref="AA7:AB7"/>
    <mergeCell ref="AG7:AH7"/>
    <mergeCell ref="C8:D8"/>
    <mergeCell ref="I8:J8"/>
    <mergeCell ref="O8:P8"/>
    <mergeCell ref="U8:V8"/>
    <mergeCell ref="AA8:AB8"/>
    <mergeCell ref="I47:M47"/>
    <mergeCell ref="C9:G9"/>
    <mergeCell ref="I9:M9"/>
    <mergeCell ref="O9:S9"/>
    <mergeCell ref="U9:Y9"/>
    <mergeCell ref="AA9:AE9"/>
    <mergeCell ref="AG9:AK9"/>
    <mergeCell ref="C13:G13"/>
    <mergeCell ref="I22:M22"/>
    <mergeCell ref="U22:Y22"/>
    <mergeCell ref="AA13:AE13"/>
    <mergeCell ref="AG13:AK13"/>
    <mergeCell ref="AG14:AH14"/>
    <mergeCell ref="AG15:AH15"/>
    <mergeCell ref="AG16:AH16"/>
    <mergeCell ref="C14:D14"/>
    <mergeCell ref="AA14:AB14"/>
    <mergeCell ref="AG17:AH17"/>
    <mergeCell ref="AG18:AH18"/>
    <mergeCell ref="AG19:AH19"/>
    <mergeCell ref="AG20:AH20"/>
    <mergeCell ref="U20:V20"/>
    <mergeCell ref="X24:Y24"/>
    <mergeCell ref="V25:W25"/>
    <mergeCell ref="AG59:AK59"/>
    <mergeCell ref="AG61:AK61"/>
    <mergeCell ref="U13:Y13"/>
    <mergeCell ref="U14:V14"/>
    <mergeCell ref="O64:S64"/>
    <mergeCell ref="R68:S68"/>
    <mergeCell ref="P69:Q69"/>
    <mergeCell ref="O71:S71"/>
    <mergeCell ref="D46:E46"/>
    <mergeCell ref="C48:G48"/>
    <mergeCell ref="C50:G50"/>
    <mergeCell ref="F52:G52"/>
    <mergeCell ref="D53:E53"/>
    <mergeCell ref="O56:S56"/>
    <mergeCell ref="O66:S66"/>
    <mergeCell ref="O54:S54"/>
    <mergeCell ref="R58:S58"/>
    <mergeCell ref="P59:Q59"/>
    <mergeCell ref="I45:M45"/>
    <mergeCell ref="L49:M49"/>
    <mergeCell ref="J50:K50"/>
    <mergeCell ref="I52:M52"/>
    <mergeCell ref="C43:G43"/>
    <mergeCell ref="F45:G45"/>
  </mergeCells>
  <conditionalFormatting sqref="E14:E20">
    <cfRule type="expression" dxfId="31" priority="10">
      <formula>IF((CELLV)&gt;(1-LSFa),1,0)</formula>
    </cfRule>
  </conditionalFormatting>
  <conditionalFormatting sqref="G14:G20">
    <cfRule type="expression" dxfId="30" priority="9">
      <formula>IF((CELLV)&gt;(1-LSFa),1,0)</formula>
    </cfRule>
  </conditionalFormatting>
  <conditionalFormatting sqref="K14:K20">
    <cfRule type="expression" dxfId="29" priority="8">
      <formula>IF((CELLV)&gt;(1-LSFb),1,0)</formula>
    </cfRule>
  </conditionalFormatting>
  <conditionalFormatting sqref="M14:M20">
    <cfRule type="expression" dxfId="28" priority="7">
      <formula>IF((CELLV)&gt;(1-LSFb),1,0)</formula>
    </cfRule>
  </conditionalFormatting>
  <conditionalFormatting sqref="AE14:AE20">
    <cfRule type="expression" dxfId="27" priority="1">
      <formula>IF((CELLV)&gt;(1-LSFe),1,0)</formula>
    </cfRule>
  </conditionalFormatting>
  <conditionalFormatting sqref="Q14:Q20">
    <cfRule type="expression" dxfId="26" priority="6">
      <formula>IF((CELLV)&gt;(1-LSFc),1,0)</formula>
    </cfRule>
  </conditionalFormatting>
  <conditionalFormatting sqref="S14:S20">
    <cfRule type="expression" dxfId="25" priority="5">
      <formula>IF((CELLV)&gt;(1-LSFc),1,0)</formula>
    </cfRule>
  </conditionalFormatting>
  <conditionalFormatting sqref="W14:W20">
    <cfRule type="expression" dxfId="24" priority="4">
      <formula>IF((CELLV)&gt;(1-LSFd),1,0)</formula>
    </cfRule>
  </conditionalFormatting>
  <conditionalFormatting sqref="Y14:Y20">
    <cfRule type="expression" dxfId="23" priority="3">
      <formula>IF((CELLV)&gt;(1-LSFd),1,0)</formula>
    </cfRule>
  </conditionalFormatting>
  <conditionalFormatting sqref="AC14:AC20">
    <cfRule type="expression" dxfId="22" priority="2">
      <formula>IF((CELLV)&gt;(1-LSFe),1,0)</formula>
    </cfRule>
  </conditionalFormatting>
  <dataValidations count="4">
    <dataValidation type="list" allowBlank="1" showInputMessage="1" showErrorMessage="1" sqref="K7 E7 Q7 W7 AC7 AI7" xr:uid="{F8CE60D5-3B71-4F7C-8415-3292E42733A9}">
      <formula1>"1,2,3,4,5,6,7"</formula1>
    </dataValidation>
    <dataValidation type="list" allowBlank="1" showInputMessage="1" showErrorMessage="1" sqref="E8 K8 Q8 W8 AC8 AI8" xr:uid="{2C9346D1-3279-43D3-B1DA-9FEC9D657E89}">
      <formula1>"NA,1,2,3,4,5,6,7"</formula1>
    </dataValidation>
    <dataValidation type="list" allowBlank="1" showInputMessage="1" showErrorMessage="1" sqref="G8 M8 S8 Y8 AE8 AK8" xr:uid="{24FCE84A-5310-4634-BB6E-29F732828CAD}">
      <formula1>",Class,Retake,Dropped,P/F,Research"</formula1>
    </dataValidation>
    <dataValidation type="whole" operator="greaterThan" allowBlank="1" showInputMessage="1" showErrorMessage="1" sqref="E70 AI23 AI43 AI54 AI62 AC23 W23 Q23 Q40 Q57 Q67 K23 K39 K48 E23 E44 E51 E62" xr:uid="{1173CFCB-2629-4406-B7D1-6C09FF326B4F}">
      <formula1>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E699BE2-76B3-4E65-8F69-2F082BBDBC83}">
          <x14:formula1>
            <xm:f>OFFSET(Settings!$L$4,0,0,INDIRECT(ADDRESS(ROW(),COLUMN()+2))+1,1)</xm:f>
          </x14:formula1>
          <xm:sqref>C70 AG23 AG43 AG54 AG62 AA23 U23 O23 O40 O57 O67 I23 I39 I48 C23 C44 C51 C62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A57AC-5A87-451E-8375-06B37F6E41BC}">
  <sheetPr>
    <tabColor rgb="FFFF0000"/>
  </sheetPr>
  <dimension ref="B1:G28"/>
  <sheetViews>
    <sheetView showGridLines="0" zoomScale="91" zoomScaleNormal="91" workbookViewId="0">
      <selection activeCell="A34" sqref="A34"/>
    </sheetView>
  </sheetViews>
  <sheetFormatPr defaultRowHeight="15" x14ac:dyDescent="0.25"/>
  <cols>
    <col min="1" max="1" width="4" style="1" customWidth="1"/>
    <col min="2" max="2" width="9.140625" style="1"/>
    <col min="3" max="3" width="7.7109375" style="1" customWidth="1"/>
    <col min="4" max="4" width="6" style="1" customWidth="1"/>
    <col min="5" max="5" width="8.42578125" style="1" customWidth="1"/>
    <col min="6" max="6" width="10.140625" style="1" bestFit="1" customWidth="1"/>
    <col min="7" max="7" width="9.140625" style="1"/>
    <col min="8" max="8" width="3" style="1" customWidth="1"/>
    <col min="9" max="9" width="11.5703125" style="1" customWidth="1"/>
    <col min="10" max="10" width="6.42578125" style="1" customWidth="1"/>
    <col min="11" max="11" width="7.85546875" style="1" customWidth="1"/>
    <col min="12" max="12" width="10.28515625" style="1" customWidth="1"/>
    <col min="13" max="13" width="9.140625" style="1"/>
    <col min="14" max="14" width="3.28515625" style="1" customWidth="1"/>
    <col min="15" max="15" width="8.85546875" style="1" customWidth="1"/>
    <col min="16" max="16" width="6.140625" style="1" customWidth="1"/>
    <col min="17" max="17" width="7.42578125" style="1" customWidth="1"/>
    <col min="18" max="18" width="10.28515625" style="1" customWidth="1"/>
    <col min="19" max="19" width="9.140625" style="1"/>
    <col min="20" max="20" width="3.140625" style="1" customWidth="1"/>
    <col min="21" max="21" width="9.140625" style="1"/>
    <col min="22" max="22" width="6.5703125" style="1" customWidth="1"/>
    <col min="23" max="23" width="8.2851562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16384" width="9.140625" style="1"/>
  </cols>
  <sheetData>
    <row r="1" spans="2:7" ht="15.75" thickBot="1" x14ac:dyDescent="0.3"/>
    <row r="2" spans="2:7" ht="16.5" thickTop="1" thickBot="1" x14ac:dyDescent="0.3">
      <c r="B2" s="394" t="s">
        <v>120</v>
      </c>
      <c r="C2" s="395"/>
      <c r="D2" s="395"/>
      <c r="E2" s="395" t="s">
        <v>199</v>
      </c>
      <c r="F2" s="395"/>
      <c r="G2" s="396"/>
    </row>
    <row r="3" spans="2:7" ht="15.75" thickTop="1" x14ac:dyDescent="0.25">
      <c r="B3" s="397" t="s">
        <v>118</v>
      </c>
      <c r="C3" s="398"/>
      <c r="D3" s="245">
        <f>COUNTIF(6:6,"*")</f>
        <v>1</v>
      </c>
      <c r="E3" s="399" t="s">
        <v>117</v>
      </c>
      <c r="F3" s="398"/>
      <c r="G3" s="101" t="e">
        <f ca="1">G4/SUM(IF(OR(G8="P/F",G8="Dropped",G8="Retaken"),0,E8),IF(OR(M8="P/F",M8="Dropped",M8="Retaken"),0,K8),IF(OR(S8="P/F",S8="Dropped",S8="Retaken"),0,Q8),IF(OR(Y8="P/F",Y8="Dropped",Y8="Retaken"),0,W8),IF(OR(AE8="P/F",AE8="Dropped",AE8="Retaken"),0,AC8),IF(OR(AK8="P/F",AK8="Dropped",AK8="Retaken"),0,AI8),IF(OR(AQ8="P/F",AQ8="Dropped",AQ8="Retaken"),0,AO8))</f>
        <v>#DIV/0!</v>
      </c>
    </row>
    <row r="4" spans="2:7" ht="15.75" thickBot="1" x14ac:dyDescent="0.3">
      <c r="B4" s="400" t="s">
        <v>115</v>
      </c>
      <c r="C4" s="401"/>
      <c r="D4" s="244">
        <f>SUMIF(8:8,"&lt;&gt;#N/A")</f>
        <v>0</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0</v>
      </c>
    </row>
    <row r="5" spans="2:7" ht="16.5" thickTop="1" thickBot="1" x14ac:dyDescent="0.3"/>
    <row r="6" spans="2:7" ht="16.5" thickTop="1" thickBot="1" x14ac:dyDescent="0.3">
      <c r="C6" s="382" t="s">
        <v>200</v>
      </c>
      <c r="D6" s="383"/>
      <c r="E6" s="383"/>
      <c r="F6" s="383"/>
      <c r="G6" s="384"/>
    </row>
    <row r="7" spans="2:7" x14ac:dyDescent="0.25">
      <c r="C7" s="385" t="s">
        <v>106</v>
      </c>
      <c r="D7" s="386"/>
      <c r="E7" s="99">
        <v>1</v>
      </c>
      <c r="F7" s="100" t="s">
        <v>105</v>
      </c>
      <c r="G7" s="97" t="s">
        <v>201</v>
      </c>
    </row>
    <row r="8" spans="2:7" ht="15.75" thickBot="1" x14ac:dyDescent="0.3">
      <c r="C8" s="377" t="s">
        <v>102</v>
      </c>
      <c r="D8" s="378"/>
      <c r="E8" s="95">
        <v>0</v>
      </c>
      <c r="F8" s="96" t="s">
        <v>101</v>
      </c>
      <c r="G8" s="93" t="s">
        <v>127</v>
      </c>
    </row>
    <row r="9" spans="2:7" ht="15.75" thickTop="1" x14ac:dyDescent="0.25">
      <c r="C9" s="379" t="s">
        <v>99</v>
      </c>
      <c r="D9" s="380"/>
      <c r="E9" s="380"/>
      <c r="F9" s="380"/>
      <c r="G9" s="381"/>
    </row>
    <row r="10" spans="2:7" x14ac:dyDescent="0.25">
      <c r="C10" s="92" t="s">
        <v>98</v>
      </c>
      <c r="D10" s="300"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1</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v>
      </c>
    </row>
    <row r="11" spans="2:7" ht="15.75" thickBot="1" x14ac:dyDescent="0.3">
      <c r="C11" s="88" t="s">
        <v>96</v>
      </c>
      <c r="D11" s="87" t="str"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E11" s="86"/>
      <c r="F11" s="86" t="s">
        <v>95</v>
      </c>
      <c r="G11" s="242" t="str" cm="1">
        <f t="array" aca="1" ref="G11" ca="1">IF(OR(QPtCT="Dropped",QPtCT="P/F"),"NA",QPtGPA*QPtCR)</f>
        <v>NA</v>
      </c>
    </row>
    <row r="12" spans="2:7" ht="12" customHeight="1" thickTop="1" thickBot="1" x14ac:dyDescent="0.3"/>
    <row r="13" spans="2:7" ht="16.5" thickTop="1" thickBot="1" x14ac:dyDescent="0.3">
      <c r="C13" s="389" t="s">
        <v>327</v>
      </c>
      <c r="D13" s="390"/>
      <c r="E13" s="390"/>
      <c r="F13" s="390"/>
      <c r="G13" s="391"/>
    </row>
    <row r="14" spans="2:7" ht="15.75" thickTop="1" x14ac:dyDescent="0.25">
      <c r="C14" s="392" t="s">
        <v>13</v>
      </c>
      <c r="D14" s="393"/>
      <c r="E14" s="231">
        <f>0.92</f>
        <v>0.92</v>
      </c>
      <c r="F14" s="302" t="s">
        <v>6</v>
      </c>
      <c r="G14" s="4">
        <f>0.69</f>
        <v>0.69</v>
      </c>
    </row>
    <row r="15" spans="2:7" x14ac:dyDescent="0.25">
      <c r="C15" s="387" t="s">
        <v>12</v>
      </c>
      <c r="D15" s="388"/>
      <c r="E15" s="231">
        <f>0.89</f>
        <v>0.89</v>
      </c>
      <c r="F15" s="302" t="s">
        <v>5</v>
      </c>
      <c r="G15" s="4">
        <f>0.66</f>
        <v>0.66</v>
      </c>
    </row>
    <row r="16" spans="2:7" x14ac:dyDescent="0.25">
      <c r="C16" s="387" t="s">
        <v>11</v>
      </c>
      <c r="D16" s="388"/>
      <c r="E16" s="231">
        <f>0.86</f>
        <v>0.86</v>
      </c>
      <c r="F16" s="302" t="s">
        <v>4</v>
      </c>
      <c r="G16" s="4">
        <f>0.61</f>
        <v>0.61</v>
      </c>
    </row>
    <row r="17" spans="3:7" x14ac:dyDescent="0.25">
      <c r="C17" s="387" t="s">
        <v>10</v>
      </c>
      <c r="D17" s="388"/>
      <c r="E17" s="231">
        <f>0.81</f>
        <v>0.81</v>
      </c>
      <c r="F17" s="302" t="s">
        <v>3</v>
      </c>
      <c r="G17" s="4">
        <v>0.56999999999999995</v>
      </c>
    </row>
    <row r="18" spans="3:7" x14ac:dyDescent="0.25">
      <c r="C18" s="387" t="s">
        <v>9</v>
      </c>
      <c r="D18" s="388"/>
      <c r="E18" s="231">
        <f>0.79</f>
        <v>0.79</v>
      </c>
      <c r="F18" s="7" t="s">
        <v>2</v>
      </c>
      <c r="G18" s="6">
        <f>0.5</f>
        <v>0.5</v>
      </c>
    </row>
    <row r="19" spans="3:7" x14ac:dyDescent="0.25">
      <c r="C19" s="387" t="s">
        <v>8</v>
      </c>
      <c r="D19" s="388"/>
      <c r="E19" s="231">
        <f>0.76</f>
        <v>0.76</v>
      </c>
      <c r="F19" s="302" t="s">
        <v>1</v>
      </c>
      <c r="G19" s="4">
        <f>G16</f>
        <v>0.61</v>
      </c>
    </row>
    <row r="20" spans="3:7" ht="15.75" thickBot="1" x14ac:dyDescent="0.3">
      <c r="C20" s="406" t="s">
        <v>7</v>
      </c>
      <c r="D20" s="407"/>
      <c r="E20" s="232">
        <f>0.71</f>
        <v>0.71</v>
      </c>
      <c r="F20" s="303" t="s">
        <v>0</v>
      </c>
      <c r="G20" s="2">
        <f>IFERROR(H29/F20,0)</f>
        <v>0</v>
      </c>
    </row>
    <row r="21" spans="3:7" ht="16.5" thickTop="1" thickBot="1" x14ac:dyDescent="0.3"/>
    <row r="22" spans="3:7" ht="16.5" thickTop="1" thickBot="1" x14ac:dyDescent="0.3">
      <c r="C22" s="408" t="s">
        <v>426</v>
      </c>
      <c r="D22" s="409"/>
      <c r="E22" s="409"/>
      <c r="F22" s="409"/>
      <c r="G22" s="410"/>
    </row>
    <row r="23" spans="3:7" ht="16.5" thickTop="1" thickBot="1" x14ac:dyDescent="0.3">
      <c r="C23" s="237">
        <v>7</v>
      </c>
      <c r="D23" s="235" t="s">
        <v>326</v>
      </c>
      <c r="E23" s="236">
        <v>8</v>
      </c>
      <c r="F23" s="233" t="s">
        <v>19</v>
      </c>
      <c r="G23" s="234">
        <f>1</f>
        <v>1</v>
      </c>
    </row>
    <row r="24" spans="3:7" ht="15.75" thickTop="1" x14ac:dyDescent="0.25">
      <c r="C24" s="238" t="s">
        <v>98</v>
      </c>
      <c r="D24" s="254">
        <f ca="1">SUM(EtCT:downtwo)</f>
        <v>100</v>
      </c>
      <c r="E24" s="254">
        <f ca="1">SUM(TtCT:downtwo)</f>
        <v>100</v>
      </c>
      <c r="F24" s="411">
        <f ca="1">IFERROR(D24/E24,0)</f>
        <v>1</v>
      </c>
      <c r="G24" s="412"/>
    </row>
    <row r="25" spans="3:7" ht="15.75" thickBot="1" x14ac:dyDescent="0.3">
      <c r="C25" s="239" t="s">
        <v>18</v>
      </c>
      <c r="D25" s="413" t="s">
        <v>17</v>
      </c>
      <c r="E25" s="413"/>
      <c r="F25" s="240" t="s">
        <v>16</v>
      </c>
      <c r="G25" s="241" t="s">
        <v>15</v>
      </c>
    </row>
    <row r="26" spans="3:7" ht="16.5" thickTop="1" thickBot="1" x14ac:dyDescent="0.3">
      <c r="C26" s="11" t="s">
        <v>14</v>
      </c>
      <c r="D26" s="10">
        <v>100</v>
      </c>
      <c r="E26" s="10">
        <v>100</v>
      </c>
      <c r="F26" s="9">
        <f>IFERROR(D26/E26,0)</f>
        <v>1</v>
      </c>
      <c r="G26" s="8"/>
    </row>
    <row r="27" spans="3:7" ht="16.5" thickTop="1" thickBot="1" x14ac:dyDescent="0.3">
      <c r="C27" s="403"/>
      <c r="D27" s="404"/>
      <c r="E27" s="404"/>
      <c r="F27" s="404"/>
      <c r="G27" s="405"/>
    </row>
    <row r="28" spans="3:7" ht="15.75" thickTop="1" x14ac:dyDescent="0.25"/>
  </sheetData>
  <mergeCells count="22">
    <mergeCell ref="C15:D15"/>
    <mergeCell ref="C16:D16"/>
    <mergeCell ref="C17:D17"/>
    <mergeCell ref="C18:D18"/>
    <mergeCell ref="C20:D20"/>
    <mergeCell ref="C22:G22"/>
    <mergeCell ref="F24:G24"/>
    <mergeCell ref="D25:E25"/>
    <mergeCell ref="C27:G27"/>
    <mergeCell ref="C19:D19"/>
    <mergeCell ref="C14:D14"/>
    <mergeCell ref="B2:D2"/>
    <mergeCell ref="E2:G2"/>
    <mergeCell ref="B3:C3"/>
    <mergeCell ref="E3:F3"/>
    <mergeCell ref="B4:C4"/>
    <mergeCell ref="E4:F4"/>
    <mergeCell ref="C6:G6"/>
    <mergeCell ref="C7:D7"/>
    <mergeCell ref="C8:D8"/>
    <mergeCell ref="C9:G9"/>
    <mergeCell ref="C13:G13"/>
  </mergeCells>
  <dataValidations disablePrompts="1" count="4">
    <dataValidation type="list" allowBlank="1" showInputMessage="1" showErrorMessage="1" sqref="E8" xr:uid="{01111CB7-B3D8-4DD7-9915-A5DC73559521}">
      <formula1>"0,1,2,3,4,5,6,7"</formula1>
    </dataValidation>
    <dataValidation type="list" allowBlank="1" showInputMessage="1" showErrorMessage="1" sqref="E7" xr:uid="{8898CA27-00E8-496A-BCDA-CD996680C9B6}">
      <formula1>"1,2,3,4,5,6,7"</formula1>
    </dataValidation>
    <dataValidation type="list" allowBlank="1" showInputMessage="1" showErrorMessage="1" sqref="G8" xr:uid="{3A870FFF-CC4B-484F-9B08-E16BB44E5A4B}">
      <formula1>",Class,Retake,Dropped,P/F,Research"</formula1>
    </dataValidation>
    <dataValidation type="whole" operator="greaterThan" allowBlank="1" showInputMessage="1" showErrorMessage="1" sqref="E23" xr:uid="{F5C6AF8B-E78B-407D-A729-03209C190EE4}">
      <formula1>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BA610B4E-6E78-4C81-B448-B7FAB5CA9E56}">
          <x14:formula1>
            <xm:f>OFFSET(Settings!$L$4,0,0,INDIRECT(ADDRESS(ROW(),COLUMN()+2))+1,1)</xm:f>
          </x14:formula1>
          <xm:sqref>C23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CEE1A-EF74-4D76-A589-827273A94D69}">
  <sheetPr>
    <tabColor theme="1"/>
  </sheetPr>
  <dimension ref="B1:AK144"/>
  <sheetViews>
    <sheetView showGridLines="0" zoomScaleNormal="100" workbookViewId="0">
      <selection activeCell="A13" sqref="A13:XFD20"/>
    </sheetView>
  </sheetViews>
  <sheetFormatPr defaultRowHeight="15" x14ac:dyDescent="0.25"/>
  <cols>
    <col min="1" max="1" width="2.85546875" style="1" customWidth="1"/>
    <col min="2" max="2" width="9.140625" style="1"/>
    <col min="3" max="3" width="7.7109375" style="1" customWidth="1"/>
    <col min="4" max="4" width="6.28515625" style="1" customWidth="1"/>
    <col min="5" max="5" width="8.5703125" style="1" customWidth="1"/>
    <col min="6" max="6" width="10.140625" style="1" bestFit="1" customWidth="1"/>
    <col min="7" max="7" width="10.7109375" style="1" customWidth="1"/>
    <col min="8" max="8" width="2.85546875" style="1" customWidth="1"/>
    <col min="9" max="9" width="10" style="1" customWidth="1"/>
    <col min="10" max="10" width="5.85546875" style="1" customWidth="1"/>
    <col min="11" max="11" width="7.85546875" style="1" customWidth="1"/>
    <col min="12" max="12" width="10.28515625" style="1" customWidth="1"/>
    <col min="13" max="13" width="9.5703125" style="1" customWidth="1"/>
    <col min="14" max="14" width="2.85546875" style="1" customWidth="1"/>
    <col min="15" max="15" width="8.85546875" style="1" customWidth="1"/>
    <col min="16" max="16" width="6.140625" style="1" customWidth="1"/>
    <col min="17" max="17" width="8" style="1" customWidth="1"/>
    <col min="18" max="18" width="10.28515625" style="1" customWidth="1"/>
    <col min="19" max="19" width="9.140625" style="1"/>
    <col min="20" max="20" width="2.85546875" style="1" customWidth="1"/>
    <col min="21" max="21" width="9.140625" style="1"/>
    <col min="22" max="22" width="6.5703125" style="1" customWidth="1"/>
    <col min="23" max="23" width="8.42578125" style="1" customWidth="1"/>
    <col min="24" max="24" width="10.28515625" style="1" customWidth="1"/>
    <col min="25" max="25" width="9.140625" style="1"/>
    <col min="26" max="26" width="2.85546875"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85546875" style="1" customWidth="1"/>
    <col min="33" max="33" width="9.140625" style="1"/>
    <col min="34" max="34" width="7.140625" style="1" customWidth="1"/>
    <col min="35" max="35" width="9.140625" style="1"/>
    <col min="36" max="36" width="10.5703125" style="1" customWidth="1"/>
    <col min="37" max="16384" width="9.140625" style="1"/>
  </cols>
  <sheetData>
    <row r="1" spans="2:37" ht="15" customHeight="1" thickBot="1" x14ac:dyDescent="0.3"/>
    <row r="2" spans="2:37" ht="15" customHeight="1" thickTop="1" thickBot="1" x14ac:dyDescent="0.3">
      <c r="B2" s="394" t="s">
        <v>120</v>
      </c>
      <c r="C2" s="395"/>
      <c r="D2" s="395"/>
      <c r="E2" s="395" t="s">
        <v>119</v>
      </c>
      <c r="F2" s="395"/>
      <c r="G2" s="396"/>
    </row>
    <row r="3" spans="2:37" ht="15" customHeight="1" thickTop="1" x14ac:dyDescent="0.25">
      <c r="B3" s="397" t="s">
        <v>118</v>
      </c>
      <c r="C3" s="398"/>
      <c r="D3" s="245">
        <f>COUNTIF(6:6,"*")</f>
        <v>6</v>
      </c>
      <c r="E3" s="399" t="s">
        <v>117</v>
      </c>
      <c r="F3" s="398"/>
      <c r="G3" s="101">
        <f ca="1">G4/SUM(IF(OR(G8="P/F",G8="Dropped",G8="Retaken"),0,E8),IF(OR(M8="P/F",M8="Dropped",M8="Retaken"),0,K8),IF(OR(S8="P/F",S8="Dropped",S8="Retaken"),0,Q8),IF(OR(Y8="P/F",Y8="Dropped",Y8="Retaken"),0,W8),IF(OR(AE8="P/F",AE8="Dropped",AE8="Retaken"),0,AC8),IF(OR(AK8="P/F",AK8="Dropped",AK8="Retaken"),0,AI8),IF(OR(AQ8="P/F",AQ8="Dropped",AQ8="Retaken"),0,AO8))</f>
        <v>3.4175</v>
      </c>
      <c r="K3" s="171"/>
      <c r="Q3" s="171"/>
    </row>
    <row r="4" spans="2:37" ht="15" customHeight="1" thickBot="1" x14ac:dyDescent="0.3">
      <c r="B4" s="400" t="s">
        <v>115</v>
      </c>
      <c r="C4" s="401"/>
      <c r="D4" s="244">
        <f>SUMIF(8:8,"&lt;&gt;#N/A")</f>
        <v>16</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41.01</v>
      </c>
      <c r="K4" s="171"/>
      <c r="L4" s="171"/>
    </row>
    <row r="5" spans="2:37" ht="15" customHeight="1" thickTop="1" thickBot="1" x14ac:dyDescent="0.3"/>
    <row r="6" spans="2:37" ht="16.5" thickTop="1" thickBot="1" x14ac:dyDescent="0.3">
      <c r="C6" s="382" t="s">
        <v>279</v>
      </c>
      <c r="D6" s="383"/>
      <c r="E6" s="383"/>
      <c r="F6" s="383"/>
      <c r="G6" s="384"/>
      <c r="I6" s="382" t="s">
        <v>280</v>
      </c>
      <c r="J6" s="383"/>
      <c r="K6" s="383"/>
      <c r="L6" s="383"/>
      <c r="M6" s="384"/>
      <c r="O6" s="382" t="s">
        <v>281</v>
      </c>
      <c r="P6" s="383"/>
      <c r="Q6" s="383"/>
      <c r="R6" s="383"/>
      <c r="S6" s="384"/>
      <c r="U6" s="382" t="s">
        <v>282</v>
      </c>
      <c r="V6" s="383"/>
      <c r="W6" s="383"/>
      <c r="X6" s="383"/>
      <c r="Y6" s="384"/>
      <c r="AA6" s="382" t="s">
        <v>283</v>
      </c>
      <c r="AB6" s="383"/>
      <c r="AC6" s="383"/>
      <c r="AD6" s="383"/>
      <c r="AE6" s="384"/>
      <c r="AG6" s="382" t="s">
        <v>429</v>
      </c>
      <c r="AH6" s="383"/>
      <c r="AI6" s="383"/>
      <c r="AJ6" s="383"/>
      <c r="AK6" s="384"/>
    </row>
    <row r="7" spans="2:37" x14ac:dyDescent="0.25">
      <c r="C7" s="385" t="s">
        <v>106</v>
      </c>
      <c r="D7" s="386"/>
      <c r="E7" s="99">
        <f ca="1">COUNTIF(F:F,"Weight*")</f>
        <v>3</v>
      </c>
      <c r="F7" s="250" t="s">
        <v>105</v>
      </c>
      <c r="G7" s="97" t="s">
        <v>284</v>
      </c>
      <c r="I7" s="385" t="s">
        <v>106</v>
      </c>
      <c r="J7" s="386"/>
      <c r="K7" s="99">
        <f ca="1">COUNTIF(L:L,"Weight*")</f>
        <v>4</v>
      </c>
      <c r="L7" s="250" t="s">
        <v>105</v>
      </c>
      <c r="M7" s="97" t="s">
        <v>285</v>
      </c>
      <c r="O7" s="385" t="s">
        <v>106</v>
      </c>
      <c r="P7" s="386"/>
      <c r="Q7" s="99">
        <f t="shared" ref="Q7" ca="1" si="0">COUNTIF(R:R,"Weight*")</f>
        <v>3</v>
      </c>
      <c r="R7" s="250" t="s">
        <v>105</v>
      </c>
      <c r="S7" s="97" t="s">
        <v>298</v>
      </c>
      <c r="U7" s="385" t="s">
        <v>106</v>
      </c>
      <c r="V7" s="386"/>
      <c r="W7" s="99">
        <f t="shared" ref="W7" ca="1" si="1">COUNTIF(X:X,"Weight*")</f>
        <v>6</v>
      </c>
      <c r="X7" s="250" t="s">
        <v>105</v>
      </c>
      <c r="Y7" s="97" t="s">
        <v>384</v>
      </c>
      <c r="AA7" s="385" t="s">
        <v>106</v>
      </c>
      <c r="AB7" s="386"/>
      <c r="AC7" s="99">
        <f t="shared" ref="AC7" ca="1" si="2">COUNTIF(AD:AD,"Weight*")</f>
        <v>11</v>
      </c>
      <c r="AD7" s="250" t="s">
        <v>105</v>
      </c>
      <c r="AE7" s="97" t="s">
        <v>286</v>
      </c>
      <c r="AG7" s="385" t="s">
        <v>106</v>
      </c>
      <c r="AH7" s="386"/>
      <c r="AI7" s="99">
        <f t="shared" ref="AI7" ca="1" si="3">COUNTIF(AJ:AJ,"Weight*")</f>
        <v>4</v>
      </c>
      <c r="AJ7" s="250" t="s">
        <v>105</v>
      </c>
      <c r="AK7" s="97" t="s">
        <v>287</v>
      </c>
    </row>
    <row r="8" spans="2:37" ht="15.75" thickBot="1" x14ac:dyDescent="0.3">
      <c r="C8" s="377" t="s">
        <v>102</v>
      </c>
      <c r="D8" s="378"/>
      <c r="E8" s="95">
        <v>3</v>
      </c>
      <c r="F8" s="251" t="s">
        <v>101</v>
      </c>
      <c r="G8" s="93" t="s">
        <v>100</v>
      </c>
      <c r="I8" s="377" t="s">
        <v>102</v>
      </c>
      <c r="J8" s="378"/>
      <c r="K8" s="95">
        <v>3</v>
      </c>
      <c r="L8" s="251" t="s">
        <v>101</v>
      </c>
      <c r="M8" s="93" t="s">
        <v>127</v>
      </c>
      <c r="O8" s="377" t="s">
        <v>102</v>
      </c>
      <c r="P8" s="378"/>
      <c r="Q8" s="95">
        <v>3</v>
      </c>
      <c r="R8" s="251" t="s">
        <v>101</v>
      </c>
      <c r="S8" s="93" t="s">
        <v>100</v>
      </c>
      <c r="U8" s="377" t="s">
        <v>102</v>
      </c>
      <c r="V8" s="378"/>
      <c r="W8" s="95">
        <v>3</v>
      </c>
      <c r="X8" s="251" t="s">
        <v>101</v>
      </c>
      <c r="Y8" s="93" t="s">
        <v>100</v>
      </c>
      <c r="AA8" s="377" t="s">
        <v>102</v>
      </c>
      <c r="AB8" s="378"/>
      <c r="AC8" s="95">
        <v>3</v>
      </c>
      <c r="AD8" s="251" t="s">
        <v>101</v>
      </c>
      <c r="AE8" s="93" t="s">
        <v>100</v>
      </c>
      <c r="AG8" s="377" t="s">
        <v>102</v>
      </c>
      <c r="AH8" s="378"/>
      <c r="AI8" s="95">
        <v>1</v>
      </c>
      <c r="AJ8" s="251" t="s">
        <v>101</v>
      </c>
      <c r="AK8" s="93" t="s">
        <v>127</v>
      </c>
    </row>
    <row r="9" spans="2:37" ht="15.75" thickTop="1" x14ac:dyDescent="0.25">
      <c r="C9" s="379" t="s">
        <v>99</v>
      </c>
      <c r="D9" s="380"/>
      <c r="E9" s="380"/>
      <c r="F9" s="380"/>
      <c r="G9" s="381"/>
      <c r="I9" s="379" t="s">
        <v>99</v>
      </c>
      <c r="J9" s="380"/>
      <c r="K9" s="380"/>
      <c r="L9" s="380"/>
      <c r="M9" s="381"/>
      <c r="O9" s="379" t="s">
        <v>99</v>
      </c>
      <c r="P9" s="380"/>
      <c r="Q9" s="380"/>
      <c r="R9" s="380"/>
      <c r="S9" s="381"/>
      <c r="U9" s="379" t="s">
        <v>99</v>
      </c>
      <c r="V9" s="380"/>
      <c r="W9" s="380"/>
      <c r="X9" s="380"/>
      <c r="Y9" s="381"/>
      <c r="AA9" s="379" t="s">
        <v>99</v>
      </c>
      <c r="AB9" s="380"/>
      <c r="AC9" s="380"/>
      <c r="AD9" s="380"/>
      <c r="AE9" s="381"/>
      <c r="AG9" s="379" t="s">
        <v>99</v>
      </c>
      <c r="AH9" s="380"/>
      <c r="AI9" s="380"/>
      <c r="AJ9" s="380"/>
      <c r="AK9" s="381"/>
    </row>
    <row r="10" spans="2:37" x14ac:dyDescent="0.25">
      <c r="C10" s="92" t="s">
        <v>98</v>
      </c>
      <c r="D10" s="252"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B+</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0.78999999999999992</v>
      </c>
      <c r="F10" s="12" t="s">
        <v>97</v>
      </c>
      <c r="G10" s="255"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0.21</v>
      </c>
      <c r="I10" s="92" t="s">
        <v>98</v>
      </c>
      <c r="J10" s="252" t="str" cm="1">
        <f t="array" aca="1" ref="J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K10" s="90" cm="1">
        <f t="array" aca="1" ref="K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0.7209246575342465</v>
      </c>
      <c r="L10" s="12" t="s">
        <v>97</v>
      </c>
      <c r="M10" s="255" cm="1">
        <f t="array" aca="1" ref="M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0.27907534246575344</v>
      </c>
      <c r="O10" s="92" t="s">
        <v>98</v>
      </c>
      <c r="P10" s="252" t="str" cm="1">
        <f t="array" aca="1" ref="P10" ca="1">IF(GRDtCT="Dropped","NA",IF(GRDtCT="P/F",IF(GRDtP&gt;=PtNPass,PtLPass,PtLFail),IF(GRDtP&gt;=PtNA,PtLA,IF(GRDtP&gt;=PtNAm,PtLAm,IF(GRDtP&gt;=PtNBp,PtLBp,IF(GRDtP&gt;=PtNB,PtLB,IF(GRDtP&gt;=PtNBm,PtLBm,IF(GRDtP&gt;=PtNCp,PtLCp,IF(GRDtP&gt;=PtNC,PtLC,IF(GRDtP&gt;=PtNCm,PtLCm,IF(GRDtP&gt;=PtNDp,PtLDp,IF(GRDtP&gt;=PtND,PtLD,IF(GRDtP&gt;=PtNDm,PtLDm,PtLF)))))))))))))</f>
        <v>B</v>
      </c>
      <c r="Q10" s="90" cm="1">
        <f t="array" aca="1" ref="Q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0.77157894736842114</v>
      </c>
      <c r="R10" s="12" t="s">
        <v>97</v>
      </c>
      <c r="S10" s="255" cm="1">
        <f t="array" aca="1" ref="S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0.21700000000000003</v>
      </c>
      <c r="U10" s="92" t="s">
        <v>98</v>
      </c>
      <c r="V10" s="253" t="str" cm="1">
        <f t="array" aca="1" ref="V10" ca="1">IF(GRDtCT="Dropped","NA",IF(GRDtCT="P/F",IF(GRDtP&gt;=PtNPass,PtLPass,PtLFail),IF(GRDtP&gt;=PtNA,PtLA,IF(GRDtP&gt;=PtNAm,PtLAm,IF(GRDtP&gt;=PtNBp,PtLBp,IF(GRDtP&gt;=PtNB,PtLB,IF(GRDtP&gt;=PtNBm,PtLBm,IF(GRDtP&gt;=PtNCp,PtLCp,IF(GRDtP&gt;=PtNC,PtLC,IF(GRDtP&gt;=PtNCm,PtLCm,IF(GRDtP&gt;=PtNDp,PtLDp,IF(GRDtP&gt;=PtND,PtLD,IF(GRDtP&gt;=PtNDm,PtLDm,PtLF)))))))))))))</f>
        <v>A-</v>
      </c>
      <c r="W10" s="90" cm="1">
        <f t="array" aca="1" ref="W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0.86487727272727277</v>
      </c>
      <c r="X10" s="12" t="s">
        <v>97</v>
      </c>
      <c r="Y10" s="255" cm="1">
        <f t="array" aca="1" ref="Y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0.13512272727272723</v>
      </c>
      <c r="AA10" s="92" t="s">
        <v>98</v>
      </c>
      <c r="AB10" s="253" t="str" cm="1">
        <f t="array" aca="1" ref="AB10" ca="1">IF(GRDtCT="Dropped","NA",IF(GRDtCT="P/F",IF(GRDtP&gt;=PtNPass,PtLPass,PtLFail),IF(GRDtP&gt;=PtNA,PtLA,IF(GRDtP&gt;=PtNAm,PtLAm,IF(GRDtP&gt;=PtNBp,PtLBp,IF(GRDtP&gt;=PtNB,PtLB,IF(GRDtP&gt;=PtNBm,PtLBm,IF(GRDtP&gt;=PtNCp,PtLCp,IF(GRDtP&gt;=PtNC,PtLC,IF(GRDtP&gt;=PtNCm,PtLCm,IF(GRDtP&gt;=PtNDp,PtLDp,IF(GRDtP&gt;=PtND,PtLD,IF(GRDtP&gt;=PtNDm,PtLDm,PtLF)))))))))))))</f>
        <v>A-</v>
      </c>
      <c r="AC10" s="90" cm="1">
        <f t="array" aca="1" ref="AC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0.90426947368421062</v>
      </c>
      <c r="AD10" s="12" t="s">
        <v>97</v>
      </c>
      <c r="AE10" s="255" cm="1">
        <f t="array" aca="1" ref="AE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0.19973052631578947</v>
      </c>
      <c r="AG10" s="92" t="s">
        <v>98</v>
      </c>
      <c r="AH10" s="253" t="str" cm="1">
        <f t="array" aca="1" ref="AH10" ca="1">IF(GRDtCT="Dropped","NA",IF(GRDtCT="P/F",IF(GRDtP&gt;=PtNPass,PtLPass,PtLFail),IF(GRDtP&gt;=PtNA,PtLA,IF(GRDtP&gt;=PtNAm,PtLAm,IF(GRDtP&gt;=PtNBp,PtLBp,IF(GRDtP&gt;=PtNB,PtLB,IF(GRDtP&gt;=PtNBm,PtLBm,IF(GRDtP&gt;=PtNCp,PtLCp,IF(GRDtP&gt;=PtNC,PtLC,IF(GRDtP&gt;=PtNCm,PtLCm,IF(GRDtP&gt;=PtNDp,PtLDp,IF(GRDtP&gt;=PtND,PtLD,IF(GRDtP&gt;=PtNDm,PtLDm,PtLF)))))))))))))</f>
        <v>Pass</v>
      </c>
      <c r="AI10" s="90" cm="1">
        <f t="array" aca="1" ref="AI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0.71593614718614718</v>
      </c>
      <c r="AJ10" s="12" t="s">
        <v>97</v>
      </c>
      <c r="AK10" s="255" cm="1">
        <f t="array" aca="1" ref="AK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0.28406385281385282</v>
      </c>
    </row>
    <row r="11" spans="2:37" ht="15.75" thickBot="1" x14ac:dyDescent="0.3">
      <c r="C11" s="88" t="s">
        <v>96</v>
      </c>
      <c r="D11" s="87"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3.33</v>
      </c>
      <c r="E11" s="86"/>
      <c r="F11" s="86" t="s">
        <v>95</v>
      </c>
      <c r="G11" s="242" cm="1">
        <f t="array" aca="1" ref="G11" ca="1">IF(OR(QPtCT="Dropped",QPtCT="P/F"),"NA",QPtGPA*QPtCR)</f>
        <v>9.99</v>
      </c>
      <c r="I11" s="88" t="s">
        <v>96</v>
      </c>
      <c r="J11" s="87" t="str" cm="1">
        <f t="array" aca="1" ref="J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K11" s="86"/>
      <c r="L11" s="86" t="s">
        <v>95</v>
      </c>
      <c r="M11" s="242" t="str" cm="1">
        <f t="array" aca="1" ref="M11" ca="1">IF(OR(QPtCT="Dropped",QPtCT="P/F"),"NA",QPtGPA*QPtCR)</f>
        <v>NA</v>
      </c>
      <c r="O11" s="88" t="s">
        <v>96</v>
      </c>
      <c r="P11" s="87" cm="1">
        <f t="array" aca="1" ref="P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v>
      </c>
      <c r="Q11" s="86"/>
      <c r="R11" s="86" t="s">
        <v>95</v>
      </c>
      <c r="S11" s="242" cm="1">
        <f t="array" aca="1" ref="S11" ca="1">IF(OR(QPtCT="Dropped",QPtCT="P/F"),"NA",QPtGPA*QPtCR)</f>
        <v>9</v>
      </c>
      <c r="U11" s="88" t="s">
        <v>96</v>
      </c>
      <c r="V11" s="87" cm="1">
        <f t="array" aca="1" ref="V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3.67</v>
      </c>
      <c r="W11" s="86"/>
      <c r="X11" s="86" t="s">
        <v>95</v>
      </c>
      <c r="Y11" s="242" cm="1">
        <f t="array" aca="1" ref="Y11" ca="1">IF(OR(QPtCT="Dropped",QPtCT="P/F"),"NA",QPtGPA*QPtCR)</f>
        <v>11.01</v>
      </c>
      <c r="AA11" s="88" t="s">
        <v>96</v>
      </c>
      <c r="AB11" s="87" cm="1">
        <f t="array" aca="1" ref="AB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3.67</v>
      </c>
      <c r="AC11" s="86"/>
      <c r="AD11" s="86" t="s">
        <v>95</v>
      </c>
      <c r="AE11" s="242" cm="1">
        <f t="array" aca="1" ref="AE11" ca="1">IF(OR(QPtCT="Dropped",QPtCT="P/F"),"NA",QPtGPA*QPtCR)</f>
        <v>11.01</v>
      </c>
      <c r="AG11" s="88" t="s">
        <v>96</v>
      </c>
      <c r="AH11" s="87" t="str" cm="1">
        <f t="array" aca="1" ref="AH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AI11" s="86"/>
      <c r="AJ11" s="86" t="s">
        <v>95</v>
      </c>
      <c r="AK11" s="242" t="str" cm="1">
        <f t="array" aca="1" ref="AK11" ca="1">IF(OR(QPtCT="Dropped",QPtCT="P/F"),"NA",QPtGPA*QPtCR)</f>
        <v>NA</v>
      </c>
    </row>
    <row r="12" spans="2:37" ht="15" customHeight="1" thickTop="1" thickBot="1" x14ac:dyDescent="0.3"/>
    <row r="13" spans="2:37" ht="16.5" thickTop="1" thickBot="1" x14ac:dyDescent="0.3">
      <c r="C13" s="389" t="s">
        <v>327</v>
      </c>
      <c r="D13" s="390"/>
      <c r="E13" s="390"/>
      <c r="F13" s="390"/>
      <c r="G13" s="391"/>
      <c r="I13" s="389" t="s">
        <v>327</v>
      </c>
      <c r="J13" s="390"/>
      <c r="K13" s="390"/>
      <c r="L13" s="390"/>
      <c r="M13" s="391"/>
      <c r="O13" s="389" t="s">
        <v>327</v>
      </c>
      <c r="P13" s="390"/>
      <c r="Q13" s="390"/>
      <c r="R13" s="390"/>
      <c r="S13" s="391"/>
      <c r="U13" s="389" t="s">
        <v>327</v>
      </c>
      <c r="V13" s="390"/>
      <c r="W13" s="390"/>
      <c r="X13" s="390"/>
      <c r="Y13" s="391"/>
      <c r="AA13" s="389" t="s">
        <v>327</v>
      </c>
      <c r="AB13" s="390"/>
      <c r="AC13" s="390"/>
      <c r="AD13" s="390"/>
      <c r="AE13" s="391"/>
      <c r="AG13" s="389" t="s">
        <v>327</v>
      </c>
      <c r="AH13" s="390"/>
      <c r="AI13" s="390"/>
      <c r="AJ13" s="390"/>
      <c r="AK13" s="391"/>
    </row>
    <row r="14" spans="2:37" ht="15.75" thickTop="1" x14ac:dyDescent="0.25">
      <c r="C14" s="392" t="s">
        <v>13</v>
      </c>
      <c r="D14" s="393"/>
      <c r="E14" s="231">
        <f>0.86</f>
        <v>0.86</v>
      </c>
      <c r="F14" s="368" t="s">
        <v>6</v>
      </c>
      <c r="G14" s="4">
        <v>0.61</v>
      </c>
      <c r="I14" s="392" t="s">
        <v>13</v>
      </c>
      <c r="J14" s="393"/>
      <c r="K14" s="231">
        <f>0.93</f>
        <v>0.93</v>
      </c>
      <c r="L14" s="368" t="s">
        <v>6</v>
      </c>
      <c r="M14" s="4">
        <f>0.69</f>
        <v>0.69</v>
      </c>
      <c r="O14" s="392" t="s">
        <v>13</v>
      </c>
      <c r="P14" s="393"/>
      <c r="Q14" s="231">
        <v>0.9</v>
      </c>
      <c r="R14" s="368" t="s">
        <v>6</v>
      </c>
      <c r="S14" s="4">
        <v>0.55000000000000004</v>
      </c>
      <c r="U14" s="392" t="s">
        <v>13</v>
      </c>
      <c r="V14" s="393"/>
      <c r="W14" s="231">
        <v>0.9</v>
      </c>
      <c r="X14" s="368" t="s">
        <v>6</v>
      </c>
      <c r="Y14" s="4">
        <v>0.55000000000000004</v>
      </c>
      <c r="AA14" s="392" t="s">
        <v>13</v>
      </c>
      <c r="AB14" s="393"/>
      <c r="AC14" s="231">
        <v>0.93</v>
      </c>
      <c r="AD14" s="368" t="s">
        <v>6</v>
      </c>
      <c r="AE14" s="4">
        <f t="shared" ref="AE14" si="4">0.69</f>
        <v>0.69</v>
      </c>
      <c r="AG14" s="392" t="s">
        <v>13</v>
      </c>
      <c r="AH14" s="393"/>
      <c r="AI14" s="231">
        <f t="shared" ref="AI14" si="5">0.92</f>
        <v>0.92</v>
      </c>
      <c r="AJ14" s="368" t="s">
        <v>6</v>
      </c>
      <c r="AK14" s="4">
        <f t="shared" ref="AK14" si="6">0.69</f>
        <v>0.69</v>
      </c>
    </row>
    <row r="15" spans="2:37" x14ac:dyDescent="0.25">
      <c r="C15" s="387" t="s">
        <v>12</v>
      </c>
      <c r="D15" s="388"/>
      <c r="E15" s="231">
        <v>0.81</v>
      </c>
      <c r="F15" s="368" t="s">
        <v>5</v>
      </c>
      <c r="G15" s="4">
        <v>0.56999999999999995</v>
      </c>
      <c r="I15" s="387" t="s">
        <v>12</v>
      </c>
      <c r="J15" s="388"/>
      <c r="K15" s="231">
        <v>0.9</v>
      </c>
      <c r="L15" s="368" t="s">
        <v>5</v>
      </c>
      <c r="M15" s="4">
        <f>0.66</f>
        <v>0.66</v>
      </c>
      <c r="O15" s="387" t="s">
        <v>12</v>
      </c>
      <c r="P15" s="388"/>
      <c r="Q15" s="231">
        <v>0.85</v>
      </c>
      <c r="R15" s="368" t="s">
        <v>5</v>
      </c>
      <c r="S15" s="4">
        <v>0.5</v>
      </c>
      <c r="U15" s="387" t="s">
        <v>12</v>
      </c>
      <c r="V15" s="388"/>
      <c r="W15" s="231">
        <v>0.85</v>
      </c>
      <c r="X15" s="368" t="s">
        <v>5</v>
      </c>
      <c r="Y15" s="4">
        <v>0.5</v>
      </c>
      <c r="AA15" s="387" t="s">
        <v>12</v>
      </c>
      <c r="AB15" s="388"/>
      <c r="AC15" s="231">
        <v>0.9</v>
      </c>
      <c r="AD15" s="368" t="s">
        <v>5</v>
      </c>
      <c r="AE15" s="4">
        <f t="shared" ref="AE15" si="7">0.66</f>
        <v>0.66</v>
      </c>
      <c r="AG15" s="387" t="s">
        <v>12</v>
      </c>
      <c r="AH15" s="388"/>
      <c r="AI15" s="231">
        <f t="shared" ref="AI15" si="8">0.89</f>
        <v>0.89</v>
      </c>
      <c r="AJ15" s="368" t="s">
        <v>5</v>
      </c>
      <c r="AK15" s="4">
        <f t="shared" ref="AK15" si="9">0.66</f>
        <v>0.66</v>
      </c>
    </row>
    <row r="16" spans="2:37" x14ac:dyDescent="0.25">
      <c r="C16" s="387" t="s">
        <v>11</v>
      </c>
      <c r="D16" s="388"/>
      <c r="E16" s="231">
        <v>0.79</v>
      </c>
      <c r="F16" s="368" t="s">
        <v>4</v>
      </c>
      <c r="G16" s="4">
        <v>0.51</v>
      </c>
      <c r="I16" s="387" t="s">
        <v>11</v>
      </c>
      <c r="J16" s="388"/>
      <c r="K16" s="231">
        <v>0.87</v>
      </c>
      <c r="L16" s="368" t="s">
        <v>4</v>
      </c>
      <c r="M16" s="4">
        <f>0.61</f>
        <v>0.61</v>
      </c>
      <c r="O16" s="387" t="s">
        <v>11</v>
      </c>
      <c r="P16" s="388"/>
      <c r="Q16" s="231">
        <v>0.8</v>
      </c>
      <c r="R16" s="368" t="s">
        <v>4</v>
      </c>
      <c r="S16" s="4">
        <v>0.45</v>
      </c>
      <c r="U16" s="387" t="s">
        <v>11</v>
      </c>
      <c r="V16" s="388"/>
      <c r="W16" s="231">
        <v>0.8</v>
      </c>
      <c r="X16" s="368" t="s">
        <v>4</v>
      </c>
      <c r="Y16" s="4">
        <v>0.45</v>
      </c>
      <c r="AA16" s="387" t="s">
        <v>11</v>
      </c>
      <c r="AB16" s="388"/>
      <c r="AC16" s="231">
        <v>0.87</v>
      </c>
      <c r="AD16" s="368" t="s">
        <v>4</v>
      </c>
      <c r="AE16" s="4">
        <f t="shared" ref="AE16" si="10">0.61</f>
        <v>0.61</v>
      </c>
      <c r="AG16" s="387" t="s">
        <v>11</v>
      </c>
      <c r="AH16" s="388"/>
      <c r="AI16" s="231">
        <f t="shared" ref="AI16" si="11">0.86</f>
        <v>0.86</v>
      </c>
      <c r="AJ16" s="368" t="s">
        <v>4</v>
      </c>
      <c r="AK16" s="4">
        <f t="shared" ref="AK16" si="12">0.61</f>
        <v>0.61</v>
      </c>
    </row>
    <row r="17" spans="3:37" x14ac:dyDescent="0.25">
      <c r="C17" s="387" t="s">
        <v>10</v>
      </c>
      <c r="D17" s="388"/>
      <c r="E17" s="231">
        <v>0.76</v>
      </c>
      <c r="F17" s="368" t="s">
        <v>3</v>
      </c>
      <c r="G17" s="4">
        <v>0.47</v>
      </c>
      <c r="I17" s="387" t="s">
        <v>10</v>
      </c>
      <c r="J17" s="388"/>
      <c r="K17" s="231">
        <v>0.83</v>
      </c>
      <c r="L17" s="368" t="s">
        <v>3</v>
      </c>
      <c r="M17" s="4">
        <v>0.56999999999999995</v>
      </c>
      <c r="O17" s="387" t="s">
        <v>10</v>
      </c>
      <c r="P17" s="388"/>
      <c r="Q17" s="231">
        <v>0.75</v>
      </c>
      <c r="R17" s="368" t="s">
        <v>3</v>
      </c>
      <c r="S17" s="4">
        <v>0.41</v>
      </c>
      <c r="U17" s="387" t="s">
        <v>10</v>
      </c>
      <c r="V17" s="388"/>
      <c r="W17" s="231">
        <v>0.75</v>
      </c>
      <c r="X17" s="368" t="s">
        <v>3</v>
      </c>
      <c r="Y17" s="4">
        <v>0.4</v>
      </c>
      <c r="AA17" s="387" t="s">
        <v>10</v>
      </c>
      <c r="AB17" s="388"/>
      <c r="AC17" s="231">
        <v>0.83</v>
      </c>
      <c r="AD17" s="368" t="s">
        <v>3</v>
      </c>
      <c r="AE17" s="4">
        <v>0.56999999999999995</v>
      </c>
      <c r="AG17" s="387" t="s">
        <v>10</v>
      </c>
      <c r="AH17" s="388"/>
      <c r="AI17" s="231">
        <f t="shared" ref="AI17" si="13">0.81</f>
        <v>0.81</v>
      </c>
      <c r="AJ17" s="368" t="s">
        <v>3</v>
      </c>
      <c r="AK17" s="4">
        <v>10002</v>
      </c>
    </row>
    <row r="18" spans="3:37" x14ac:dyDescent="0.25">
      <c r="C18" s="387" t="s">
        <v>9</v>
      </c>
      <c r="D18" s="388"/>
      <c r="E18" s="231">
        <v>0.71</v>
      </c>
      <c r="F18" s="7" t="s">
        <v>2</v>
      </c>
      <c r="G18" s="270">
        <v>0.45</v>
      </c>
      <c r="I18" s="387" t="s">
        <v>9</v>
      </c>
      <c r="J18" s="388"/>
      <c r="K18" s="231">
        <v>0.8</v>
      </c>
      <c r="L18" s="7" t="s">
        <v>2</v>
      </c>
      <c r="M18" s="6">
        <f>0.5</f>
        <v>0.5</v>
      </c>
      <c r="O18" s="387" t="s">
        <v>9</v>
      </c>
      <c r="P18" s="388"/>
      <c r="Q18" s="231">
        <v>0.7</v>
      </c>
      <c r="R18" s="7" t="s">
        <v>2</v>
      </c>
      <c r="S18" s="6">
        <v>0.4</v>
      </c>
      <c r="U18" s="387" t="s">
        <v>9</v>
      </c>
      <c r="V18" s="388"/>
      <c r="W18" s="231">
        <v>0.7</v>
      </c>
      <c r="X18" s="7" t="s">
        <v>2</v>
      </c>
      <c r="Y18" s="6" t="s">
        <v>430</v>
      </c>
      <c r="AA18" s="387" t="s">
        <v>9</v>
      </c>
      <c r="AB18" s="388"/>
      <c r="AC18" s="231">
        <v>0.8</v>
      </c>
      <c r="AD18" s="7" t="s">
        <v>2</v>
      </c>
      <c r="AE18" s="6">
        <f t="shared" ref="AE18" si="14">0.5</f>
        <v>0.5</v>
      </c>
      <c r="AG18" s="387" t="s">
        <v>9</v>
      </c>
      <c r="AH18" s="388"/>
      <c r="AI18" s="231">
        <f t="shared" ref="AI18" si="15">0.79</f>
        <v>0.79</v>
      </c>
      <c r="AJ18" s="7" t="s">
        <v>2</v>
      </c>
      <c r="AK18" s="6">
        <f t="shared" ref="AK18" si="16">0.5</f>
        <v>0.5</v>
      </c>
    </row>
    <row r="19" spans="3:37" x14ac:dyDescent="0.25">
      <c r="C19" s="387" t="s">
        <v>8</v>
      </c>
      <c r="D19" s="388"/>
      <c r="E19" s="231">
        <f>0.69</f>
        <v>0.69</v>
      </c>
      <c r="F19" s="368" t="s">
        <v>1</v>
      </c>
      <c r="G19" s="4">
        <f>G17</f>
        <v>0.47</v>
      </c>
      <c r="I19" s="387" t="s">
        <v>8</v>
      </c>
      <c r="J19" s="388"/>
      <c r="K19" s="231">
        <v>0.77</v>
      </c>
      <c r="L19" s="368" t="s">
        <v>1</v>
      </c>
      <c r="M19" s="4">
        <f>M17</f>
        <v>0.56999999999999995</v>
      </c>
      <c r="O19" s="387" t="s">
        <v>8</v>
      </c>
      <c r="P19" s="388"/>
      <c r="Q19" s="231">
        <v>0.65</v>
      </c>
      <c r="R19" s="368" t="s">
        <v>1</v>
      </c>
      <c r="S19" s="4">
        <f>S17</f>
        <v>0.41</v>
      </c>
      <c r="U19" s="387" t="s">
        <v>8</v>
      </c>
      <c r="V19" s="388"/>
      <c r="W19" s="231">
        <v>0.65</v>
      </c>
      <c r="X19" s="368" t="s">
        <v>1</v>
      </c>
      <c r="Y19" s="4">
        <f>Y17</f>
        <v>0.4</v>
      </c>
      <c r="AA19" s="387" t="s">
        <v>8</v>
      </c>
      <c r="AB19" s="388"/>
      <c r="AC19" s="231">
        <v>0.77</v>
      </c>
      <c r="AD19" s="368" t="s">
        <v>1</v>
      </c>
      <c r="AE19" s="4">
        <v>0.6</v>
      </c>
      <c r="AG19" s="387" t="s">
        <v>8</v>
      </c>
      <c r="AH19" s="388"/>
      <c r="AI19" s="231">
        <f t="shared" ref="AI19" si="17">0.76</f>
        <v>0.76</v>
      </c>
      <c r="AJ19" s="368" t="s">
        <v>1</v>
      </c>
      <c r="AK19" s="4">
        <f>0.6</f>
        <v>0.6</v>
      </c>
    </row>
    <row r="20" spans="3:37" ht="15.75" thickBot="1" x14ac:dyDescent="0.3">
      <c r="C20" s="406" t="s">
        <v>7</v>
      </c>
      <c r="D20" s="407"/>
      <c r="E20" s="232">
        <v>0.66</v>
      </c>
      <c r="F20" s="367" t="s">
        <v>0</v>
      </c>
      <c r="G20" s="2">
        <f>IFERROR(H29/F20,0)</f>
        <v>0</v>
      </c>
      <c r="I20" s="406" t="s">
        <v>7</v>
      </c>
      <c r="J20" s="407"/>
      <c r="K20" s="232">
        <v>0.7</v>
      </c>
      <c r="L20" s="367" t="s">
        <v>0</v>
      </c>
      <c r="M20" s="2">
        <f>IFERROR(N29/L20,0)</f>
        <v>0</v>
      </c>
      <c r="O20" s="406" t="s">
        <v>7</v>
      </c>
      <c r="P20" s="407"/>
      <c r="Q20" s="232">
        <v>0.6</v>
      </c>
      <c r="R20" s="367" t="s">
        <v>0</v>
      </c>
      <c r="S20" s="2">
        <f t="shared" ref="S20" si="18">IFERROR(T29/R20,0)</f>
        <v>0</v>
      </c>
      <c r="U20" s="406" t="s">
        <v>7</v>
      </c>
      <c r="V20" s="407"/>
      <c r="W20" s="232">
        <v>0.6</v>
      </c>
      <c r="X20" s="367" t="s">
        <v>0</v>
      </c>
      <c r="Y20" s="2">
        <f t="shared" ref="Y20" si="19">IFERROR(Z29/X20,0)</f>
        <v>0</v>
      </c>
      <c r="AA20" s="406" t="s">
        <v>7</v>
      </c>
      <c r="AB20" s="407"/>
      <c r="AC20" s="232">
        <v>0.7</v>
      </c>
      <c r="AD20" s="367" t="s">
        <v>0</v>
      </c>
      <c r="AE20" s="2">
        <f t="shared" ref="AE20" si="20">IFERROR(AF29/AD20,0)</f>
        <v>0</v>
      </c>
      <c r="AG20" s="406" t="s">
        <v>7</v>
      </c>
      <c r="AH20" s="407"/>
      <c r="AI20" s="232">
        <f t="shared" ref="AI20" si="21">0.71</f>
        <v>0.71</v>
      </c>
      <c r="AJ20" s="367" t="s">
        <v>0</v>
      </c>
      <c r="AK20" s="2">
        <f t="shared" ref="AK20" si="22">IFERROR(AL29/AJ20,0)</f>
        <v>0</v>
      </c>
    </row>
    <row r="21" spans="3:37" ht="15" customHeight="1" thickTop="1" thickBot="1" x14ac:dyDescent="0.3"/>
    <row r="22" spans="3:37" ht="16.5" thickTop="1" thickBot="1" x14ac:dyDescent="0.3">
      <c r="C22" s="408" t="s">
        <v>426</v>
      </c>
      <c r="D22" s="409"/>
      <c r="E22" s="409"/>
      <c r="F22" s="409"/>
      <c r="G22" s="410"/>
      <c r="I22" s="408" t="s">
        <v>94</v>
      </c>
      <c r="J22" s="409"/>
      <c r="K22" s="409"/>
      <c r="L22" s="409"/>
      <c r="M22" s="410"/>
      <c r="O22" s="408" t="s">
        <v>94</v>
      </c>
      <c r="P22" s="409"/>
      <c r="Q22" s="409"/>
      <c r="R22" s="409"/>
      <c r="S22" s="410"/>
      <c r="U22" s="408" t="s">
        <v>92</v>
      </c>
      <c r="V22" s="409"/>
      <c r="W22" s="409"/>
      <c r="X22" s="409"/>
      <c r="Y22" s="410"/>
      <c r="AA22" s="408" t="s">
        <v>320</v>
      </c>
      <c r="AB22" s="409"/>
      <c r="AC22" s="409"/>
      <c r="AD22" s="409"/>
      <c r="AE22" s="410"/>
      <c r="AG22" s="408" t="s">
        <v>363</v>
      </c>
      <c r="AH22" s="409"/>
      <c r="AI22" s="409"/>
      <c r="AJ22" s="409"/>
      <c r="AK22" s="410"/>
    </row>
    <row r="23" spans="3:37" ht="16.5" thickTop="1" thickBot="1" x14ac:dyDescent="0.3">
      <c r="C23" s="237">
        <v>6</v>
      </c>
      <c r="D23" s="235" t="s">
        <v>326</v>
      </c>
      <c r="E23" s="236">
        <v>6</v>
      </c>
      <c r="F23" s="233" t="s">
        <v>19</v>
      </c>
      <c r="G23" s="234">
        <f>1/3</f>
        <v>0.33333333333333331</v>
      </c>
      <c r="I23" s="237">
        <v>5</v>
      </c>
      <c r="J23" s="235" t="s">
        <v>326</v>
      </c>
      <c r="K23" s="236">
        <v>5</v>
      </c>
      <c r="L23" s="233" t="s">
        <v>19</v>
      </c>
      <c r="M23" s="234">
        <f>0.15</f>
        <v>0.15</v>
      </c>
      <c r="O23" s="237">
        <v>6</v>
      </c>
      <c r="P23" s="235" t="s">
        <v>326</v>
      </c>
      <c r="Q23" s="236">
        <v>6</v>
      </c>
      <c r="R23" s="233" t="s">
        <v>19</v>
      </c>
      <c r="S23" s="234">
        <f>0.15</f>
        <v>0.15</v>
      </c>
      <c r="U23" s="237">
        <v>11</v>
      </c>
      <c r="V23" s="235" t="s">
        <v>326</v>
      </c>
      <c r="W23" s="236">
        <v>11</v>
      </c>
      <c r="X23" s="233" t="s">
        <v>19</v>
      </c>
      <c r="Y23" s="234">
        <f>0.1</f>
        <v>0.1</v>
      </c>
      <c r="AA23" s="237">
        <v>14</v>
      </c>
      <c r="AB23" s="235" t="s">
        <v>326</v>
      </c>
      <c r="AC23" s="236">
        <v>14</v>
      </c>
      <c r="AD23" s="233" t="s">
        <v>19</v>
      </c>
      <c r="AE23" s="234">
        <f>0.1</f>
        <v>0.1</v>
      </c>
      <c r="AG23" s="237">
        <v>7</v>
      </c>
      <c r="AH23" s="235" t="s">
        <v>326</v>
      </c>
      <c r="AI23" s="236">
        <v>7</v>
      </c>
      <c r="AJ23" s="233" t="s">
        <v>19</v>
      </c>
      <c r="AK23" s="234">
        <f>0.45</f>
        <v>0.45</v>
      </c>
    </row>
    <row r="24" spans="3:37" ht="15.75" thickTop="1" x14ac:dyDescent="0.25">
      <c r="C24" s="238" t="s">
        <v>98</v>
      </c>
      <c r="D24" s="254">
        <f ca="1">SUM(EtCT:downtwo)</f>
        <v>576</v>
      </c>
      <c r="E24" s="254">
        <f ca="1">SUM(TtCT:downtwo)</f>
        <v>600</v>
      </c>
      <c r="F24" s="411">
        <f ca="1">IFERROR(D24/E24,0)</f>
        <v>0.96</v>
      </c>
      <c r="G24" s="412"/>
      <c r="I24" s="238" t="s">
        <v>98</v>
      </c>
      <c r="J24" s="254">
        <f ca="1">SUM(EtCT:downtwo)</f>
        <v>130</v>
      </c>
      <c r="K24" s="254">
        <f ca="1">SUM(TtCT:downtwo)</f>
        <v>365</v>
      </c>
      <c r="L24" s="411">
        <f ca="1">IFERROR(J24/K24,0)</f>
        <v>0.35616438356164382</v>
      </c>
      <c r="M24" s="412"/>
      <c r="O24" s="238" t="s">
        <v>98</v>
      </c>
      <c r="P24" s="254">
        <v>6</v>
      </c>
      <c r="Q24" s="254">
        <f>6</f>
        <v>6</v>
      </c>
      <c r="R24" s="411">
        <f>IFERROR(P24/Q24,0)</f>
        <v>1</v>
      </c>
      <c r="S24" s="412"/>
      <c r="U24" s="238" t="s">
        <v>98</v>
      </c>
      <c r="V24" s="254">
        <f ca="1">SUM(EtCT:downtwo)</f>
        <v>1075</v>
      </c>
      <c r="W24" s="254">
        <f ca="1">SUM(TtCT:downtwo)</f>
        <v>1100</v>
      </c>
      <c r="X24" s="411">
        <f ca="1">IFERROR(V24/W24,0)</f>
        <v>0.97727272727272729</v>
      </c>
      <c r="Y24" s="412"/>
      <c r="AA24" s="238" t="s">
        <v>98</v>
      </c>
      <c r="AB24" s="254">
        <f ca="1">SUM(EtCT:downtwo)</f>
        <v>25</v>
      </c>
      <c r="AC24" s="254">
        <f ca="1">SUM(TtCT:downtwo)</f>
        <v>38</v>
      </c>
      <c r="AD24" s="411">
        <f ca="1">IFERROR(AB24/AC24,0)</f>
        <v>0.65789473684210531</v>
      </c>
      <c r="AE24" s="412"/>
      <c r="AG24" s="238" t="s">
        <v>98</v>
      </c>
      <c r="AH24" s="254">
        <f ca="1">SUM(EtCT:downtwo)</f>
        <v>48</v>
      </c>
      <c r="AI24" s="254">
        <f ca="1">SUM(TtCT:downtwo)</f>
        <v>77</v>
      </c>
      <c r="AJ24" s="411">
        <f ca="1">IFERROR(AH24/AI24,0)</f>
        <v>0.62337662337662336</v>
      </c>
      <c r="AK24" s="412"/>
    </row>
    <row r="25" spans="3:37" ht="15.75" thickBot="1" x14ac:dyDescent="0.3">
      <c r="C25" s="239" t="s">
        <v>18</v>
      </c>
      <c r="D25" s="413" t="s">
        <v>17</v>
      </c>
      <c r="E25" s="413"/>
      <c r="F25" s="240" t="s">
        <v>16</v>
      </c>
      <c r="G25" s="241" t="s">
        <v>15</v>
      </c>
      <c r="I25" s="239" t="s">
        <v>18</v>
      </c>
      <c r="J25" s="413" t="s">
        <v>17</v>
      </c>
      <c r="K25" s="413"/>
      <c r="L25" s="240" t="s">
        <v>16</v>
      </c>
      <c r="M25" s="241" t="s">
        <v>15</v>
      </c>
      <c r="O25" s="239" t="s">
        <v>18</v>
      </c>
      <c r="P25" s="413" t="s">
        <v>17</v>
      </c>
      <c r="Q25" s="413"/>
      <c r="R25" s="240" t="s">
        <v>16</v>
      </c>
      <c r="S25" s="241" t="s">
        <v>15</v>
      </c>
      <c r="U25" s="239" t="s">
        <v>18</v>
      </c>
      <c r="V25" s="413" t="s">
        <v>17</v>
      </c>
      <c r="W25" s="413"/>
      <c r="X25" s="240" t="s">
        <v>16</v>
      </c>
      <c r="Y25" s="241" t="s">
        <v>15</v>
      </c>
      <c r="AA25" s="239" t="s">
        <v>18</v>
      </c>
      <c r="AB25" s="413" t="s">
        <v>17</v>
      </c>
      <c r="AC25" s="413"/>
      <c r="AD25" s="240" t="s">
        <v>16</v>
      </c>
      <c r="AE25" s="241" t="s">
        <v>15</v>
      </c>
      <c r="AG25" s="239" t="s">
        <v>18</v>
      </c>
      <c r="AH25" s="413" t="s">
        <v>17</v>
      </c>
      <c r="AI25" s="413"/>
      <c r="AJ25" s="240" t="s">
        <v>16</v>
      </c>
      <c r="AK25" s="241" t="s">
        <v>15</v>
      </c>
    </row>
    <row r="26" spans="3:37" ht="15.75" thickTop="1" x14ac:dyDescent="0.25">
      <c r="C26" s="11" t="s">
        <v>288</v>
      </c>
      <c r="D26" s="10">
        <v>98</v>
      </c>
      <c r="E26" s="10">
        <v>100</v>
      </c>
      <c r="F26" s="9">
        <f t="shared" ref="F26:F31" si="23">IFERROR(D26/E26,0)</f>
        <v>0.98</v>
      </c>
      <c r="G26" s="8" t="s">
        <v>479</v>
      </c>
      <c r="I26" s="11" t="s">
        <v>411</v>
      </c>
      <c r="J26" s="85">
        <v>30</v>
      </c>
      <c r="K26" s="10">
        <v>30</v>
      </c>
      <c r="L26" s="9">
        <f t="shared" ref="L26:L30" si="24">IFERROR(J26/K26,0)</f>
        <v>1</v>
      </c>
      <c r="M26" s="8"/>
      <c r="O26" s="11" t="s">
        <v>300</v>
      </c>
      <c r="P26" s="10">
        <v>1</v>
      </c>
      <c r="Q26" s="269" t="s">
        <v>434</v>
      </c>
      <c r="R26" s="9">
        <f t="shared" ref="R26:R31" si="25">IFERROR(P26/Q26,0)</f>
        <v>1</v>
      </c>
      <c r="S26" s="8" t="s">
        <v>270</v>
      </c>
      <c r="U26" s="170">
        <v>43868</v>
      </c>
      <c r="V26" s="72">
        <v>100</v>
      </c>
      <c r="W26" s="71">
        <v>100</v>
      </c>
      <c r="X26" s="63">
        <f t="shared" ref="X26:X36" si="26">IFERROR(V26/W26,0)</f>
        <v>1</v>
      </c>
      <c r="Y26" s="62"/>
      <c r="AA26" s="170">
        <v>43852</v>
      </c>
      <c r="AB26" s="65">
        <v>2</v>
      </c>
      <c r="AC26" s="64">
        <v>2</v>
      </c>
      <c r="AD26" s="63">
        <f t="shared" ref="AD26:AD38" si="27">IFERROR(AB26/AC26,0)</f>
        <v>1</v>
      </c>
      <c r="AE26" s="62"/>
      <c r="AG26" s="11" t="s">
        <v>47</v>
      </c>
      <c r="AH26" s="83">
        <v>5</v>
      </c>
      <c r="AI26" s="84">
        <v>5</v>
      </c>
      <c r="AJ26" s="9">
        <f t="shared" ref="AJ26:AJ32" si="28">IFERROR(AH26/AI26,0)</f>
        <v>1</v>
      </c>
      <c r="AK26" s="8" t="s">
        <v>488</v>
      </c>
    </row>
    <row r="27" spans="3:37" x14ac:dyDescent="0.25">
      <c r="C27" s="11" t="s">
        <v>289</v>
      </c>
      <c r="D27" s="71">
        <v>93</v>
      </c>
      <c r="E27" s="71">
        <v>100</v>
      </c>
      <c r="F27" s="63">
        <f t="shared" si="23"/>
        <v>0.93</v>
      </c>
      <c r="G27" s="76" t="s">
        <v>480</v>
      </c>
      <c r="I27" s="11" t="s">
        <v>348</v>
      </c>
      <c r="J27" s="72">
        <v>30</v>
      </c>
      <c r="K27" s="10">
        <v>30</v>
      </c>
      <c r="L27" s="63">
        <f t="shared" si="24"/>
        <v>1</v>
      </c>
      <c r="M27" s="76"/>
      <c r="O27" s="11" t="s">
        <v>301</v>
      </c>
      <c r="P27" s="10">
        <v>1</v>
      </c>
      <c r="Q27" s="269" t="s">
        <v>434</v>
      </c>
      <c r="R27" s="9">
        <f>IFERROR(P27/Q27,0)</f>
        <v>1</v>
      </c>
      <c r="S27" s="8" t="s">
        <v>270</v>
      </c>
      <c r="U27" s="170">
        <v>43875</v>
      </c>
      <c r="V27" s="72">
        <v>100</v>
      </c>
      <c r="W27" s="71">
        <v>100</v>
      </c>
      <c r="X27" s="63">
        <f t="shared" si="26"/>
        <v>1</v>
      </c>
      <c r="Y27" s="62"/>
      <c r="AA27" s="170">
        <v>43857</v>
      </c>
      <c r="AB27" s="65">
        <v>2</v>
      </c>
      <c r="AC27" s="64">
        <v>2</v>
      </c>
      <c r="AD27" s="63">
        <f t="shared" si="27"/>
        <v>1</v>
      </c>
      <c r="AE27" s="62"/>
      <c r="AG27" s="11" t="s">
        <v>43</v>
      </c>
      <c r="AH27" s="65">
        <v>0</v>
      </c>
      <c r="AI27" s="64">
        <v>12</v>
      </c>
      <c r="AJ27" s="63">
        <f t="shared" si="28"/>
        <v>0</v>
      </c>
      <c r="AK27" s="76" t="s">
        <v>489</v>
      </c>
    </row>
    <row r="28" spans="3:37" x14ac:dyDescent="0.25">
      <c r="C28" s="11" t="s">
        <v>290</v>
      </c>
      <c r="D28" s="71">
        <v>93</v>
      </c>
      <c r="E28" s="71">
        <v>100</v>
      </c>
      <c r="F28" s="63">
        <f t="shared" si="23"/>
        <v>0.93</v>
      </c>
      <c r="G28" s="62" t="s">
        <v>481</v>
      </c>
      <c r="I28" s="11" t="s">
        <v>368</v>
      </c>
      <c r="J28" s="72">
        <v>29</v>
      </c>
      <c r="K28" s="10">
        <v>30</v>
      </c>
      <c r="L28" s="63">
        <f t="shared" si="24"/>
        <v>0.96666666666666667</v>
      </c>
      <c r="M28" s="76"/>
      <c r="O28" s="11" t="s">
        <v>302</v>
      </c>
      <c r="P28" s="10">
        <v>1</v>
      </c>
      <c r="Q28" s="10">
        <v>1</v>
      </c>
      <c r="R28" s="9">
        <f>IFERROR(P28/Q28,0)</f>
        <v>1</v>
      </c>
      <c r="S28" s="8"/>
      <c r="U28" s="170">
        <v>43882</v>
      </c>
      <c r="V28" s="72">
        <v>100</v>
      </c>
      <c r="W28" s="71">
        <v>100</v>
      </c>
      <c r="X28" s="63">
        <f t="shared" si="26"/>
        <v>1</v>
      </c>
      <c r="Y28" s="62"/>
      <c r="AA28" s="170">
        <v>43859</v>
      </c>
      <c r="AB28" s="65">
        <v>2</v>
      </c>
      <c r="AC28" s="64">
        <v>2</v>
      </c>
      <c r="AD28" s="63">
        <f t="shared" si="27"/>
        <v>1</v>
      </c>
      <c r="AE28" s="62"/>
      <c r="AG28" s="11" t="s">
        <v>42</v>
      </c>
      <c r="AH28" s="65">
        <v>3</v>
      </c>
      <c r="AI28" s="64">
        <v>12</v>
      </c>
      <c r="AJ28" s="63">
        <f t="shared" si="28"/>
        <v>0.25</v>
      </c>
      <c r="AK28" s="62" t="s">
        <v>490</v>
      </c>
    </row>
    <row r="29" spans="3:37" x14ac:dyDescent="0.25">
      <c r="C29" s="11" t="s">
        <v>291</v>
      </c>
      <c r="D29" s="71">
        <v>97</v>
      </c>
      <c r="E29" s="71">
        <v>100</v>
      </c>
      <c r="F29" s="63">
        <f t="shared" si="23"/>
        <v>0.97</v>
      </c>
      <c r="G29" s="62" t="s">
        <v>11</v>
      </c>
      <c r="I29" s="11" t="s">
        <v>297</v>
      </c>
      <c r="J29" s="72">
        <v>0</v>
      </c>
      <c r="K29" s="10">
        <v>150</v>
      </c>
      <c r="L29" s="63">
        <f t="shared" si="24"/>
        <v>0</v>
      </c>
      <c r="M29" s="76"/>
      <c r="O29" s="11" t="s">
        <v>361</v>
      </c>
      <c r="P29" s="10">
        <v>1</v>
      </c>
      <c r="Q29" s="10">
        <v>1</v>
      </c>
      <c r="R29" s="63">
        <f t="shared" si="25"/>
        <v>1</v>
      </c>
      <c r="S29" s="62"/>
      <c r="U29" s="170">
        <v>43889</v>
      </c>
      <c r="V29" s="72">
        <v>100</v>
      </c>
      <c r="W29" s="71">
        <v>100</v>
      </c>
      <c r="X29" s="63">
        <f t="shared" si="26"/>
        <v>1</v>
      </c>
      <c r="Y29" s="62"/>
      <c r="AA29" s="66" t="s">
        <v>356</v>
      </c>
      <c r="AB29" s="65">
        <v>5</v>
      </c>
      <c r="AC29" s="64">
        <v>5</v>
      </c>
      <c r="AD29" s="63">
        <f t="shared" si="27"/>
        <v>1</v>
      </c>
      <c r="AE29" s="62"/>
      <c r="AG29" s="11" t="s">
        <v>41</v>
      </c>
      <c r="AH29" s="65">
        <v>6</v>
      </c>
      <c r="AI29" s="64">
        <v>12</v>
      </c>
      <c r="AJ29" s="63">
        <f t="shared" si="28"/>
        <v>0.5</v>
      </c>
      <c r="AK29" s="62" t="s">
        <v>491</v>
      </c>
    </row>
    <row r="30" spans="3:37" ht="15.75" thickBot="1" x14ac:dyDescent="0.3">
      <c r="C30" s="11" t="s">
        <v>351</v>
      </c>
      <c r="D30" s="71">
        <v>96</v>
      </c>
      <c r="E30" s="71">
        <v>100</v>
      </c>
      <c r="F30" s="63">
        <f t="shared" si="23"/>
        <v>0.96</v>
      </c>
      <c r="G30" s="62" t="s">
        <v>482</v>
      </c>
      <c r="I30" s="11" t="s">
        <v>367</v>
      </c>
      <c r="J30" s="72">
        <v>41</v>
      </c>
      <c r="K30" s="10">
        <v>125</v>
      </c>
      <c r="L30" s="63">
        <f t="shared" si="24"/>
        <v>0.32800000000000001</v>
      </c>
      <c r="M30" s="76"/>
      <c r="O30" s="11" t="s">
        <v>362</v>
      </c>
      <c r="P30" s="10">
        <v>0</v>
      </c>
      <c r="Q30" s="269" t="s">
        <v>434</v>
      </c>
      <c r="R30" s="63">
        <f t="shared" si="25"/>
        <v>0</v>
      </c>
      <c r="S30" s="76" t="s">
        <v>270</v>
      </c>
      <c r="U30" s="170">
        <v>43896</v>
      </c>
      <c r="V30" s="72">
        <v>100</v>
      </c>
      <c r="W30" s="71">
        <v>100</v>
      </c>
      <c r="X30" s="63">
        <f t="shared" si="26"/>
        <v>1</v>
      </c>
      <c r="Y30" s="62"/>
      <c r="AA30" s="170">
        <v>43864</v>
      </c>
      <c r="AB30" s="65">
        <v>2</v>
      </c>
      <c r="AC30" s="64">
        <v>2</v>
      </c>
      <c r="AD30" s="63">
        <f t="shared" si="27"/>
        <v>1</v>
      </c>
      <c r="AE30" s="62"/>
      <c r="AG30" s="11" t="s">
        <v>40</v>
      </c>
      <c r="AH30" s="65">
        <v>12</v>
      </c>
      <c r="AI30" s="64">
        <v>12</v>
      </c>
      <c r="AJ30" s="63">
        <f t="shared" si="28"/>
        <v>1</v>
      </c>
      <c r="AK30" s="76" t="s">
        <v>492</v>
      </c>
    </row>
    <row r="31" spans="3:37" ht="16.5" thickTop="1" thickBot="1" x14ac:dyDescent="0.3">
      <c r="C31" s="11" t="s">
        <v>352</v>
      </c>
      <c r="D31" s="71">
        <v>99</v>
      </c>
      <c r="E31" s="71">
        <v>100</v>
      </c>
      <c r="F31" s="63">
        <f t="shared" si="23"/>
        <v>0.99</v>
      </c>
      <c r="G31" s="62"/>
      <c r="I31" s="403"/>
      <c r="J31" s="404"/>
      <c r="K31" s="404"/>
      <c r="L31" s="404"/>
      <c r="M31" s="405"/>
      <c r="O31" s="11" t="s">
        <v>366</v>
      </c>
      <c r="P31" s="10">
        <v>1</v>
      </c>
      <c r="Q31" s="10">
        <v>1</v>
      </c>
      <c r="R31" s="63">
        <f t="shared" si="25"/>
        <v>1</v>
      </c>
      <c r="S31" s="62"/>
      <c r="U31" s="170">
        <v>43910</v>
      </c>
      <c r="V31" s="72">
        <v>100</v>
      </c>
      <c r="W31" s="71">
        <v>100</v>
      </c>
      <c r="X31" s="63">
        <f t="shared" si="26"/>
        <v>1</v>
      </c>
      <c r="Y31" s="62"/>
      <c r="AA31" s="66" t="s">
        <v>357</v>
      </c>
      <c r="AB31" s="65">
        <v>0</v>
      </c>
      <c r="AC31" s="64">
        <v>3</v>
      </c>
      <c r="AD31" s="63">
        <f t="shared" si="27"/>
        <v>0</v>
      </c>
      <c r="AE31" s="62" t="s">
        <v>359</v>
      </c>
      <c r="AG31" s="11" t="s">
        <v>39</v>
      </c>
      <c r="AH31" s="65">
        <v>10</v>
      </c>
      <c r="AI31" s="64">
        <v>12</v>
      </c>
      <c r="AJ31" s="63">
        <f t="shared" si="28"/>
        <v>0.83333333333333337</v>
      </c>
      <c r="AK31" s="62"/>
    </row>
    <row r="32" spans="3:37" ht="16.5" thickTop="1" thickBot="1" x14ac:dyDescent="0.3">
      <c r="C32" s="403"/>
      <c r="D32" s="404"/>
      <c r="E32" s="404"/>
      <c r="F32" s="404"/>
      <c r="G32" s="405"/>
      <c r="O32" s="403"/>
      <c r="P32" s="404"/>
      <c r="Q32" s="404"/>
      <c r="R32" s="404"/>
      <c r="S32" s="405"/>
      <c r="U32" s="170">
        <v>43917</v>
      </c>
      <c r="V32" s="72">
        <v>100</v>
      </c>
      <c r="W32" s="71">
        <v>100</v>
      </c>
      <c r="X32" s="63">
        <f t="shared" si="26"/>
        <v>1</v>
      </c>
      <c r="Y32" s="62"/>
      <c r="AA32" s="170">
        <v>43885</v>
      </c>
      <c r="AB32" s="65">
        <v>2</v>
      </c>
      <c r="AC32" s="64">
        <v>2</v>
      </c>
      <c r="AD32" s="63">
        <f t="shared" si="27"/>
        <v>1</v>
      </c>
      <c r="AE32" s="62"/>
      <c r="AG32" s="11" t="s">
        <v>38</v>
      </c>
      <c r="AH32" s="65">
        <v>12</v>
      </c>
      <c r="AI32" s="64">
        <v>12</v>
      </c>
      <c r="AJ32" s="63">
        <f t="shared" si="28"/>
        <v>1</v>
      </c>
      <c r="AK32" s="62"/>
    </row>
    <row r="33" spans="3:37" ht="16.5" thickTop="1" thickBot="1" x14ac:dyDescent="0.3">
      <c r="I33" s="408" t="s">
        <v>27</v>
      </c>
      <c r="J33" s="409"/>
      <c r="K33" s="409"/>
      <c r="L33" s="409"/>
      <c r="M33" s="410"/>
      <c r="U33" s="170">
        <v>43924</v>
      </c>
      <c r="V33" s="72">
        <v>100</v>
      </c>
      <c r="W33" s="71">
        <v>100</v>
      </c>
      <c r="X33" s="63">
        <f t="shared" si="26"/>
        <v>1</v>
      </c>
      <c r="Y33" s="62"/>
      <c r="AA33" s="170">
        <v>43887</v>
      </c>
      <c r="AB33" s="65">
        <v>2</v>
      </c>
      <c r="AC33" s="64">
        <v>2</v>
      </c>
      <c r="AD33" s="63">
        <f t="shared" si="27"/>
        <v>1</v>
      </c>
      <c r="AE33" s="62"/>
      <c r="AG33" s="403"/>
      <c r="AH33" s="404"/>
      <c r="AI33" s="404"/>
      <c r="AJ33" s="404"/>
      <c r="AK33" s="405"/>
    </row>
    <row r="34" spans="3:37" ht="16.5" thickTop="1" thickBot="1" x14ac:dyDescent="0.3">
      <c r="C34" s="408" t="s">
        <v>22</v>
      </c>
      <c r="D34" s="409"/>
      <c r="E34" s="409"/>
      <c r="F34" s="409"/>
      <c r="G34" s="410"/>
      <c r="I34" s="237">
        <v>4</v>
      </c>
      <c r="J34" s="235" t="s">
        <v>326</v>
      </c>
      <c r="K34" s="236">
        <v>4</v>
      </c>
      <c r="L34" s="233" t="s">
        <v>19</v>
      </c>
      <c r="M34" s="234">
        <f>0.3</f>
        <v>0.3</v>
      </c>
      <c r="O34" s="408" t="s">
        <v>299</v>
      </c>
      <c r="P34" s="409"/>
      <c r="Q34" s="409"/>
      <c r="R34" s="409"/>
      <c r="S34" s="410"/>
      <c r="U34" s="170">
        <v>43931</v>
      </c>
      <c r="V34" s="72">
        <v>100</v>
      </c>
      <c r="W34" s="71">
        <v>100</v>
      </c>
      <c r="X34" s="63">
        <f t="shared" si="26"/>
        <v>1</v>
      </c>
      <c r="Y34" s="62"/>
      <c r="AA34" s="170">
        <v>43892</v>
      </c>
      <c r="AB34" s="65">
        <v>2</v>
      </c>
      <c r="AC34" s="64">
        <v>2</v>
      </c>
      <c r="AD34" s="63">
        <f t="shared" si="27"/>
        <v>1</v>
      </c>
      <c r="AE34" s="62"/>
    </row>
    <row r="35" spans="3:37" ht="16.5" thickTop="1" thickBot="1" x14ac:dyDescent="0.3">
      <c r="C35" s="237">
        <v>3</v>
      </c>
      <c r="D35" s="235" t="s">
        <v>326</v>
      </c>
      <c r="E35" s="236">
        <v>3</v>
      </c>
      <c r="F35" s="233" t="s">
        <v>19</v>
      </c>
      <c r="G35" s="234">
        <f>1/3</f>
        <v>0.33333333333333331</v>
      </c>
      <c r="I35" s="238" t="s">
        <v>98</v>
      </c>
      <c r="J35" s="254">
        <f ca="1">SUM(EtCT:downtwo)</f>
        <v>205</v>
      </c>
      <c r="K35" s="254">
        <f ca="1">SUM(TtCT:downtwo)</f>
        <v>300</v>
      </c>
      <c r="L35" s="411">
        <f ca="1">IFERROR(J35/K35,0)</f>
        <v>0.68333333333333335</v>
      </c>
      <c r="M35" s="412"/>
      <c r="O35" s="237">
        <v>1</v>
      </c>
      <c r="P35" s="235" t="s">
        <v>326</v>
      </c>
      <c r="Q35" s="236">
        <v>1</v>
      </c>
      <c r="R35" s="233" t="s">
        <v>19</v>
      </c>
      <c r="S35" s="234">
        <f>0.4</f>
        <v>0.4</v>
      </c>
      <c r="U35" s="170">
        <v>43938</v>
      </c>
      <c r="V35" s="72">
        <v>75</v>
      </c>
      <c r="W35" s="71">
        <v>100</v>
      </c>
      <c r="X35" s="63">
        <f t="shared" si="26"/>
        <v>0.75</v>
      </c>
      <c r="Y35" s="62" t="s">
        <v>435</v>
      </c>
      <c r="AA35" s="170">
        <v>43894</v>
      </c>
      <c r="AB35" s="65">
        <v>2</v>
      </c>
      <c r="AC35" s="64">
        <v>2</v>
      </c>
      <c r="AD35" s="63">
        <f t="shared" si="27"/>
        <v>1</v>
      </c>
      <c r="AE35" s="62"/>
      <c r="AG35" s="408" t="s">
        <v>364</v>
      </c>
      <c r="AH35" s="409"/>
      <c r="AI35" s="409"/>
      <c r="AJ35" s="409"/>
      <c r="AK35" s="410"/>
    </row>
    <row r="36" spans="3:37" ht="16.5" thickTop="1" thickBot="1" x14ac:dyDescent="0.3">
      <c r="C36" s="238" t="s">
        <v>98</v>
      </c>
      <c r="D36" s="254">
        <f ca="1">SUM(EtCT:downtwo)</f>
        <v>75</v>
      </c>
      <c r="E36" s="254">
        <f ca="1">SUM(TtCT:downtwo)</f>
        <v>100</v>
      </c>
      <c r="F36" s="411">
        <f ca="1">IFERROR(D36/E36,0)</f>
        <v>0.75</v>
      </c>
      <c r="G36" s="412"/>
      <c r="I36" s="239" t="s">
        <v>18</v>
      </c>
      <c r="J36" s="413" t="s">
        <v>17</v>
      </c>
      <c r="K36" s="413"/>
      <c r="L36" s="240" t="s">
        <v>16</v>
      </c>
      <c r="M36" s="241" t="s">
        <v>15</v>
      </c>
      <c r="O36" s="238" t="s">
        <v>98</v>
      </c>
      <c r="P36" s="254">
        <f ca="1">SUM(EtCT:downtwo)</f>
        <v>43</v>
      </c>
      <c r="Q36" s="254">
        <f ca="1">SUM(TtCT:downtwo)</f>
        <v>80</v>
      </c>
      <c r="R36" s="411">
        <f ca="1">IFERROR(P36/Q36,0)</f>
        <v>0.53749999999999998</v>
      </c>
      <c r="S36" s="412"/>
      <c r="U36" s="170">
        <v>43945</v>
      </c>
      <c r="V36" s="72">
        <v>100</v>
      </c>
      <c r="W36" s="71">
        <v>100</v>
      </c>
      <c r="X36" s="63">
        <f t="shared" si="26"/>
        <v>1</v>
      </c>
      <c r="Y36" s="62"/>
      <c r="AA36" s="170">
        <v>43899</v>
      </c>
      <c r="AB36" s="65">
        <v>2</v>
      </c>
      <c r="AC36" s="64">
        <v>2</v>
      </c>
      <c r="AD36" s="63">
        <f t="shared" si="27"/>
        <v>1</v>
      </c>
      <c r="AE36" s="62"/>
      <c r="AG36" s="237">
        <v>1</v>
      </c>
      <c r="AH36" s="235" t="s">
        <v>326</v>
      </c>
      <c r="AI36" s="236">
        <v>1</v>
      </c>
      <c r="AJ36" s="233" t="s">
        <v>19</v>
      </c>
      <c r="AK36" s="234">
        <f>0.15</f>
        <v>0.15</v>
      </c>
    </row>
    <row r="37" spans="3:37" ht="16.5" thickTop="1" thickBot="1" x14ac:dyDescent="0.3">
      <c r="C37" s="239" t="s">
        <v>18</v>
      </c>
      <c r="D37" s="413" t="s">
        <v>17</v>
      </c>
      <c r="E37" s="413"/>
      <c r="F37" s="240" t="s">
        <v>16</v>
      </c>
      <c r="G37" s="241" t="s">
        <v>15</v>
      </c>
      <c r="I37" s="53" t="s">
        <v>22</v>
      </c>
      <c r="J37" s="52">
        <v>52</v>
      </c>
      <c r="K37" s="51">
        <v>100</v>
      </c>
      <c r="L37" s="50">
        <f>IFERROR(J37/K37,0)</f>
        <v>0.52</v>
      </c>
      <c r="M37" s="49"/>
      <c r="O37" s="239" t="s">
        <v>18</v>
      </c>
      <c r="P37" s="413" t="s">
        <v>17</v>
      </c>
      <c r="Q37" s="413"/>
      <c r="R37" s="240" t="s">
        <v>16</v>
      </c>
      <c r="S37" s="241" t="s">
        <v>15</v>
      </c>
      <c r="U37" s="403"/>
      <c r="V37" s="404"/>
      <c r="W37" s="404"/>
      <c r="X37" s="404"/>
      <c r="Y37" s="405"/>
      <c r="AA37" s="170">
        <v>43901</v>
      </c>
      <c r="AB37" s="65">
        <v>2</v>
      </c>
      <c r="AC37" s="64">
        <v>2</v>
      </c>
      <c r="AD37" s="63">
        <f t="shared" si="27"/>
        <v>1</v>
      </c>
      <c r="AE37" s="62"/>
      <c r="AG37" s="238" t="s">
        <v>98</v>
      </c>
      <c r="AH37" s="254">
        <f ca="1">SUM(EtCT:downtwo)</f>
        <v>50</v>
      </c>
      <c r="AI37" s="254">
        <f ca="1">SUM(TtCT:downtwo)</f>
        <v>50</v>
      </c>
      <c r="AJ37" s="411">
        <f ca="1">IFERROR(AH37/AI37,0)</f>
        <v>1</v>
      </c>
      <c r="AK37" s="412"/>
    </row>
    <row r="38" spans="3:37" ht="16.5" thickTop="1" thickBot="1" x14ac:dyDescent="0.3">
      <c r="C38" s="11" t="s">
        <v>292</v>
      </c>
      <c r="D38" s="10">
        <v>17</v>
      </c>
      <c r="E38" s="10">
        <f>30</f>
        <v>30</v>
      </c>
      <c r="F38" s="9">
        <f>IFERROR(D38/E38,0)</f>
        <v>0.56666666666666665</v>
      </c>
      <c r="G38" s="8"/>
      <c r="I38" s="48" t="s">
        <v>20</v>
      </c>
      <c r="J38" s="47">
        <v>76</v>
      </c>
      <c r="K38" s="46">
        <v>100</v>
      </c>
      <c r="L38" s="102">
        <f>IFERROR(J38/K38,0)</f>
        <v>0.76</v>
      </c>
      <c r="M38" s="44"/>
      <c r="O38" s="11" t="s">
        <v>16</v>
      </c>
      <c r="P38" s="10">
        <v>43</v>
      </c>
      <c r="Q38" s="10">
        <v>80</v>
      </c>
      <c r="R38" s="9">
        <f>IFERROR(P38/Q38,0)</f>
        <v>0.53749999999999998</v>
      </c>
      <c r="S38" s="8"/>
      <c r="AA38" s="66" t="s">
        <v>358</v>
      </c>
      <c r="AB38" s="65">
        <v>0</v>
      </c>
      <c r="AC38" s="64">
        <v>5</v>
      </c>
      <c r="AD38" s="63">
        <f t="shared" si="27"/>
        <v>0</v>
      </c>
      <c r="AE38" s="62" t="s">
        <v>359</v>
      </c>
      <c r="AG38" s="239" t="s">
        <v>18</v>
      </c>
      <c r="AH38" s="413" t="s">
        <v>17</v>
      </c>
      <c r="AI38" s="413"/>
      <c r="AJ38" s="240" t="s">
        <v>16</v>
      </c>
      <c r="AK38" s="241" t="s">
        <v>15</v>
      </c>
    </row>
    <row r="39" spans="3:37" ht="16.5" thickTop="1" thickBot="1" x14ac:dyDescent="0.3">
      <c r="C39" s="11" t="s">
        <v>293</v>
      </c>
      <c r="D39" s="10">
        <v>34</v>
      </c>
      <c r="E39" s="10">
        <f>35</f>
        <v>35</v>
      </c>
      <c r="F39" s="9">
        <f>IFERROR(D39/E39,0)</f>
        <v>0.97142857142857142</v>
      </c>
      <c r="G39" s="8"/>
      <c r="I39" s="48" t="s">
        <v>369</v>
      </c>
      <c r="J39" s="47">
        <v>22</v>
      </c>
      <c r="K39" s="46">
        <v>40</v>
      </c>
      <c r="L39" s="45">
        <f>IFERROR(J39/K39,0)</f>
        <v>0.55000000000000004</v>
      </c>
      <c r="M39" s="44"/>
      <c r="O39" s="403"/>
      <c r="P39" s="404"/>
      <c r="Q39" s="404"/>
      <c r="R39" s="404"/>
      <c r="S39" s="405"/>
      <c r="U39" s="408" t="s">
        <v>304</v>
      </c>
      <c r="V39" s="409"/>
      <c r="W39" s="409"/>
      <c r="X39" s="409"/>
      <c r="Y39" s="410"/>
      <c r="AA39" s="66" t="s">
        <v>360</v>
      </c>
      <c r="AB39" s="65">
        <v>0</v>
      </c>
      <c r="AC39" s="64">
        <v>5</v>
      </c>
      <c r="AD39" s="63">
        <f>IFERROR(AB39/AC39,0)</f>
        <v>0</v>
      </c>
      <c r="AE39" s="62" t="s">
        <v>359</v>
      </c>
      <c r="AG39" s="11" t="s">
        <v>16</v>
      </c>
      <c r="AH39" s="83">
        <v>50</v>
      </c>
      <c r="AI39" s="84">
        <v>50</v>
      </c>
      <c r="AJ39" s="9">
        <f>IFERROR(AH39/AI39,0)</f>
        <v>1</v>
      </c>
      <c r="AK39" s="8"/>
    </row>
    <row r="40" spans="3:37" ht="16.5" thickTop="1" thickBot="1" x14ac:dyDescent="0.3">
      <c r="C40" s="11" t="s">
        <v>294</v>
      </c>
      <c r="D40" s="10">
        <v>24</v>
      </c>
      <c r="E40" s="10">
        <f>35</f>
        <v>35</v>
      </c>
      <c r="F40" s="9">
        <f>IFERROR(D40/E40,0)</f>
        <v>0.68571428571428572</v>
      </c>
      <c r="G40" s="8"/>
      <c r="I40" s="48" t="s">
        <v>370</v>
      </c>
      <c r="J40" s="47">
        <v>55</v>
      </c>
      <c r="K40" s="46">
        <v>60</v>
      </c>
      <c r="L40" s="45">
        <f>IFERROR(J40/K40,0)</f>
        <v>0.91666666666666663</v>
      </c>
      <c r="M40" s="44"/>
      <c r="U40" s="237">
        <v>4</v>
      </c>
      <c r="V40" s="235" t="s">
        <v>326</v>
      </c>
      <c r="W40" s="236">
        <v>4</v>
      </c>
      <c r="X40" s="233" t="s">
        <v>19</v>
      </c>
      <c r="Y40" s="234">
        <f>0.2</f>
        <v>0.2</v>
      </c>
      <c r="AA40" s="403"/>
      <c r="AB40" s="404"/>
      <c r="AC40" s="404"/>
      <c r="AD40" s="404"/>
      <c r="AE40" s="405"/>
      <c r="AG40" s="403"/>
      <c r="AH40" s="404"/>
      <c r="AI40" s="404"/>
      <c r="AJ40" s="404"/>
      <c r="AK40" s="405"/>
    </row>
    <row r="41" spans="3:37" ht="16.5" thickTop="1" thickBot="1" x14ac:dyDescent="0.3">
      <c r="C41" s="403"/>
      <c r="D41" s="404"/>
      <c r="E41" s="404"/>
      <c r="F41" s="404"/>
      <c r="G41" s="405"/>
      <c r="I41" s="403"/>
      <c r="J41" s="404"/>
      <c r="K41" s="404"/>
      <c r="L41" s="404"/>
      <c r="M41" s="405"/>
      <c r="O41" s="408" t="s">
        <v>14</v>
      </c>
      <c r="P41" s="409"/>
      <c r="Q41" s="409"/>
      <c r="R41" s="409"/>
      <c r="S41" s="410"/>
      <c r="U41" s="238" t="s">
        <v>98</v>
      </c>
      <c r="V41" s="254">
        <f ca="1">SUM(EtCT:downtwo)</f>
        <v>357.5</v>
      </c>
      <c r="W41" s="254">
        <f ca="1">SUM(TtCT:downtwo)</f>
        <v>400</v>
      </c>
      <c r="X41" s="411">
        <f ca="1">IFERROR(V41/W41,0)</f>
        <v>0.89375000000000004</v>
      </c>
      <c r="Y41" s="412"/>
    </row>
    <row r="42" spans="3:37" ht="16.5" thickTop="1" thickBot="1" x14ac:dyDescent="0.3">
      <c r="O42" s="237">
        <v>1</v>
      </c>
      <c r="P42" s="235" t="s">
        <v>326</v>
      </c>
      <c r="Q42" s="236">
        <v>1</v>
      </c>
      <c r="R42" s="233" t="s">
        <v>19</v>
      </c>
      <c r="S42" s="234">
        <f>0.4</f>
        <v>0.4</v>
      </c>
      <c r="U42" s="239" t="s">
        <v>18</v>
      </c>
      <c r="V42" s="413" t="s">
        <v>17</v>
      </c>
      <c r="W42" s="413"/>
      <c r="X42" s="240" t="s">
        <v>16</v>
      </c>
      <c r="Y42" s="241" t="s">
        <v>15</v>
      </c>
      <c r="AA42" s="408" t="s">
        <v>321</v>
      </c>
      <c r="AB42" s="409"/>
      <c r="AC42" s="409"/>
      <c r="AD42" s="409"/>
      <c r="AE42" s="410"/>
      <c r="AG42" s="408" t="s">
        <v>22</v>
      </c>
      <c r="AH42" s="409"/>
      <c r="AI42" s="409"/>
      <c r="AJ42" s="409"/>
      <c r="AK42" s="410"/>
    </row>
    <row r="43" spans="3:37" ht="16.5" thickTop="1" thickBot="1" x14ac:dyDescent="0.3">
      <c r="C43" s="408" t="s">
        <v>20</v>
      </c>
      <c r="D43" s="409"/>
      <c r="E43" s="409"/>
      <c r="F43" s="409"/>
      <c r="G43" s="410"/>
      <c r="I43" s="408" t="s">
        <v>428</v>
      </c>
      <c r="J43" s="409"/>
      <c r="K43" s="409"/>
      <c r="L43" s="409"/>
      <c r="M43" s="410"/>
      <c r="O43" s="238" t="s">
        <v>98</v>
      </c>
      <c r="P43" s="254">
        <f ca="1">SUM(EtCT:downtwo)</f>
        <v>46</v>
      </c>
      <c r="Q43" s="254">
        <f ca="1">SUM(TtCT:downtwo)</f>
        <v>50</v>
      </c>
      <c r="R43" s="411">
        <f ca="1">IFERROR(P43/Q43,0)</f>
        <v>0.92</v>
      </c>
      <c r="S43" s="412"/>
      <c r="U43" s="25" t="s">
        <v>305</v>
      </c>
      <c r="V43" s="24">
        <v>92.5</v>
      </c>
      <c r="W43" s="24">
        <v>100</v>
      </c>
      <c r="X43" s="23">
        <f>IFERROR(V43/W43,0)</f>
        <v>0.92500000000000004</v>
      </c>
      <c r="Y43" s="22"/>
      <c r="AA43" s="237">
        <v>25</v>
      </c>
      <c r="AB43" s="235" t="s">
        <v>326</v>
      </c>
      <c r="AC43" s="236">
        <v>25</v>
      </c>
      <c r="AD43" s="233" t="s">
        <v>19</v>
      </c>
      <c r="AE43" s="234">
        <f>0.1</f>
        <v>0.1</v>
      </c>
      <c r="AG43" s="237">
        <v>1</v>
      </c>
      <c r="AH43" s="235" t="s">
        <v>326</v>
      </c>
      <c r="AI43" s="236">
        <v>1</v>
      </c>
      <c r="AJ43" s="233" t="s">
        <v>19</v>
      </c>
      <c r="AK43" s="234">
        <f>0.17</f>
        <v>0.17</v>
      </c>
    </row>
    <row r="44" spans="3:37" ht="16.5" thickTop="1" thickBot="1" x14ac:dyDescent="0.3">
      <c r="C44" s="237">
        <v>3</v>
      </c>
      <c r="D44" s="235" t="s">
        <v>326</v>
      </c>
      <c r="E44" s="236">
        <v>3</v>
      </c>
      <c r="F44" s="233" t="s">
        <v>19</v>
      </c>
      <c r="G44" s="234">
        <f>1/3</f>
        <v>0.33333333333333331</v>
      </c>
      <c r="I44" s="237">
        <v>5</v>
      </c>
      <c r="J44" s="235" t="s">
        <v>326</v>
      </c>
      <c r="K44" s="236">
        <v>5</v>
      </c>
      <c r="L44" s="233" t="s">
        <v>19</v>
      </c>
      <c r="M44" s="234">
        <v>0.25</v>
      </c>
      <c r="O44" s="239" t="s">
        <v>18</v>
      </c>
      <c r="P44" s="413" t="s">
        <v>17</v>
      </c>
      <c r="Q44" s="413"/>
      <c r="R44" s="240" t="s">
        <v>16</v>
      </c>
      <c r="S44" s="241" t="s">
        <v>15</v>
      </c>
      <c r="U44" s="25" t="s">
        <v>306</v>
      </c>
      <c r="V44" s="24">
        <v>100</v>
      </c>
      <c r="W44" s="24">
        <v>100</v>
      </c>
      <c r="X44" s="23">
        <f>IFERROR(V44/W44,0)</f>
        <v>1</v>
      </c>
      <c r="Y44" s="22"/>
      <c r="AA44" s="238" t="s">
        <v>98</v>
      </c>
      <c r="AB44" s="254">
        <f ca="1">SUM(EtCT:downtwo)</f>
        <v>100</v>
      </c>
      <c r="AC44" s="254">
        <f ca="1">SUM(TtCT:downtwo)</f>
        <v>100</v>
      </c>
      <c r="AD44" s="411">
        <f ca="1">IFERROR(AB44/AC44,0)</f>
        <v>1</v>
      </c>
      <c r="AE44" s="412"/>
      <c r="AG44" s="238" t="s">
        <v>98</v>
      </c>
      <c r="AH44" s="254">
        <f ca="1">SUM(EtCT:downtwo)</f>
        <v>50</v>
      </c>
      <c r="AI44" s="254">
        <f ca="1">SUM(TtCT:downtwo)</f>
        <v>60</v>
      </c>
      <c r="AJ44" s="411">
        <f ca="1">IFERROR(AH44/AI44,0)</f>
        <v>0.83333333333333337</v>
      </c>
      <c r="AK44" s="412"/>
    </row>
    <row r="45" spans="3:37" ht="16.5" thickTop="1" thickBot="1" x14ac:dyDescent="0.3">
      <c r="C45" s="238" t="s">
        <v>98</v>
      </c>
      <c r="D45" s="254">
        <f ca="1">SUM(EtCT:downtwo)</f>
        <v>66</v>
      </c>
      <c r="E45" s="254">
        <f ca="1">SUM(TtCT:downtwo)</f>
        <v>100</v>
      </c>
      <c r="F45" s="411">
        <f ca="1">IFERROR(D45/E45,0)</f>
        <v>0.66</v>
      </c>
      <c r="G45" s="412"/>
      <c r="I45" s="238" t="s">
        <v>98</v>
      </c>
      <c r="J45" s="254">
        <f ca="1">SUM(EtCT:downtwo)</f>
        <v>190</v>
      </c>
      <c r="K45" s="254">
        <f ca="1">SUM(TtCT:downtwo)</f>
        <v>200</v>
      </c>
      <c r="L45" s="411">
        <f ca="1">IFERROR(J45/K45,0)</f>
        <v>0.95</v>
      </c>
      <c r="M45" s="412"/>
      <c r="O45" s="11" t="s">
        <v>16</v>
      </c>
      <c r="P45" s="10">
        <v>46</v>
      </c>
      <c r="Q45" s="10">
        <v>50</v>
      </c>
      <c r="R45" s="9">
        <f>IFERROR(P45/Q45,0)</f>
        <v>0.92</v>
      </c>
      <c r="S45" s="8"/>
      <c r="U45" s="25" t="s">
        <v>307</v>
      </c>
      <c r="V45" s="24">
        <v>90</v>
      </c>
      <c r="W45" s="24">
        <v>100</v>
      </c>
      <c r="X45" s="23">
        <f>IFERROR(V45/W45,0)</f>
        <v>0.9</v>
      </c>
      <c r="Y45" s="22"/>
      <c r="AA45" s="239" t="s">
        <v>18</v>
      </c>
      <c r="AB45" s="413" t="s">
        <v>17</v>
      </c>
      <c r="AC45" s="413"/>
      <c r="AD45" s="240" t="s">
        <v>16</v>
      </c>
      <c r="AE45" s="241" t="s">
        <v>15</v>
      </c>
      <c r="AG45" s="239" t="s">
        <v>18</v>
      </c>
      <c r="AH45" s="413" t="s">
        <v>17</v>
      </c>
      <c r="AI45" s="413"/>
      <c r="AJ45" s="240" t="s">
        <v>16</v>
      </c>
      <c r="AK45" s="241" t="s">
        <v>15</v>
      </c>
    </row>
    <row r="46" spans="3:37" ht="16.5" thickTop="1" thickBot="1" x14ac:dyDescent="0.3">
      <c r="C46" s="239" t="s">
        <v>18</v>
      </c>
      <c r="D46" s="413" t="s">
        <v>17</v>
      </c>
      <c r="E46" s="413"/>
      <c r="F46" s="240" t="s">
        <v>16</v>
      </c>
      <c r="G46" s="241" t="s">
        <v>15</v>
      </c>
      <c r="I46" s="239" t="s">
        <v>18</v>
      </c>
      <c r="J46" s="413" t="s">
        <v>17</v>
      </c>
      <c r="K46" s="413"/>
      <c r="L46" s="240" t="s">
        <v>16</v>
      </c>
      <c r="M46" s="241" t="s">
        <v>15</v>
      </c>
      <c r="O46" s="403"/>
      <c r="P46" s="404"/>
      <c r="Q46" s="404"/>
      <c r="R46" s="404"/>
      <c r="S46" s="405"/>
      <c r="U46" s="25" t="s">
        <v>308</v>
      </c>
      <c r="V46" s="24">
        <v>75</v>
      </c>
      <c r="W46" s="24">
        <v>100</v>
      </c>
      <c r="X46" s="23">
        <f>IFERROR(V46/W46,0)</f>
        <v>0.75</v>
      </c>
      <c r="Y46" s="22"/>
      <c r="AA46" s="170" t="s">
        <v>385</v>
      </c>
      <c r="AB46" s="65">
        <v>4</v>
      </c>
      <c r="AC46" s="64">
        <v>4</v>
      </c>
      <c r="AD46" s="63">
        <f t="shared" ref="AD46:AD70" si="29">IFERROR(AB46/AC46,0)</f>
        <v>1</v>
      </c>
      <c r="AE46" s="62"/>
      <c r="AG46" s="256" t="s">
        <v>16</v>
      </c>
      <c r="AH46" s="257">
        <v>50</v>
      </c>
      <c r="AI46" s="258">
        <v>60</v>
      </c>
      <c r="AJ46" s="13">
        <f>IFERROR(AH46/AI46,0)</f>
        <v>0.83333333333333337</v>
      </c>
      <c r="AK46" s="259"/>
    </row>
    <row r="47" spans="3:37" ht="16.5" thickTop="1" thickBot="1" x14ac:dyDescent="0.3">
      <c r="C47" s="11" t="s">
        <v>292</v>
      </c>
      <c r="D47" s="10">
        <v>4</v>
      </c>
      <c r="E47" s="10">
        <v>20</v>
      </c>
      <c r="F47" s="9">
        <f>IFERROR(D47/E47,0)</f>
        <v>0.2</v>
      </c>
      <c r="G47" s="8"/>
      <c r="I47" s="11" t="s">
        <v>349</v>
      </c>
      <c r="J47" s="72">
        <v>20</v>
      </c>
      <c r="K47" s="10">
        <v>20</v>
      </c>
      <c r="L47" s="63">
        <f>IFERROR(J47/K47,0)</f>
        <v>1</v>
      </c>
      <c r="M47" s="76"/>
      <c r="U47" s="403"/>
      <c r="V47" s="404"/>
      <c r="W47" s="404"/>
      <c r="X47" s="404"/>
      <c r="Y47" s="405"/>
      <c r="AA47" s="170" t="s">
        <v>386</v>
      </c>
      <c r="AB47" s="65">
        <v>4</v>
      </c>
      <c r="AC47" s="64">
        <v>4</v>
      </c>
      <c r="AD47" s="63">
        <f t="shared" si="29"/>
        <v>1</v>
      </c>
      <c r="AE47" s="62"/>
      <c r="AG47" s="418"/>
      <c r="AH47" s="417"/>
      <c r="AI47" s="417"/>
      <c r="AJ47" s="417"/>
      <c r="AK47" s="419"/>
    </row>
    <row r="48" spans="3:37" ht="16.5" thickTop="1" thickBot="1" x14ac:dyDescent="0.3">
      <c r="C48" s="11" t="s">
        <v>293</v>
      </c>
      <c r="D48" s="10">
        <v>34</v>
      </c>
      <c r="E48" s="10">
        <v>45</v>
      </c>
      <c r="F48" s="9">
        <f>IFERROR(D48/E48,0)</f>
        <v>0.75555555555555554</v>
      </c>
      <c r="G48" s="8"/>
      <c r="I48" s="11" t="s">
        <v>350</v>
      </c>
      <c r="J48" s="72">
        <v>20</v>
      </c>
      <c r="K48" s="10">
        <v>20</v>
      </c>
      <c r="L48" s="63">
        <f>IFERROR(J48/K48,0)</f>
        <v>1</v>
      </c>
      <c r="M48" s="76"/>
      <c r="AA48" s="170" t="s">
        <v>387</v>
      </c>
      <c r="AB48" s="65">
        <v>4</v>
      </c>
      <c r="AC48" s="64">
        <v>4</v>
      </c>
      <c r="AD48" s="63">
        <f t="shared" si="29"/>
        <v>1</v>
      </c>
      <c r="AE48" s="62" t="s">
        <v>483</v>
      </c>
    </row>
    <row r="49" spans="2:37" ht="16.5" thickTop="1" thickBot="1" x14ac:dyDescent="0.3">
      <c r="C49" s="11" t="s">
        <v>294</v>
      </c>
      <c r="D49" s="10">
        <v>28</v>
      </c>
      <c r="E49" s="10">
        <v>35</v>
      </c>
      <c r="F49" s="9">
        <f>IFERROR(D49/E49,0)</f>
        <v>0.8</v>
      </c>
      <c r="G49" s="8"/>
      <c r="I49" s="11" t="s">
        <v>410</v>
      </c>
      <c r="J49" s="72">
        <v>30</v>
      </c>
      <c r="K49" s="10">
        <v>30</v>
      </c>
      <c r="L49" s="63">
        <f>IFERROR(J49/K49,0)</f>
        <v>1</v>
      </c>
      <c r="M49" s="76"/>
      <c r="U49" s="408" t="s">
        <v>303</v>
      </c>
      <c r="V49" s="409"/>
      <c r="W49" s="409"/>
      <c r="X49" s="409"/>
      <c r="Y49" s="410"/>
      <c r="AA49" s="170" t="s">
        <v>388</v>
      </c>
      <c r="AB49" s="65">
        <v>4</v>
      </c>
      <c r="AC49" s="64">
        <v>4</v>
      </c>
      <c r="AD49" s="63">
        <f t="shared" si="29"/>
        <v>1</v>
      </c>
      <c r="AE49" s="62" t="s">
        <v>484</v>
      </c>
      <c r="AG49" s="408" t="s">
        <v>20</v>
      </c>
      <c r="AH49" s="409"/>
      <c r="AI49" s="409"/>
      <c r="AJ49" s="409"/>
      <c r="AK49" s="410"/>
    </row>
    <row r="50" spans="2:37" ht="16.5" thickTop="1" thickBot="1" x14ac:dyDescent="0.3">
      <c r="C50" s="403"/>
      <c r="D50" s="404"/>
      <c r="E50" s="404"/>
      <c r="F50" s="404"/>
      <c r="G50" s="405"/>
      <c r="I50" s="11" t="s">
        <v>364</v>
      </c>
      <c r="J50" s="72">
        <v>30</v>
      </c>
      <c r="K50" s="10">
        <v>30</v>
      </c>
      <c r="L50" s="63">
        <f>IFERROR(J50/K50,0)</f>
        <v>1</v>
      </c>
      <c r="M50" s="76"/>
      <c r="U50" s="237">
        <v>4</v>
      </c>
      <c r="V50" s="235" t="s">
        <v>326</v>
      </c>
      <c r="W50" s="236">
        <v>4</v>
      </c>
      <c r="X50" s="233" t="s">
        <v>19</v>
      </c>
      <c r="Y50" s="234">
        <f>0.2</f>
        <v>0.2</v>
      </c>
      <c r="AA50" s="170" t="s">
        <v>389</v>
      </c>
      <c r="AB50" s="65">
        <v>4</v>
      </c>
      <c r="AC50" s="64">
        <v>4</v>
      </c>
      <c r="AD50" s="63">
        <f t="shared" si="29"/>
        <v>1</v>
      </c>
      <c r="AE50" s="62" t="s">
        <v>485</v>
      </c>
      <c r="AG50" s="237">
        <v>1</v>
      </c>
      <c r="AH50" s="235" t="s">
        <v>326</v>
      </c>
      <c r="AI50" s="236">
        <v>1</v>
      </c>
      <c r="AJ50" s="233" t="s">
        <v>19</v>
      </c>
      <c r="AK50" s="234">
        <f>0.23</f>
        <v>0.23</v>
      </c>
    </row>
    <row r="51" spans="2:37" ht="16.5" thickTop="1" thickBot="1" x14ac:dyDescent="0.3">
      <c r="I51" s="11" t="s">
        <v>433</v>
      </c>
      <c r="J51" s="72">
        <v>90</v>
      </c>
      <c r="K51" s="10">
        <v>100</v>
      </c>
      <c r="L51" s="63">
        <f>IFERROR(J51/K51,0)</f>
        <v>0.9</v>
      </c>
      <c r="M51" s="76"/>
      <c r="U51" s="238" t="s">
        <v>98</v>
      </c>
      <c r="V51" s="254">
        <f ca="1">SUM(EtCT:downtwo)</f>
        <v>380</v>
      </c>
      <c r="W51" s="254">
        <f ca="1">SUM(TtCT:downtwo)</f>
        <v>400</v>
      </c>
      <c r="X51" s="411">
        <f ca="1">IFERROR(V51/W51,0)</f>
        <v>0.95</v>
      </c>
      <c r="Y51" s="412"/>
      <c r="AA51" s="170" t="s">
        <v>390</v>
      </c>
      <c r="AB51" s="65">
        <v>4</v>
      </c>
      <c r="AC51" s="64">
        <v>4</v>
      </c>
      <c r="AD51" s="63">
        <f t="shared" si="29"/>
        <v>1</v>
      </c>
      <c r="AE51" s="62" t="s">
        <v>486</v>
      </c>
      <c r="AG51" s="238" t="s">
        <v>98</v>
      </c>
      <c r="AH51" s="254">
        <f ca="1">SUM(EtCT:downtwo)</f>
        <v>50</v>
      </c>
      <c r="AI51" s="254">
        <f ca="1">SUM(TtCT:downtwo)</f>
        <v>80</v>
      </c>
      <c r="AJ51" s="411">
        <f ca="1">IFERROR(AH51/AI51,0)</f>
        <v>0.625</v>
      </c>
      <c r="AK51" s="412"/>
    </row>
    <row r="52" spans="2:37" ht="16.5" thickTop="1" thickBot="1" x14ac:dyDescent="0.3">
      <c r="I52" s="403"/>
      <c r="J52" s="404"/>
      <c r="K52" s="404"/>
      <c r="L52" s="404"/>
      <c r="M52" s="405"/>
      <c r="U52" s="239" t="s">
        <v>18</v>
      </c>
      <c r="V52" s="415" t="s">
        <v>17</v>
      </c>
      <c r="W52" s="416"/>
      <c r="X52" s="240" t="s">
        <v>16</v>
      </c>
      <c r="Y52" s="241" t="s">
        <v>15</v>
      </c>
      <c r="AA52" s="170" t="s">
        <v>391</v>
      </c>
      <c r="AB52" s="65">
        <v>4</v>
      </c>
      <c r="AC52" s="64">
        <v>4</v>
      </c>
      <c r="AD52" s="63">
        <f t="shared" si="29"/>
        <v>1</v>
      </c>
      <c r="AE52" s="62"/>
      <c r="AG52" s="239" t="s">
        <v>18</v>
      </c>
      <c r="AH52" s="413" t="s">
        <v>17</v>
      </c>
      <c r="AI52" s="413"/>
      <c r="AJ52" s="240" t="s">
        <v>16</v>
      </c>
      <c r="AK52" s="241" t="s">
        <v>15</v>
      </c>
    </row>
    <row r="53" spans="2:37" ht="16.5" thickTop="1" thickBot="1" x14ac:dyDescent="0.3">
      <c r="U53" s="21" t="s">
        <v>309</v>
      </c>
      <c r="V53" s="20">
        <v>100</v>
      </c>
      <c r="W53" s="20">
        <v>100</v>
      </c>
      <c r="X53" s="19">
        <f>IFERROR(V53/W53,0)</f>
        <v>1</v>
      </c>
      <c r="Y53" s="18"/>
      <c r="AA53" s="170" t="s">
        <v>393</v>
      </c>
      <c r="AB53" s="65">
        <v>4</v>
      </c>
      <c r="AC53" s="64">
        <v>4</v>
      </c>
      <c r="AD53" s="63">
        <f t="shared" si="29"/>
        <v>1</v>
      </c>
      <c r="AE53" s="62"/>
      <c r="AG53" s="256" t="s">
        <v>16</v>
      </c>
      <c r="AH53" s="257">
        <v>50</v>
      </c>
      <c r="AI53" s="258">
        <v>80</v>
      </c>
      <c r="AJ53" s="13">
        <f>IFERROR(AH53/AI53,0)</f>
        <v>0.625</v>
      </c>
      <c r="AK53" s="259"/>
    </row>
    <row r="54" spans="2:37" ht="16.5" thickTop="1" thickBot="1" x14ac:dyDescent="0.3">
      <c r="I54" s="408" t="s">
        <v>295</v>
      </c>
      <c r="J54" s="409"/>
      <c r="K54" s="409"/>
      <c r="L54" s="409"/>
      <c r="M54" s="410"/>
      <c r="U54" s="25" t="s">
        <v>310</v>
      </c>
      <c r="V54" s="24">
        <v>100</v>
      </c>
      <c r="W54" s="24">
        <v>100</v>
      </c>
      <c r="X54" s="23">
        <f>IFERROR(V54/W54,0)</f>
        <v>1</v>
      </c>
      <c r="Y54" s="22"/>
      <c r="AA54" s="170" t="s">
        <v>392</v>
      </c>
      <c r="AB54" s="65">
        <v>4</v>
      </c>
      <c r="AC54" s="64">
        <v>4</v>
      </c>
      <c r="AD54" s="63">
        <f t="shared" si="29"/>
        <v>1</v>
      </c>
      <c r="AE54" s="62"/>
      <c r="AG54" s="418"/>
      <c r="AH54" s="417"/>
      <c r="AI54" s="417"/>
      <c r="AJ54" s="417"/>
      <c r="AK54" s="419"/>
    </row>
    <row r="55" spans="2:37" ht="16.5" thickTop="1" thickBot="1" x14ac:dyDescent="0.3">
      <c r="I55" s="237">
        <v>2</v>
      </c>
      <c r="J55" s="235" t="s">
        <v>326</v>
      </c>
      <c r="K55" s="236">
        <v>2</v>
      </c>
      <c r="L55" s="233" t="s">
        <v>19</v>
      </c>
      <c r="M55" s="234">
        <v>0.3</v>
      </c>
      <c r="U55" s="25" t="s">
        <v>416</v>
      </c>
      <c r="V55" s="24">
        <v>85</v>
      </c>
      <c r="W55" s="24">
        <v>100</v>
      </c>
      <c r="X55" s="23">
        <f>IFERROR(V55/W55,0)</f>
        <v>0.85</v>
      </c>
      <c r="Y55" s="22"/>
      <c r="AA55" s="170" t="s">
        <v>394</v>
      </c>
      <c r="AB55" s="65">
        <v>4</v>
      </c>
      <c r="AC55" s="64">
        <v>4</v>
      </c>
      <c r="AD55" s="63">
        <f t="shared" si="29"/>
        <v>1</v>
      </c>
      <c r="AE55" s="62"/>
    </row>
    <row r="56" spans="2:37" ht="16.5" thickTop="1" thickBot="1" x14ac:dyDescent="0.3">
      <c r="I56" s="238" t="s">
        <v>98</v>
      </c>
      <c r="J56" s="254">
        <f ca="1">SUM(EtCT:downtwo)</f>
        <v>75</v>
      </c>
      <c r="K56" s="254">
        <f ca="1">SUM(TtCT:downtwo)</f>
        <v>100</v>
      </c>
      <c r="L56" s="411">
        <f ca="1">IFERROR(J56/K56,0)</f>
        <v>0.75</v>
      </c>
      <c r="M56" s="412"/>
      <c r="U56" s="25" t="s">
        <v>311</v>
      </c>
      <c r="V56" s="24">
        <v>95</v>
      </c>
      <c r="W56" s="24">
        <v>100</v>
      </c>
      <c r="X56" s="23">
        <f>IFERROR(V56/W56,0)</f>
        <v>0.95</v>
      </c>
      <c r="Y56" s="22"/>
      <c r="AA56" s="170" t="s">
        <v>395</v>
      </c>
      <c r="AB56" s="65">
        <v>4</v>
      </c>
      <c r="AC56" s="64">
        <v>4</v>
      </c>
      <c r="AD56" s="63">
        <f t="shared" si="29"/>
        <v>1</v>
      </c>
      <c r="AE56" s="62"/>
    </row>
    <row r="57" spans="2:37" ht="16.5" thickTop="1" thickBot="1" x14ac:dyDescent="0.3">
      <c r="I57" s="239" t="s">
        <v>18</v>
      </c>
      <c r="J57" s="413" t="s">
        <v>17</v>
      </c>
      <c r="K57" s="413"/>
      <c r="L57" s="240" t="s">
        <v>16</v>
      </c>
      <c r="M57" s="241" t="s">
        <v>15</v>
      </c>
      <c r="U57" s="403"/>
      <c r="V57" s="404"/>
      <c r="W57" s="404"/>
      <c r="X57" s="404"/>
      <c r="Y57" s="405"/>
      <c r="AA57" s="170" t="s">
        <v>396</v>
      </c>
      <c r="AB57" s="65">
        <v>4</v>
      </c>
      <c r="AC57" s="64">
        <v>4</v>
      </c>
      <c r="AD57" s="63">
        <f t="shared" si="29"/>
        <v>1</v>
      </c>
      <c r="AE57" s="62"/>
    </row>
    <row r="58" spans="2:37" ht="16.5" thickTop="1" thickBot="1" x14ac:dyDescent="0.3">
      <c r="I58" s="11" t="s">
        <v>413</v>
      </c>
      <c r="J58" s="10">
        <v>12</v>
      </c>
      <c r="K58" s="10">
        <v>30</v>
      </c>
      <c r="L58" s="9">
        <f>IFERROR(J58/K58,0)</f>
        <v>0.4</v>
      </c>
      <c r="M58" s="8"/>
      <c r="AA58" s="170" t="s">
        <v>397</v>
      </c>
      <c r="AB58" s="65">
        <v>4</v>
      </c>
      <c r="AC58" s="64">
        <v>4</v>
      </c>
      <c r="AD58" s="63">
        <f t="shared" si="29"/>
        <v>1</v>
      </c>
      <c r="AE58" s="62"/>
    </row>
    <row r="59" spans="2:37" ht="16.5" thickTop="1" thickBot="1" x14ac:dyDescent="0.3">
      <c r="I59" s="11" t="s">
        <v>412</v>
      </c>
      <c r="J59" s="10">
        <v>63</v>
      </c>
      <c r="K59" s="10">
        <v>70</v>
      </c>
      <c r="L59" s="9">
        <f>IFERROR(J59/K59,0)</f>
        <v>0.9</v>
      </c>
      <c r="M59" s="8"/>
      <c r="U59" s="408" t="s">
        <v>431</v>
      </c>
      <c r="V59" s="409"/>
      <c r="W59" s="409"/>
      <c r="X59" s="409"/>
      <c r="Y59" s="410"/>
      <c r="AA59" s="170" t="s">
        <v>398</v>
      </c>
      <c r="AB59" s="65">
        <v>4</v>
      </c>
      <c r="AC59" s="64">
        <v>4</v>
      </c>
      <c r="AD59" s="63">
        <f t="shared" si="29"/>
        <v>1</v>
      </c>
      <c r="AE59" s="62"/>
    </row>
    <row r="60" spans="2:37" ht="16.5" thickTop="1" thickBot="1" x14ac:dyDescent="0.3">
      <c r="I60" s="403"/>
      <c r="J60" s="404"/>
      <c r="K60" s="404"/>
      <c r="L60" s="404"/>
      <c r="M60" s="405"/>
      <c r="U60" s="237">
        <v>1</v>
      </c>
      <c r="V60" s="235" t="s">
        <v>326</v>
      </c>
      <c r="W60" s="236">
        <v>1</v>
      </c>
      <c r="X60" s="233" t="s">
        <v>19</v>
      </c>
      <c r="Y60" s="234">
        <f>0.5</f>
        <v>0.5</v>
      </c>
      <c r="AA60" s="184" t="s">
        <v>399</v>
      </c>
      <c r="AB60" s="185">
        <v>4</v>
      </c>
      <c r="AC60" s="186">
        <v>4</v>
      </c>
      <c r="AD60" s="187">
        <f t="shared" si="29"/>
        <v>1</v>
      </c>
      <c r="AE60" s="188"/>
    </row>
    <row r="61" spans="2:37" ht="15.75" thickTop="1" x14ac:dyDescent="0.25">
      <c r="U61" s="238" t="s">
        <v>98</v>
      </c>
      <c r="V61" s="254">
        <f ca="1">SUM(EtCT:downtwo)</f>
        <v>79.680000000000007</v>
      </c>
      <c r="W61" s="254">
        <f ca="1">SUM(TtCT:downtwo)</f>
        <v>100</v>
      </c>
      <c r="X61" s="411">
        <f ca="1">IFERROR(V61/W61,0)</f>
        <v>0.79680000000000006</v>
      </c>
      <c r="Y61" s="412"/>
      <c r="AA61" s="189" t="s">
        <v>400</v>
      </c>
      <c r="AB61" s="185">
        <v>4</v>
      </c>
      <c r="AC61" s="191">
        <v>4</v>
      </c>
      <c r="AD61" s="192">
        <f t="shared" si="29"/>
        <v>1</v>
      </c>
      <c r="AE61" s="193" t="s">
        <v>487</v>
      </c>
    </row>
    <row r="62" spans="2:37" ht="15.75" thickBot="1" x14ac:dyDescent="0.3">
      <c r="U62" s="239" t="s">
        <v>18</v>
      </c>
      <c r="V62" s="413" t="s">
        <v>17</v>
      </c>
      <c r="W62" s="413"/>
      <c r="X62" s="240" t="s">
        <v>16</v>
      </c>
      <c r="Y62" s="241" t="s">
        <v>15</v>
      </c>
      <c r="AA62" s="189" t="s">
        <v>401</v>
      </c>
      <c r="AB62" s="185">
        <v>4</v>
      </c>
      <c r="AC62" s="191">
        <v>4</v>
      </c>
      <c r="AD62" s="192">
        <f t="shared" si="29"/>
        <v>1</v>
      </c>
      <c r="AE62" s="193" t="s">
        <v>487</v>
      </c>
    </row>
    <row r="63" spans="2:37" ht="16.5" thickTop="1" thickBot="1" x14ac:dyDescent="0.3">
      <c r="U63" s="25" t="s">
        <v>98</v>
      </c>
      <c r="V63" s="24">
        <v>79.680000000000007</v>
      </c>
      <c r="W63" s="24">
        <v>100</v>
      </c>
      <c r="X63" s="23">
        <f>IFERROR(V63/W63,0)</f>
        <v>0.79680000000000006</v>
      </c>
      <c r="Y63" s="22"/>
      <c r="AA63" s="189" t="s">
        <v>402</v>
      </c>
      <c r="AB63" s="185">
        <v>4</v>
      </c>
      <c r="AC63" s="191">
        <v>4</v>
      </c>
      <c r="AD63" s="192">
        <f t="shared" si="29"/>
        <v>1</v>
      </c>
      <c r="AE63" s="193" t="s">
        <v>487</v>
      </c>
    </row>
    <row r="64" spans="2:37" ht="16.5" thickTop="1" thickBot="1" x14ac:dyDescent="0.3">
      <c r="B64" s="260"/>
      <c r="C64" s="260"/>
      <c r="D64" s="260"/>
      <c r="E64" s="260"/>
      <c r="F64" s="260"/>
      <c r="G64" s="260"/>
      <c r="H64" s="260"/>
      <c r="I64" s="260"/>
      <c r="J64" s="260"/>
      <c r="K64" s="260"/>
      <c r="L64" s="260"/>
      <c r="M64" s="260"/>
      <c r="N64" s="260"/>
      <c r="U64" s="403"/>
      <c r="V64" s="404"/>
      <c r="W64" s="404"/>
      <c r="X64" s="404"/>
      <c r="Y64" s="405"/>
      <c r="AA64" s="170" t="s">
        <v>403</v>
      </c>
      <c r="AB64" s="185">
        <v>4</v>
      </c>
      <c r="AC64" s="64">
        <v>4</v>
      </c>
      <c r="AD64" s="63">
        <f t="shared" si="29"/>
        <v>1</v>
      </c>
      <c r="AE64" s="62"/>
    </row>
    <row r="65" spans="2:31" ht="15.75" thickTop="1" x14ac:dyDescent="0.25">
      <c r="B65" s="260"/>
      <c r="C65" s="260"/>
      <c r="D65" s="260"/>
      <c r="E65" s="260"/>
      <c r="F65" s="260"/>
      <c r="G65" s="260"/>
      <c r="H65" s="260"/>
      <c r="I65" s="260"/>
      <c r="J65" s="260"/>
      <c r="K65" s="260"/>
      <c r="L65" s="260"/>
      <c r="M65" s="260"/>
      <c r="N65" s="260"/>
      <c r="AA65" s="170" t="s">
        <v>404</v>
      </c>
      <c r="AB65" s="185">
        <v>4</v>
      </c>
      <c r="AC65" s="64">
        <v>4</v>
      </c>
      <c r="AD65" s="63">
        <f t="shared" si="29"/>
        <v>1</v>
      </c>
      <c r="AE65" s="62"/>
    </row>
    <row r="66" spans="2:31" x14ac:dyDescent="0.25">
      <c r="B66" s="260"/>
      <c r="C66" s="260"/>
      <c r="D66" s="260"/>
      <c r="E66" s="260"/>
      <c r="F66" s="260"/>
      <c r="G66" s="260"/>
      <c r="H66" s="260"/>
      <c r="I66" s="260"/>
      <c r="J66" s="260"/>
      <c r="K66" s="260"/>
      <c r="L66" s="260"/>
      <c r="M66" s="260"/>
      <c r="N66" s="260"/>
      <c r="AA66" s="184" t="s">
        <v>405</v>
      </c>
      <c r="AB66" s="185">
        <v>4</v>
      </c>
      <c r="AC66" s="186">
        <v>4</v>
      </c>
      <c r="AD66" s="187">
        <f t="shared" si="29"/>
        <v>1</v>
      </c>
      <c r="AE66" s="188"/>
    </row>
    <row r="67" spans="2:31" x14ac:dyDescent="0.25">
      <c r="AA67" s="184" t="s">
        <v>406</v>
      </c>
      <c r="AB67" s="185">
        <v>4</v>
      </c>
      <c r="AC67" s="186">
        <v>4</v>
      </c>
      <c r="AD67" s="187">
        <f t="shared" si="29"/>
        <v>1</v>
      </c>
      <c r="AE67" s="188"/>
    </row>
    <row r="68" spans="2:31" x14ac:dyDescent="0.25">
      <c r="AA68" s="184" t="s">
        <v>409</v>
      </c>
      <c r="AB68" s="185">
        <v>4</v>
      </c>
      <c r="AC68" s="186">
        <v>4</v>
      </c>
      <c r="AD68" s="187">
        <f t="shared" si="29"/>
        <v>1</v>
      </c>
      <c r="AE68" s="188"/>
    </row>
    <row r="69" spans="2:31" x14ac:dyDescent="0.25">
      <c r="AA69" s="189" t="s">
        <v>407</v>
      </c>
      <c r="AB69" s="185">
        <v>4</v>
      </c>
      <c r="AC69" s="191">
        <v>4</v>
      </c>
      <c r="AD69" s="192">
        <f t="shared" si="29"/>
        <v>1</v>
      </c>
      <c r="AE69" s="194" t="s">
        <v>487</v>
      </c>
    </row>
    <row r="70" spans="2:31" ht="15.75" thickBot="1" x14ac:dyDescent="0.3">
      <c r="AA70" s="189" t="s">
        <v>408</v>
      </c>
      <c r="AB70" s="190">
        <v>4</v>
      </c>
      <c r="AC70" s="191">
        <v>4</v>
      </c>
      <c r="AD70" s="192">
        <f t="shared" si="29"/>
        <v>1</v>
      </c>
      <c r="AE70" s="194" t="s">
        <v>487</v>
      </c>
    </row>
    <row r="71" spans="2:31" ht="16.5" thickTop="1" thickBot="1" x14ac:dyDescent="0.3">
      <c r="AA71" s="403"/>
      <c r="AB71" s="404"/>
      <c r="AC71" s="404"/>
      <c r="AD71" s="404"/>
      <c r="AE71" s="405"/>
    </row>
    <row r="72" spans="2:31" ht="16.5" thickTop="1" thickBot="1" x14ac:dyDescent="0.3"/>
    <row r="73" spans="2:31" ht="16.5" thickTop="1" thickBot="1" x14ac:dyDescent="0.3">
      <c r="AA73" s="408" t="s">
        <v>31</v>
      </c>
      <c r="AB73" s="409"/>
      <c r="AC73" s="409"/>
      <c r="AD73" s="409"/>
      <c r="AE73" s="410"/>
    </row>
    <row r="74" spans="2:31" ht="16.5" thickTop="1" thickBot="1" x14ac:dyDescent="0.3">
      <c r="AA74" s="237">
        <v>10</v>
      </c>
      <c r="AB74" s="235" t="s">
        <v>326</v>
      </c>
      <c r="AC74" s="236">
        <v>10</v>
      </c>
      <c r="AD74" s="233" t="s">
        <v>19</v>
      </c>
      <c r="AE74" s="234">
        <f>0.05</f>
        <v>0.05</v>
      </c>
    </row>
    <row r="75" spans="2:31" ht="15.75" thickTop="1" x14ac:dyDescent="0.25">
      <c r="AA75" s="238" t="s">
        <v>98</v>
      </c>
      <c r="AB75" s="254">
        <f ca="1">SUM(EtCT:downtwo)</f>
        <v>30.13</v>
      </c>
      <c r="AC75" s="254">
        <f ca="1">SUM(TtCT:downtwo)</f>
        <v>50</v>
      </c>
      <c r="AD75" s="411">
        <f ca="1">IFERROR(AB75/AC75,0)</f>
        <v>0.60260000000000002</v>
      </c>
      <c r="AE75" s="412"/>
    </row>
    <row r="76" spans="2:31" ht="15.75" thickBot="1" x14ac:dyDescent="0.3">
      <c r="AA76" s="239" t="s">
        <v>18</v>
      </c>
      <c r="AB76" s="413" t="s">
        <v>17</v>
      </c>
      <c r="AC76" s="413"/>
      <c r="AD76" s="240" t="s">
        <v>16</v>
      </c>
      <c r="AE76" s="241" t="s">
        <v>15</v>
      </c>
    </row>
    <row r="77" spans="2:31" ht="15.75" thickTop="1" x14ac:dyDescent="0.25">
      <c r="AA77" s="170" t="s">
        <v>322</v>
      </c>
      <c r="AB77" s="65">
        <v>5</v>
      </c>
      <c r="AC77" s="64">
        <v>5</v>
      </c>
      <c r="AD77" s="63">
        <f t="shared" ref="AD77:AD86" si="30">IFERROR(AB77/AC77,0)</f>
        <v>1</v>
      </c>
      <c r="AE77" s="62"/>
    </row>
    <row r="78" spans="2:31" x14ac:dyDescent="0.25">
      <c r="AA78" s="170" t="s">
        <v>323</v>
      </c>
      <c r="AB78" s="65">
        <v>4</v>
      </c>
      <c r="AC78" s="64">
        <v>5</v>
      </c>
      <c r="AD78" s="63">
        <f t="shared" si="30"/>
        <v>0.8</v>
      </c>
      <c r="AE78" s="62"/>
    </row>
    <row r="79" spans="2:31" x14ac:dyDescent="0.25">
      <c r="AA79" s="170" t="s">
        <v>324</v>
      </c>
      <c r="AB79" s="65">
        <v>4</v>
      </c>
      <c r="AC79" s="64">
        <v>5</v>
      </c>
      <c r="AD79" s="63">
        <f t="shared" si="30"/>
        <v>0.8</v>
      </c>
      <c r="AE79" s="62"/>
    </row>
    <row r="80" spans="2:31" x14ac:dyDescent="0.25">
      <c r="AA80" s="170" t="s">
        <v>325</v>
      </c>
      <c r="AB80" s="65">
        <v>0</v>
      </c>
      <c r="AC80" s="64">
        <v>5</v>
      </c>
      <c r="AD80" s="63">
        <f t="shared" si="30"/>
        <v>0</v>
      </c>
      <c r="AE80" s="62"/>
    </row>
    <row r="81" spans="27:31" x14ac:dyDescent="0.25">
      <c r="AA81" s="170" t="s">
        <v>347</v>
      </c>
      <c r="AB81" s="65">
        <v>2.63</v>
      </c>
      <c r="AC81" s="64">
        <v>5</v>
      </c>
      <c r="AD81" s="63">
        <f t="shared" si="30"/>
        <v>0.52600000000000002</v>
      </c>
      <c r="AE81" s="62"/>
    </row>
    <row r="82" spans="27:31" x14ac:dyDescent="0.25">
      <c r="AA82" s="170" t="s">
        <v>353</v>
      </c>
      <c r="AB82" s="65">
        <v>4</v>
      </c>
      <c r="AC82" s="64">
        <v>5</v>
      </c>
      <c r="AD82" s="63">
        <f t="shared" si="30"/>
        <v>0.8</v>
      </c>
      <c r="AE82" s="62"/>
    </row>
    <row r="83" spans="27:31" x14ac:dyDescent="0.25">
      <c r="AA83" s="170" t="s">
        <v>354</v>
      </c>
      <c r="AB83" s="65">
        <v>3</v>
      </c>
      <c r="AC83" s="64">
        <v>5</v>
      </c>
      <c r="AD83" s="63">
        <f t="shared" si="30"/>
        <v>0.6</v>
      </c>
      <c r="AE83" s="62"/>
    </row>
    <row r="84" spans="27:31" x14ac:dyDescent="0.25">
      <c r="AA84" s="170" t="s">
        <v>355</v>
      </c>
      <c r="AB84" s="65">
        <v>3.5</v>
      </c>
      <c r="AC84" s="64">
        <v>5</v>
      </c>
      <c r="AD84" s="63">
        <f t="shared" si="30"/>
        <v>0.7</v>
      </c>
      <c r="AE84" s="62"/>
    </row>
    <row r="85" spans="27:31" x14ac:dyDescent="0.25">
      <c r="AA85" s="170" t="s">
        <v>365</v>
      </c>
      <c r="AB85" s="65">
        <v>0</v>
      </c>
      <c r="AC85" s="64">
        <v>5</v>
      </c>
      <c r="AD85" s="63">
        <f t="shared" si="30"/>
        <v>0</v>
      </c>
      <c r="AE85" s="62"/>
    </row>
    <row r="86" spans="27:31" ht="15.75" thickBot="1" x14ac:dyDescent="0.3">
      <c r="AA86" s="170" t="s">
        <v>371</v>
      </c>
      <c r="AB86" s="65">
        <v>4</v>
      </c>
      <c r="AC86" s="64">
        <v>5</v>
      </c>
      <c r="AD86" s="63">
        <f t="shared" si="30"/>
        <v>0.8</v>
      </c>
      <c r="AE86" s="62"/>
    </row>
    <row r="87" spans="27:31" ht="16.5" thickTop="1" thickBot="1" x14ac:dyDescent="0.3">
      <c r="AA87" s="403"/>
      <c r="AB87" s="404"/>
      <c r="AC87" s="404"/>
      <c r="AD87" s="404"/>
      <c r="AE87" s="405"/>
    </row>
    <row r="88" spans="27:31" ht="16.5" thickTop="1" thickBot="1" x14ac:dyDescent="0.3"/>
    <row r="89" spans="27:31" ht="16.5" thickTop="1" thickBot="1" x14ac:dyDescent="0.3">
      <c r="AA89" s="408" t="s">
        <v>312</v>
      </c>
      <c r="AB89" s="409"/>
      <c r="AC89" s="409"/>
      <c r="AD89" s="409"/>
      <c r="AE89" s="410"/>
    </row>
    <row r="90" spans="27:31" ht="16.5" thickTop="1" thickBot="1" x14ac:dyDescent="0.3">
      <c r="AA90" s="237">
        <v>1</v>
      </c>
      <c r="AB90" s="235" t="s">
        <v>326</v>
      </c>
      <c r="AC90" s="236">
        <v>1</v>
      </c>
      <c r="AD90" s="233" t="s">
        <v>19</v>
      </c>
      <c r="AE90" s="234">
        <f>0.15</f>
        <v>0.15</v>
      </c>
    </row>
    <row r="91" spans="27:31" ht="15.75" thickTop="1" x14ac:dyDescent="0.25">
      <c r="AA91" s="238" t="s">
        <v>98</v>
      </c>
      <c r="AB91" s="254">
        <f ca="1">SUM(EtCT:downtwo)</f>
        <v>139.5</v>
      </c>
      <c r="AC91" s="254">
        <f ca="1">SUM(TtCT:downtwo)</f>
        <v>150</v>
      </c>
      <c r="AD91" s="411">
        <f ca="1">IFERROR(AB91/AC91,0)</f>
        <v>0.93</v>
      </c>
      <c r="AE91" s="412"/>
    </row>
    <row r="92" spans="27:31" ht="15.75" thickBot="1" x14ac:dyDescent="0.3">
      <c r="AA92" s="239" t="s">
        <v>18</v>
      </c>
      <c r="AB92" s="413" t="s">
        <v>17</v>
      </c>
      <c r="AC92" s="413"/>
      <c r="AD92" s="240" t="s">
        <v>16</v>
      </c>
      <c r="AE92" s="241" t="s">
        <v>15</v>
      </c>
    </row>
    <row r="93" spans="27:31" ht="16.5" thickTop="1" thickBot="1" x14ac:dyDescent="0.3">
      <c r="AA93" s="66" t="s">
        <v>16</v>
      </c>
      <c r="AB93" s="65">
        <v>139.5</v>
      </c>
      <c r="AC93" s="64">
        <v>150</v>
      </c>
      <c r="AD93" s="63">
        <f>IFERROR(AB93/AC93,0)</f>
        <v>0.93</v>
      </c>
      <c r="AE93" s="62"/>
    </row>
    <row r="94" spans="27:31" ht="16.5" thickTop="1" thickBot="1" x14ac:dyDescent="0.3">
      <c r="AA94" s="403"/>
      <c r="AB94" s="404"/>
      <c r="AC94" s="404"/>
      <c r="AD94" s="404"/>
      <c r="AE94" s="405"/>
    </row>
    <row r="95" spans="27:31" ht="16.5" thickTop="1" thickBot="1" x14ac:dyDescent="0.3"/>
    <row r="96" spans="27:31" ht="16.5" thickTop="1" thickBot="1" x14ac:dyDescent="0.3">
      <c r="AA96" s="408" t="s">
        <v>313</v>
      </c>
      <c r="AB96" s="409"/>
      <c r="AC96" s="409"/>
      <c r="AD96" s="409"/>
      <c r="AE96" s="410"/>
    </row>
    <row r="97" spans="27:31" ht="16.5" thickTop="1" thickBot="1" x14ac:dyDescent="0.3">
      <c r="AA97" s="237">
        <v>1</v>
      </c>
      <c r="AB97" s="235" t="s">
        <v>326</v>
      </c>
      <c r="AC97" s="236">
        <v>1</v>
      </c>
      <c r="AD97" s="233" t="s">
        <v>19</v>
      </c>
      <c r="AE97" s="234">
        <f>0.05</f>
        <v>0.05</v>
      </c>
    </row>
    <row r="98" spans="27:31" ht="15.75" thickTop="1" x14ac:dyDescent="0.25">
      <c r="AA98" s="238" t="s">
        <v>98</v>
      </c>
      <c r="AB98" s="254">
        <f ca="1">SUM(EtCT:downtwo)</f>
        <v>47.75</v>
      </c>
      <c r="AC98" s="254">
        <f ca="1">SUM(TtCT:downtwo)</f>
        <v>50</v>
      </c>
      <c r="AD98" s="411">
        <f ca="1">IFERROR(AB98/AC98,0)</f>
        <v>0.95499999999999996</v>
      </c>
      <c r="AE98" s="412"/>
    </row>
    <row r="99" spans="27:31" ht="15.75" thickBot="1" x14ac:dyDescent="0.3">
      <c r="AA99" s="239" t="s">
        <v>18</v>
      </c>
      <c r="AB99" s="413" t="s">
        <v>17</v>
      </c>
      <c r="AC99" s="413"/>
      <c r="AD99" s="240" t="s">
        <v>16</v>
      </c>
      <c r="AE99" s="241" t="s">
        <v>15</v>
      </c>
    </row>
    <row r="100" spans="27:31" ht="16.5" thickTop="1" thickBot="1" x14ac:dyDescent="0.3">
      <c r="AA100" s="66" t="s">
        <v>16</v>
      </c>
      <c r="AB100" s="65">
        <v>47.75</v>
      </c>
      <c r="AC100" s="64">
        <v>50</v>
      </c>
      <c r="AD100" s="63">
        <f>IFERROR(AB100/AC100,0)</f>
        <v>0.95499999999999996</v>
      </c>
      <c r="AE100" s="62"/>
    </row>
    <row r="101" spans="27:31" ht="16.5" thickTop="1" thickBot="1" x14ac:dyDescent="0.3">
      <c r="AA101" s="403"/>
      <c r="AB101" s="404"/>
      <c r="AC101" s="404"/>
      <c r="AD101" s="404"/>
      <c r="AE101" s="405"/>
    </row>
    <row r="102" spans="27:31" ht="16.5" thickTop="1" thickBot="1" x14ac:dyDescent="0.3"/>
    <row r="103" spans="27:31" ht="16.5" thickTop="1" thickBot="1" x14ac:dyDescent="0.3">
      <c r="AA103" s="408" t="s">
        <v>314</v>
      </c>
      <c r="AB103" s="409"/>
      <c r="AC103" s="409"/>
      <c r="AD103" s="409"/>
      <c r="AE103" s="410"/>
    </row>
    <row r="104" spans="27:31" ht="16.5" thickTop="1" thickBot="1" x14ac:dyDescent="0.3">
      <c r="AA104" s="237">
        <v>1</v>
      </c>
      <c r="AB104" s="235" t="s">
        <v>326</v>
      </c>
      <c r="AC104" s="236">
        <v>1</v>
      </c>
      <c r="AD104" s="233" t="s">
        <v>19</v>
      </c>
      <c r="AE104" s="234">
        <f>0.025</f>
        <v>2.5000000000000001E-2</v>
      </c>
    </row>
    <row r="105" spans="27:31" ht="15.75" thickTop="1" x14ac:dyDescent="0.25">
      <c r="AA105" s="238" t="s">
        <v>98</v>
      </c>
      <c r="AB105" s="254">
        <f ca="1">SUM(EtCT:downtwo)</f>
        <v>25</v>
      </c>
      <c r="AC105" s="254">
        <f ca="1">SUM(TtCT:downtwo)</f>
        <v>25</v>
      </c>
      <c r="AD105" s="411">
        <f ca="1">IFERROR(AB105/AC105,0)</f>
        <v>1</v>
      </c>
      <c r="AE105" s="412"/>
    </row>
    <row r="106" spans="27:31" ht="15.75" thickBot="1" x14ac:dyDescent="0.3">
      <c r="AA106" s="239" t="s">
        <v>18</v>
      </c>
      <c r="AB106" s="413" t="s">
        <v>17</v>
      </c>
      <c r="AC106" s="413"/>
      <c r="AD106" s="240" t="s">
        <v>16</v>
      </c>
      <c r="AE106" s="241" t="s">
        <v>15</v>
      </c>
    </row>
    <row r="107" spans="27:31" ht="16.5" thickTop="1" thickBot="1" x14ac:dyDescent="0.3">
      <c r="AA107" s="66" t="s">
        <v>16</v>
      </c>
      <c r="AB107" s="65">
        <v>25</v>
      </c>
      <c r="AC107" s="64">
        <v>25</v>
      </c>
      <c r="AD107" s="63">
        <f>IFERROR(AB107/AC107,0)</f>
        <v>1</v>
      </c>
      <c r="AE107" s="62"/>
    </row>
    <row r="108" spans="27:31" ht="16.5" thickTop="1" thickBot="1" x14ac:dyDescent="0.3">
      <c r="AA108" s="403"/>
      <c r="AB108" s="404"/>
      <c r="AC108" s="404"/>
      <c r="AD108" s="404"/>
      <c r="AE108" s="405"/>
    </row>
    <row r="109" spans="27:31" ht="16.5" thickTop="1" thickBot="1" x14ac:dyDescent="0.3"/>
    <row r="110" spans="27:31" ht="16.5" thickTop="1" thickBot="1" x14ac:dyDescent="0.3">
      <c r="AA110" s="408" t="s">
        <v>315</v>
      </c>
      <c r="AB110" s="409"/>
      <c r="AC110" s="409"/>
      <c r="AD110" s="409"/>
      <c r="AE110" s="410"/>
    </row>
    <row r="111" spans="27:31" ht="16.5" thickTop="1" thickBot="1" x14ac:dyDescent="0.3">
      <c r="AA111" s="237">
        <v>1</v>
      </c>
      <c r="AB111" s="235" t="s">
        <v>326</v>
      </c>
      <c r="AC111" s="236">
        <v>1</v>
      </c>
      <c r="AD111" s="233" t="s">
        <v>19</v>
      </c>
      <c r="AE111" s="234">
        <f>0.025</f>
        <v>2.5000000000000001E-2</v>
      </c>
    </row>
    <row r="112" spans="27:31" ht="15.75" thickTop="1" x14ac:dyDescent="0.25">
      <c r="AA112" s="238" t="s">
        <v>98</v>
      </c>
      <c r="AB112" s="254">
        <f ca="1">SUM(EtCT:downtwo)</f>
        <v>24.1</v>
      </c>
      <c r="AC112" s="254">
        <f ca="1">SUM(TtCT:downtwo)</f>
        <v>25</v>
      </c>
      <c r="AD112" s="411">
        <f ca="1">IFERROR(AB112/AC112,0)</f>
        <v>0.96400000000000008</v>
      </c>
      <c r="AE112" s="412"/>
    </row>
    <row r="113" spans="21:31" ht="15.75" thickBot="1" x14ac:dyDescent="0.3">
      <c r="AA113" s="239" t="s">
        <v>18</v>
      </c>
      <c r="AB113" s="413" t="s">
        <v>17</v>
      </c>
      <c r="AC113" s="413"/>
      <c r="AD113" s="240" t="s">
        <v>16</v>
      </c>
      <c r="AE113" s="241" t="s">
        <v>15</v>
      </c>
    </row>
    <row r="114" spans="21:31" ht="16.5" thickTop="1" thickBot="1" x14ac:dyDescent="0.3">
      <c r="AA114" s="66" t="s">
        <v>16</v>
      </c>
      <c r="AB114" s="65">
        <v>24.1</v>
      </c>
      <c r="AC114" s="64">
        <v>25</v>
      </c>
      <c r="AD114" s="63">
        <f>IFERROR(AB114/AC114,0)</f>
        <v>0.96400000000000008</v>
      </c>
      <c r="AE114" s="62"/>
    </row>
    <row r="115" spans="21:31" ht="16.5" thickTop="1" thickBot="1" x14ac:dyDescent="0.3">
      <c r="AA115" s="403"/>
      <c r="AB115" s="404"/>
      <c r="AC115" s="404"/>
      <c r="AD115" s="404"/>
      <c r="AE115" s="405"/>
    </row>
    <row r="116" spans="21:31" ht="16.5" thickTop="1" thickBot="1" x14ac:dyDescent="0.3"/>
    <row r="117" spans="21:31" ht="16.5" thickTop="1" thickBot="1" x14ac:dyDescent="0.3">
      <c r="AA117" s="408" t="s">
        <v>316</v>
      </c>
      <c r="AB117" s="409"/>
      <c r="AC117" s="409"/>
      <c r="AD117" s="409"/>
      <c r="AE117" s="410"/>
    </row>
    <row r="118" spans="21:31" ht="16.5" thickTop="1" thickBot="1" x14ac:dyDescent="0.3">
      <c r="AA118" s="237">
        <v>1</v>
      </c>
      <c r="AB118" s="235" t="s">
        <v>326</v>
      </c>
      <c r="AC118" s="236">
        <v>1</v>
      </c>
      <c r="AD118" s="233" t="s">
        <v>19</v>
      </c>
      <c r="AE118" s="234">
        <f>0.2</f>
        <v>0.2</v>
      </c>
    </row>
    <row r="119" spans="21:31" ht="15.75" thickTop="1" x14ac:dyDescent="0.25">
      <c r="AA119" s="238" t="s">
        <v>98</v>
      </c>
      <c r="AB119" s="254">
        <f ca="1">SUM(EtCT:downtwo)</f>
        <v>188.5</v>
      </c>
      <c r="AC119" s="254">
        <f ca="1">SUM(TtCT:downtwo)</f>
        <v>200</v>
      </c>
      <c r="AD119" s="411">
        <f ca="1">IFERROR(AB119/AC119,0)</f>
        <v>0.9425</v>
      </c>
      <c r="AE119" s="412"/>
    </row>
    <row r="120" spans="21:31" ht="15.75" thickBot="1" x14ac:dyDescent="0.3">
      <c r="AA120" s="239" t="s">
        <v>18</v>
      </c>
      <c r="AB120" s="413" t="s">
        <v>17</v>
      </c>
      <c r="AC120" s="413"/>
      <c r="AD120" s="240" t="s">
        <v>16</v>
      </c>
      <c r="AE120" s="241" t="s">
        <v>15</v>
      </c>
    </row>
    <row r="121" spans="21:31" ht="16.5" thickTop="1" thickBot="1" x14ac:dyDescent="0.3">
      <c r="AA121" s="66" t="s">
        <v>16</v>
      </c>
      <c r="AB121" s="65">
        <v>188.5</v>
      </c>
      <c r="AC121" s="64">
        <v>200</v>
      </c>
      <c r="AD121" s="63">
        <f>IFERROR(AB121/AC121,0)</f>
        <v>0.9425</v>
      </c>
      <c r="AE121" s="62"/>
    </row>
    <row r="122" spans="21:31" ht="16.5" thickTop="1" thickBot="1" x14ac:dyDescent="0.3">
      <c r="AA122" s="403"/>
      <c r="AB122" s="404"/>
      <c r="AC122" s="404"/>
      <c r="AD122" s="404"/>
      <c r="AE122" s="405"/>
    </row>
    <row r="123" spans="21:31" ht="16.5" thickTop="1" thickBot="1" x14ac:dyDescent="0.3"/>
    <row r="124" spans="21:31" ht="16.5" thickTop="1" thickBot="1" x14ac:dyDescent="0.3">
      <c r="U124" s="408" t="s">
        <v>414</v>
      </c>
      <c r="V124" s="409"/>
      <c r="W124" s="409"/>
      <c r="X124" s="409"/>
      <c r="Y124" s="410"/>
      <c r="AA124" s="408" t="s">
        <v>317</v>
      </c>
      <c r="AB124" s="409"/>
      <c r="AC124" s="409"/>
      <c r="AD124" s="409"/>
      <c r="AE124" s="410"/>
    </row>
    <row r="125" spans="21:31" ht="16.5" thickTop="1" thickBot="1" x14ac:dyDescent="0.3">
      <c r="U125" s="237">
        <v>1</v>
      </c>
      <c r="V125" s="235" t="s">
        <v>326</v>
      </c>
      <c r="W125" s="236">
        <v>1</v>
      </c>
      <c r="X125" s="233" t="s">
        <v>19</v>
      </c>
      <c r="Y125" s="234">
        <f>0</f>
        <v>0</v>
      </c>
      <c r="AA125" s="237">
        <v>1</v>
      </c>
      <c r="AB125" s="235" t="s">
        <v>326</v>
      </c>
      <c r="AC125" s="236">
        <v>1</v>
      </c>
      <c r="AD125" s="233" t="s">
        <v>19</v>
      </c>
      <c r="AE125" s="234">
        <f>0.15</f>
        <v>0.15</v>
      </c>
    </row>
    <row r="126" spans="21:31" ht="15.75" thickTop="1" x14ac:dyDescent="0.25">
      <c r="U126" s="238" t="s">
        <v>98</v>
      </c>
      <c r="V126" s="254">
        <f ca="1">SUM(EtCT:downtwo)</f>
        <v>77</v>
      </c>
      <c r="W126" s="254">
        <f ca="1">SUM(TtCT:downtwo)</f>
        <v>100</v>
      </c>
      <c r="X126" s="411">
        <f ca="1">IFERROR(V126/W126,0)</f>
        <v>0.77</v>
      </c>
      <c r="Y126" s="412"/>
      <c r="AA126" s="238" t="s">
        <v>98</v>
      </c>
      <c r="AB126" s="254">
        <f ca="1">SUM(EtCT:downtwo)</f>
        <v>141.5</v>
      </c>
      <c r="AC126" s="254">
        <f ca="1">SUM(TtCT:downtwo)</f>
        <v>150</v>
      </c>
      <c r="AD126" s="411">
        <f ca="1">IFERROR(AB126/AC126,0)</f>
        <v>0.94333333333333336</v>
      </c>
      <c r="AE126" s="412"/>
    </row>
    <row r="127" spans="21:31" ht="15.75" thickBot="1" x14ac:dyDescent="0.3">
      <c r="U127" s="239" t="s">
        <v>18</v>
      </c>
      <c r="V127" s="413" t="s">
        <v>17</v>
      </c>
      <c r="W127" s="413"/>
      <c r="X127" s="240" t="s">
        <v>16</v>
      </c>
      <c r="Y127" s="241" t="s">
        <v>15</v>
      </c>
      <c r="AA127" s="239" t="s">
        <v>18</v>
      </c>
      <c r="AB127" s="413" t="s">
        <v>17</v>
      </c>
      <c r="AC127" s="413"/>
      <c r="AD127" s="240" t="s">
        <v>16</v>
      </c>
      <c r="AE127" s="241" t="s">
        <v>15</v>
      </c>
    </row>
    <row r="128" spans="21:31" ht="16.5" thickTop="1" thickBot="1" x14ac:dyDescent="0.3">
      <c r="U128" s="25" t="s">
        <v>296</v>
      </c>
      <c r="V128" s="24">
        <v>77</v>
      </c>
      <c r="W128" s="24">
        <v>100</v>
      </c>
      <c r="X128" s="23">
        <f>IFERROR(V128/W128,0)</f>
        <v>0.77</v>
      </c>
      <c r="Y128" s="22"/>
      <c r="AA128" s="66" t="s">
        <v>16</v>
      </c>
      <c r="AB128" s="65">
        <v>141.5</v>
      </c>
      <c r="AC128" s="64">
        <v>150</v>
      </c>
      <c r="AD128" s="63">
        <f>IFERROR(AB128/AC128,0)</f>
        <v>0.94333333333333336</v>
      </c>
      <c r="AE128" s="62"/>
    </row>
    <row r="129" spans="21:31" ht="16.5" thickTop="1" thickBot="1" x14ac:dyDescent="0.3">
      <c r="U129" s="403"/>
      <c r="V129" s="404"/>
      <c r="W129" s="404"/>
      <c r="X129" s="404"/>
      <c r="Y129" s="405"/>
      <c r="AA129" s="403"/>
      <c r="AB129" s="404"/>
      <c r="AC129" s="404"/>
      <c r="AD129" s="404"/>
      <c r="AE129" s="405"/>
    </row>
    <row r="130" spans="21:31" ht="16.5" thickTop="1" thickBot="1" x14ac:dyDescent="0.3"/>
    <row r="131" spans="21:31" ht="16.5" thickTop="1" thickBot="1" x14ac:dyDescent="0.3">
      <c r="U131" s="408" t="s">
        <v>415</v>
      </c>
      <c r="V131" s="409"/>
      <c r="W131" s="409"/>
      <c r="X131" s="409"/>
      <c r="Y131" s="410"/>
      <c r="AA131" s="408" t="s">
        <v>318</v>
      </c>
      <c r="AB131" s="409"/>
      <c r="AC131" s="409"/>
      <c r="AD131" s="409"/>
      <c r="AE131" s="410"/>
    </row>
    <row r="132" spans="21:31" ht="16.5" thickTop="1" thickBot="1" x14ac:dyDescent="0.3">
      <c r="U132" s="237">
        <v>1</v>
      </c>
      <c r="V132" s="235" t="s">
        <v>326</v>
      </c>
      <c r="W132" s="236">
        <v>1</v>
      </c>
      <c r="X132" s="233" t="s">
        <v>19</v>
      </c>
      <c r="Y132" s="234">
        <f>0</f>
        <v>0</v>
      </c>
      <c r="AA132" s="237">
        <v>1</v>
      </c>
      <c r="AB132" s="235" t="s">
        <v>326</v>
      </c>
      <c r="AC132" s="236">
        <v>1</v>
      </c>
      <c r="AD132" s="233" t="s">
        <v>19</v>
      </c>
      <c r="AE132" s="234">
        <f>0.1</f>
        <v>0.1</v>
      </c>
    </row>
    <row r="133" spans="21:31" ht="15.75" thickTop="1" x14ac:dyDescent="0.25">
      <c r="U133" s="238" t="s">
        <v>98</v>
      </c>
      <c r="V133" s="254">
        <f ca="1">SUM(EtCT:downtwo)</f>
        <v>90.5</v>
      </c>
      <c r="W133" s="254">
        <f ca="1">SUM(TtCT:downtwo)</f>
        <v>100</v>
      </c>
      <c r="X133" s="411">
        <f ca="1">IFERROR(V133/W133,0)</f>
        <v>0.90500000000000003</v>
      </c>
      <c r="Y133" s="412"/>
      <c r="AA133" s="238" t="s">
        <v>98</v>
      </c>
      <c r="AB133" s="254">
        <f ca="1">SUM(EtCT:downtwo)</f>
        <v>97</v>
      </c>
      <c r="AC133" s="254">
        <f ca="1">SUM(TtCT:downtwo)</f>
        <v>100</v>
      </c>
      <c r="AD133" s="411">
        <f ca="1">IFERROR(AB133/AC133,0)</f>
        <v>0.97</v>
      </c>
      <c r="AE133" s="412"/>
    </row>
    <row r="134" spans="21:31" ht="15.75" thickBot="1" x14ac:dyDescent="0.3">
      <c r="U134" s="239" t="s">
        <v>18</v>
      </c>
      <c r="V134" s="413" t="s">
        <v>17</v>
      </c>
      <c r="W134" s="413"/>
      <c r="X134" s="240" t="s">
        <v>16</v>
      </c>
      <c r="Y134" s="241" t="s">
        <v>15</v>
      </c>
      <c r="AA134" s="239" t="s">
        <v>18</v>
      </c>
      <c r="AB134" s="413" t="s">
        <v>17</v>
      </c>
      <c r="AC134" s="413"/>
      <c r="AD134" s="240" t="s">
        <v>16</v>
      </c>
      <c r="AE134" s="241" t="s">
        <v>15</v>
      </c>
    </row>
    <row r="135" spans="21:31" ht="16.5" thickTop="1" thickBot="1" x14ac:dyDescent="0.3">
      <c r="U135" s="25" t="s">
        <v>364</v>
      </c>
      <c r="V135" s="24">
        <v>90.5</v>
      </c>
      <c r="W135" s="24">
        <v>100</v>
      </c>
      <c r="X135" s="23">
        <f>IFERROR(V135/W135,0)</f>
        <v>0.90500000000000003</v>
      </c>
      <c r="Y135" s="22"/>
      <c r="AA135" s="66" t="s">
        <v>16</v>
      </c>
      <c r="AB135" s="65">
        <v>97</v>
      </c>
      <c r="AC135" s="64">
        <v>100</v>
      </c>
      <c r="AD135" s="63">
        <f>IFERROR(AB135/AC135,0)</f>
        <v>0.97</v>
      </c>
      <c r="AE135" s="62"/>
    </row>
    <row r="136" spans="21:31" ht="16.5" thickTop="1" thickBot="1" x14ac:dyDescent="0.3">
      <c r="U136" s="403"/>
      <c r="V136" s="404"/>
      <c r="W136" s="404"/>
      <c r="X136" s="404"/>
      <c r="Y136" s="405"/>
      <c r="AA136" s="403"/>
      <c r="AB136" s="404"/>
      <c r="AC136" s="404"/>
      <c r="AD136" s="404"/>
      <c r="AE136" s="405"/>
    </row>
    <row r="137" spans="21:31" ht="16.5" thickTop="1" thickBot="1" x14ac:dyDescent="0.3"/>
    <row r="138" spans="21:31" ht="16.5" thickTop="1" thickBot="1" x14ac:dyDescent="0.3">
      <c r="AA138" s="408" t="s">
        <v>319</v>
      </c>
      <c r="AB138" s="409"/>
      <c r="AC138" s="409"/>
      <c r="AD138" s="409"/>
      <c r="AE138" s="410"/>
    </row>
    <row r="139" spans="21:31" ht="16.5" thickTop="1" thickBot="1" x14ac:dyDescent="0.3">
      <c r="AA139" s="237">
        <v>1</v>
      </c>
      <c r="AB139" s="235" t="s">
        <v>326</v>
      </c>
      <c r="AC139" s="236">
        <v>1</v>
      </c>
      <c r="AD139" s="233" t="s">
        <v>19</v>
      </c>
      <c r="AE139" s="234">
        <f>0.05</f>
        <v>0.05</v>
      </c>
    </row>
    <row r="140" spans="21:31" ht="15.75" thickTop="1" x14ac:dyDescent="0.25">
      <c r="AA140" s="238" t="s">
        <v>98</v>
      </c>
      <c r="AB140" s="254">
        <f ca="1">SUM(EtCT:downtwo)</f>
        <v>45</v>
      </c>
      <c r="AC140" s="254">
        <f ca="1">SUM(TtCT:downtwo)</f>
        <v>50</v>
      </c>
      <c r="AD140" s="411">
        <f ca="1">IFERROR(AB140/AC140,0)</f>
        <v>0.9</v>
      </c>
      <c r="AE140" s="412"/>
    </row>
    <row r="141" spans="21:31" ht="15.75" thickBot="1" x14ac:dyDescent="0.3">
      <c r="AA141" s="239" t="s">
        <v>18</v>
      </c>
      <c r="AB141" s="413" t="s">
        <v>17</v>
      </c>
      <c r="AC141" s="413"/>
      <c r="AD141" s="240" t="s">
        <v>16</v>
      </c>
      <c r="AE141" s="241" t="s">
        <v>15</v>
      </c>
    </row>
    <row r="142" spans="21:31" ht="16.5" thickTop="1" thickBot="1" x14ac:dyDescent="0.3">
      <c r="AA142" s="66" t="s">
        <v>16</v>
      </c>
      <c r="AB142" s="65">
        <v>45</v>
      </c>
      <c r="AC142" s="64">
        <v>50</v>
      </c>
      <c r="AD142" s="63">
        <f>IFERROR(AB142/AC142,0)</f>
        <v>0.9</v>
      </c>
      <c r="AE142" s="62"/>
    </row>
    <row r="143" spans="21:31" ht="16.5" thickTop="1" thickBot="1" x14ac:dyDescent="0.3">
      <c r="AA143" s="403"/>
      <c r="AB143" s="404"/>
      <c r="AC143" s="404"/>
      <c r="AD143" s="404"/>
      <c r="AE143" s="405"/>
    </row>
    <row r="144" spans="21:31" ht="15.75" thickTop="1" x14ac:dyDescent="0.25"/>
  </sheetData>
  <dataConsolidate/>
  <mergeCells count="202">
    <mergeCell ref="B2:D2"/>
    <mergeCell ref="E2:G2"/>
    <mergeCell ref="B3:C3"/>
    <mergeCell ref="E3:F3"/>
    <mergeCell ref="B4:C4"/>
    <mergeCell ref="E4:F4"/>
    <mergeCell ref="U59:Y59"/>
    <mergeCell ref="X61:Y61"/>
    <mergeCell ref="V62:W62"/>
    <mergeCell ref="C15:D15"/>
    <mergeCell ref="C16:D16"/>
    <mergeCell ref="C17:D17"/>
    <mergeCell ref="C18:D18"/>
    <mergeCell ref="C19:D19"/>
    <mergeCell ref="C20:D20"/>
    <mergeCell ref="C6:G6"/>
    <mergeCell ref="C7:D7"/>
    <mergeCell ref="C8:D8"/>
    <mergeCell ref="C9:G9"/>
    <mergeCell ref="C13:G13"/>
    <mergeCell ref="C14:D14"/>
    <mergeCell ref="C34:G34"/>
    <mergeCell ref="F36:G36"/>
    <mergeCell ref="D37:E37"/>
    <mergeCell ref="C41:G41"/>
    <mergeCell ref="C43:G43"/>
    <mergeCell ref="F45:G45"/>
    <mergeCell ref="D46:E46"/>
    <mergeCell ref="C50:G50"/>
    <mergeCell ref="C22:G22"/>
    <mergeCell ref="F24:G24"/>
    <mergeCell ref="D25:E25"/>
    <mergeCell ref="C32:G32"/>
    <mergeCell ref="I15:J15"/>
    <mergeCell ref="I16:J16"/>
    <mergeCell ref="I17:J17"/>
    <mergeCell ref="I18:J18"/>
    <mergeCell ref="I19:J19"/>
    <mergeCell ref="I20:J20"/>
    <mergeCell ref="I6:M6"/>
    <mergeCell ref="I7:J7"/>
    <mergeCell ref="I8:J8"/>
    <mergeCell ref="I9:M9"/>
    <mergeCell ref="I13:M13"/>
    <mergeCell ref="I14:J14"/>
    <mergeCell ref="AA8:AB8"/>
    <mergeCell ref="AG8:AH8"/>
    <mergeCell ref="O9:S9"/>
    <mergeCell ref="U9:Y9"/>
    <mergeCell ref="AA9:AE9"/>
    <mergeCell ref="AG9:AK9"/>
    <mergeCell ref="AA6:AE6"/>
    <mergeCell ref="AG6:AK6"/>
    <mergeCell ref="O7:P7"/>
    <mergeCell ref="U7:V7"/>
    <mergeCell ref="AA7:AB7"/>
    <mergeCell ref="AG7:AH7"/>
    <mergeCell ref="O6:S6"/>
    <mergeCell ref="U6:Y6"/>
    <mergeCell ref="O8:P8"/>
    <mergeCell ref="U8:V8"/>
    <mergeCell ref="O15:P15"/>
    <mergeCell ref="U15:V15"/>
    <mergeCell ref="AA15:AB15"/>
    <mergeCell ref="AG15:AH15"/>
    <mergeCell ref="O16:P16"/>
    <mergeCell ref="U16:V16"/>
    <mergeCell ref="AA16:AB16"/>
    <mergeCell ref="AG16:AH16"/>
    <mergeCell ref="AA13:AE13"/>
    <mergeCell ref="AG13:AK13"/>
    <mergeCell ref="O14:P14"/>
    <mergeCell ref="U14:V14"/>
    <mergeCell ref="AA14:AB14"/>
    <mergeCell ref="AG14:AH14"/>
    <mergeCell ref="O13:S13"/>
    <mergeCell ref="U13:Y13"/>
    <mergeCell ref="O19:P19"/>
    <mergeCell ref="U19:V19"/>
    <mergeCell ref="AA19:AB19"/>
    <mergeCell ref="AG19:AH19"/>
    <mergeCell ref="O20:P20"/>
    <mergeCell ref="U20:V20"/>
    <mergeCell ref="AA20:AB20"/>
    <mergeCell ref="AG20:AH20"/>
    <mergeCell ref="O17:P17"/>
    <mergeCell ref="U17:V17"/>
    <mergeCell ref="AA17:AB17"/>
    <mergeCell ref="AG17:AH17"/>
    <mergeCell ref="O18:P18"/>
    <mergeCell ref="U18:V18"/>
    <mergeCell ref="AA18:AB18"/>
    <mergeCell ref="AG18:AH18"/>
    <mergeCell ref="I33:M33"/>
    <mergeCell ref="I41:M41"/>
    <mergeCell ref="I43:M43"/>
    <mergeCell ref="L45:M45"/>
    <mergeCell ref="I31:M31"/>
    <mergeCell ref="O32:S32"/>
    <mergeCell ref="P25:Q25"/>
    <mergeCell ref="V25:W25"/>
    <mergeCell ref="O22:S22"/>
    <mergeCell ref="U22:Y22"/>
    <mergeCell ref="R24:S24"/>
    <mergeCell ref="X24:Y24"/>
    <mergeCell ref="I22:M22"/>
    <mergeCell ref="L24:M24"/>
    <mergeCell ref="J25:K25"/>
    <mergeCell ref="I60:M60"/>
    <mergeCell ref="O39:S39"/>
    <mergeCell ref="O34:S34"/>
    <mergeCell ref="R36:S36"/>
    <mergeCell ref="P37:Q37"/>
    <mergeCell ref="O41:S41"/>
    <mergeCell ref="R43:S43"/>
    <mergeCell ref="P44:Q44"/>
    <mergeCell ref="O46:S46"/>
    <mergeCell ref="J46:K46"/>
    <mergeCell ref="I52:M52"/>
    <mergeCell ref="I54:M54"/>
    <mergeCell ref="L56:M56"/>
    <mergeCell ref="J57:K57"/>
    <mergeCell ref="L35:M35"/>
    <mergeCell ref="J36:K36"/>
    <mergeCell ref="V134:W134"/>
    <mergeCell ref="U136:Y136"/>
    <mergeCell ref="AG22:AK22"/>
    <mergeCell ref="X51:Y51"/>
    <mergeCell ref="U57:Y57"/>
    <mergeCell ref="X126:Y126"/>
    <mergeCell ref="V127:W127"/>
    <mergeCell ref="U129:Y129"/>
    <mergeCell ref="V52:W52"/>
    <mergeCell ref="U124:Y124"/>
    <mergeCell ref="U131:Y131"/>
    <mergeCell ref="U37:Y37"/>
    <mergeCell ref="U39:Y39"/>
    <mergeCell ref="X41:Y41"/>
    <mergeCell ref="V42:W42"/>
    <mergeCell ref="U47:Y47"/>
    <mergeCell ref="U49:Y49"/>
    <mergeCell ref="U64:Y64"/>
    <mergeCell ref="AA22:AE22"/>
    <mergeCell ref="AD24:AE24"/>
    <mergeCell ref="AB25:AC25"/>
    <mergeCell ref="AA40:AE40"/>
    <mergeCell ref="AA42:AE42"/>
    <mergeCell ref="AD44:AE44"/>
    <mergeCell ref="AB45:AC45"/>
    <mergeCell ref="AA71:AE71"/>
    <mergeCell ref="X133:Y133"/>
    <mergeCell ref="AD98:AE98"/>
    <mergeCell ref="AB99:AC99"/>
    <mergeCell ref="AA101:AE101"/>
    <mergeCell ref="AA73:AE73"/>
    <mergeCell ref="AD75:AE75"/>
    <mergeCell ref="AB76:AC76"/>
    <mergeCell ref="AA87:AE87"/>
    <mergeCell ref="AA89:AE89"/>
    <mergeCell ref="AD91:AE91"/>
    <mergeCell ref="AD140:AE140"/>
    <mergeCell ref="AB141:AC141"/>
    <mergeCell ref="AA143:AE143"/>
    <mergeCell ref="AA124:AE124"/>
    <mergeCell ref="AD126:AE126"/>
    <mergeCell ref="AB127:AC127"/>
    <mergeCell ref="AA129:AE129"/>
    <mergeCell ref="AA131:AE131"/>
    <mergeCell ref="AD133:AE133"/>
    <mergeCell ref="AJ24:AK24"/>
    <mergeCell ref="AH25:AI25"/>
    <mergeCell ref="AG33:AK33"/>
    <mergeCell ref="AG35:AK35"/>
    <mergeCell ref="AJ37:AK37"/>
    <mergeCell ref="AH38:AI38"/>
    <mergeCell ref="AB134:AC134"/>
    <mergeCell ref="AA136:AE136"/>
    <mergeCell ref="AA138:AE138"/>
    <mergeCell ref="AB113:AC113"/>
    <mergeCell ref="AA115:AE115"/>
    <mergeCell ref="AA117:AE117"/>
    <mergeCell ref="AD119:AE119"/>
    <mergeCell ref="AB120:AC120"/>
    <mergeCell ref="AA122:AE122"/>
    <mergeCell ref="AA103:AE103"/>
    <mergeCell ref="AD105:AE105"/>
    <mergeCell ref="AB106:AC106"/>
    <mergeCell ref="AA108:AE108"/>
    <mergeCell ref="AA110:AE110"/>
    <mergeCell ref="AD112:AE112"/>
    <mergeCell ref="AB92:AC92"/>
    <mergeCell ref="AA94:AE94"/>
    <mergeCell ref="AA96:AE96"/>
    <mergeCell ref="AJ51:AK51"/>
    <mergeCell ref="AH52:AI52"/>
    <mergeCell ref="AG54:AK54"/>
    <mergeCell ref="AG40:AK40"/>
    <mergeCell ref="AG42:AK42"/>
    <mergeCell ref="AJ44:AK44"/>
    <mergeCell ref="AH45:AI45"/>
    <mergeCell ref="AG47:AK47"/>
    <mergeCell ref="AG49:AK49"/>
  </mergeCells>
  <phoneticPr fontId="6" type="noConversion"/>
  <conditionalFormatting sqref="E14:E20">
    <cfRule type="expression" dxfId="21" priority="10">
      <formula>IF((CELLV)&gt;(1-LSFa),1,0)</formula>
    </cfRule>
  </conditionalFormatting>
  <conditionalFormatting sqref="G14:G20">
    <cfRule type="expression" dxfId="20" priority="9">
      <formula>IF((CELLV)&gt;(1-LSFa),1,0)</formula>
    </cfRule>
  </conditionalFormatting>
  <conditionalFormatting sqref="K14:K20">
    <cfRule type="expression" dxfId="19" priority="8">
      <formula>IF((CELLV)&gt;(1-LSFb),1,0)</formula>
    </cfRule>
  </conditionalFormatting>
  <conditionalFormatting sqref="M14:M20">
    <cfRule type="expression" dxfId="18" priority="7">
      <formula>IF((CELLV)&gt;(1-LSFb),1,0)</formula>
    </cfRule>
  </conditionalFormatting>
  <conditionalFormatting sqref="AE14:AE20">
    <cfRule type="expression" dxfId="17" priority="1">
      <formula>IF((CELLV)&gt;(1-LSFe),1,0)</formula>
    </cfRule>
  </conditionalFormatting>
  <conditionalFormatting sqref="Q14:Q20">
    <cfRule type="expression" dxfId="16" priority="6">
      <formula>IF((CELLV)&gt;(1-LSFc),1,0)</formula>
    </cfRule>
  </conditionalFormatting>
  <conditionalFormatting sqref="S14:S20">
    <cfRule type="expression" dxfId="15" priority="5">
      <formula>IF((CELLV)&gt;(1-LSFc),1,0)</formula>
    </cfRule>
  </conditionalFormatting>
  <conditionalFormatting sqref="W14:W20">
    <cfRule type="expression" dxfId="14" priority="4">
      <formula>IF((CELLV)&gt;(1-LSFd),1,0)</formula>
    </cfRule>
  </conditionalFormatting>
  <conditionalFormatting sqref="Y14:Y20">
    <cfRule type="expression" dxfId="13" priority="3">
      <formula>IF((CELLV)&gt;(1-LSFd),1,0)</formula>
    </cfRule>
  </conditionalFormatting>
  <conditionalFormatting sqref="AC14:AC20">
    <cfRule type="expression" dxfId="12" priority="2">
      <formula>IF((CELLV)&gt;(1-LSFe),1,0)</formula>
    </cfRule>
  </conditionalFormatting>
  <dataValidations count="4">
    <dataValidation type="whole" operator="greaterThan" allowBlank="1" showInputMessage="1" showErrorMessage="1" sqref="E23 Q35 E44 K55 E35 K44 K23 K34 W60 Q42 W23 W40 W50 W125 W132 AC23 AC43 AC74 AC90 AC97 AC104 AC111 AC118 AC125 AC132 AC139 AI23 AI36 AI43 AI50 Q23" xr:uid="{16BF3B7D-623C-4AB6-9D26-06D0942C1493}">
      <formula1>0</formula1>
    </dataValidation>
    <dataValidation type="list" allowBlank="1" showInputMessage="1" showErrorMessage="1" sqref="E8 K8 Q8 AC8 W8 AI8" xr:uid="{B87C0F95-9F0F-41D4-9659-B21426A13677}">
      <formula1>"NA,1,2,3,4,5,6,7"</formula1>
    </dataValidation>
    <dataValidation type="list" allowBlank="1" showInputMessage="1" showErrorMessage="1" sqref="G8 M8 S8 AE8 Y8 AK8" xr:uid="{B80891FE-626F-4989-916C-8C655D11E469}">
      <formula1>",Class,Retaken,Dropped,P/F,Research"</formula1>
    </dataValidation>
    <dataValidation type="whole" operator="greaterThan" allowBlank="1" showInputMessage="1" showErrorMessage="1" sqref="O42 O35 AA125 AG50 U60 AG43 AG23 AG36 AA132 AA139 AA118 U40 U50 U125 U132 AA23 AA43 AA74 AA90 AA97 AA104 AA111" xr:uid="{A3E7308E-CE3E-420A-93D7-FECAE5056A40}">
      <formula1>-1</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1F9260D-9EB9-4D3C-AB41-15DB4FC0F32D}">
          <x14:formula1>
            <xm:f>OFFSET(Settings!$L$4,0,0,INDIRECT(ADDRESS(ROW(),COLUMN()+2))+1,1)</xm:f>
          </x14:formula1>
          <xm:sqref>C23 C35 C44 I44 I55 I23 I34 O23 U23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0911F-6944-408F-8ED1-A994B5E85068}">
  <sheetPr>
    <tabColor theme="1"/>
  </sheetPr>
  <dimension ref="B1:K81"/>
  <sheetViews>
    <sheetView zoomScaleNormal="100" workbookViewId="0">
      <selection activeCell="L31" sqref="L31"/>
    </sheetView>
  </sheetViews>
  <sheetFormatPr defaultRowHeight="15" x14ac:dyDescent="0.25"/>
  <cols>
    <col min="1" max="1" width="2.85546875" style="1" customWidth="1"/>
    <col min="2" max="7" width="9.140625" style="1"/>
    <col min="8" max="8" width="2.85546875" style="1" customWidth="1"/>
    <col min="9" max="16384" width="9.140625" style="1"/>
  </cols>
  <sheetData>
    <row r="1" spans="2:7" ht="15" customHeight="1" thickBot="1" x14ac:dyDescent="0.3"/>
    <row r="2" spans="2:7" ht="16.5" thickTop="1" thickBot="1" x14ac:dyDescent="0.3">
      <c r="B2" s="394" t="s">
        <v>120</v>
      </c>
      <c r="C2" s="395"/>
      <c r="D2" s="395"/>
      <c r="E2" s="395" t="s">
        <v>436</v>
      </c>
      <c r="F2" s="395"/>
      <c r="G2" s="396"/>
    </row>
    <row r="3" spans="2:7" ht="15.75" thickTop="1" x14ac:dyDescent="0.25">
      <c r="B3" s="397" t="s">
        <v>118</v>
      </c>
      <c r="C3" s="398"/>
      <c r="D3" s="245">
        <f>COUNTIF(6:6,"*")</f>
        <v>1</v>
      </c>
      <c r="E3" s="399" t="s">
        <v>117</v>
      </c>
      <c r="F3" s="398"/>
      <c r="G3" s="101">
        <f ca="1">G4/SUM(IF(OR(G8="P/F",G8="Dropped",G8="Retaken"),0,E8),IF(OR(M8="P/F",M8="Dropped",M8="Retaken"),0,K8),IF(OR(S8="P/F",S8="Dropped",S8="Retaken"),0,Q8),IF(OR(Y8="P/F",Y8="Dropped",Y8="Retaken"),0,W8),IF(OR(AE8="P/F",AE8="Dropped",AE8="Retaken"),0,AC8),IF(OR(AK8="P/F",AK8="Dropped",AK8="Retaken"),0,AI8),IF(OR(AQ8="P/F",AQ8="Dropped",AQ8="Retaken"),0,AO8))</f>
        <v>3.33</v>
      </c>
    </row>
    <row r="4" spans="2:7" ht="15.75" thickBot="1" x14ac:dyDescent="0.3">
      <c r="B4" s="400" t="s">
        <v>115</v>
      </c>
      <c r="C4" s="401"/>
      <c r="D4" s="244">
        <f>SUMIF(8:8,"&lt;&gt;#N/A")</f>
        <v>3</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9.99</v>
      </c>
    </row>
    <row r="5" spans="2:7" ht="15" customHeight="1" thickTop="1" thickBot="1" x14ac:dyDescent="0.3"/>
    <row r="6" spans="2:7" ht="16.5" thickTop="1" thickBot="1" x14ac:dyDescent="0.3">
      <c r="C6" s="382" t="s">
        <v>499</v>
      </c>
      <c r="D6" s="383"/>
      <c r="E6" s="383"/>
      <c r="F6" s="383"/>
      <c r="G6" s="384"/>
    </row>
    <row r="7" spans="2:7" x14ac:dyDescent="0.25">
      <c r="C7" s="385" t="s">
        <v>106</v>
      </c>
      <c r="D7" s="386"/>
      <c r="E7" s="99">
        <f ca="1">COUNTIF(F:F,"Weight*")</f>
        <v>4</v>
      </c>
      <c r="F7" s="349" t="s">
        <v>105</v>
      </c>
      <c r="G7" s="97" t="s">
        <v>425</v>
      </c>
    </row>
    <row r="8" spans="2:7" ht="15.75" thickBot="1" x14ac:dyDescent="0.3">
      <c r="C8" s="377" t="s">
        <v>102</v>
      </c>
      <c r="D8" s="378"/>
      <c r="E8" s="95">
        <v>3</v>
      </c>
      <c r="F8" s="350" t="s">
        <v>101</v>
      </c>
      <c r="G8" s="93" t="s">
        <v>100</v>
      </c>
    </row>
    <row r="9" spans="2:7" ht="15.75" thickTop="1" x14ac:dyDescent="0.25">
      <c r="C9" s="379" t="s">
        <v>99</v>
      </c>
      <c r="D9" s="380"/>
      <c r="E9" s="380"/>
      <c r="F9" s="380"/>
      <c r="G9" s="381"/>
    </row>
    <row r="10" spans="2:7" x14ac:dyDescent="0.25">
      <c r="C10" s="92" t="s">
        <v>98</v>
      </c>
      <c r="D10" s="271"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B+</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0.87200000000000022</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0.12799999999999997</v>
      </c>
    </row>
    <row r="11" spans="2:7" ht="15.75" thickBot="1" x14ac:dyDescent="0.3">
      <c r="C11" s="88" t="s">
        <v>96</v>
      </c>
      <c r="D11" s="87"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3.33</v>
      </c>
      <c r="E11" s="86"/>
      <c r="F11" s="86" t="s">
        <v>95</v>
      </c>
      <c r="G11" s="242" cm="1">
        <f t="array" aca="1" ref="G11" ca="1">IF(OR(QPtCT="Dropped",QPtCT="P/F"),"NA",QPtGPA*QPtCR)</f>
        <v>9.99</v>
      </c>
    </row>
    <row r="12" spans="2:7" ht="15" customHeight="1" thickTop="1" thickBot="1" x14ac:dyDescent="0.3"/>
    <row r="13" spans="2:7" ht="16.5" thickTop="1" thickBot="1" x14ac:dyDescent="0.3">
      <c r="C13" s="389" t="s">
        <v>327</v>
      </c>
      <c r="D13" s="390"/>
      <c r="E13" s="390"/>
      <c r="F13" s="390"/>
      <c r="G13" s="391"/>
    </row>
    <row r="14" spans="2:7" ht="15.75" thickTop="1" x14ac:dyDescent="0.25">
      <c r="C14" s="392" t="s">
        <v>13</v>
      </c>
      <c r="D14" s="393"/>
      <c r="E14" s="231">
        <v>0.93</v>
      </c>
      <c r="F14" s="368" t="s">
        <v>6</v>
      </c>
      <c r="G14" s="4">
        <v>0.7</v>
      </c>
    </row>
    <row r="15" spans="2:7" x14ac:dyDescent="0.25">
      <c r="C15" s="387" t="s">
        <v>12</v>
      </c>
      <c r="D15" s="388"/>
      <c r="E15" s="231">
        <v>0.9</v>
      </c>
      <c r="F15" s="368" t="s">
        <v>5</v>
      </c>
      <c r="G15" s="4">
        <v>0.68</v>
      </c>
    </row>
    <row r="16" spans="2:7" x14ac:dyDescent="0.25">
      <c r="C16" s="387" t="s">
        <v>11</v>
      </c>
      <c r="D16" s="388"/>
      <c r="E16" s="231">
        <v>0.872</v>
      </c>
      <c r="F16" s="368" t="s">
        <v>4</v>
      </c>
      <c r="G16" s="4">
        <v>0.63</v>
      </c>
    </row>
    <row r="17" spans="3:7" x14ac:dyDescent="0.25">
      <c r="C17" s="387" t="s">
        <v>10</v>
      </c>
      <c r="D17" s="388"/>
      <c r="E17" s="231">
        <v>0.83</v>
      </c>
      <c r="F17" s="368" t="s">
        <v>3</v>
      </c>
      <c r="G17" s="4">
        <v>0.6</v>
      </c>
    </row>
    <row r="18" spans="3:7" x14ac:dyDescent="0.25">
      <c r="C18" s="387" t="s">
        <v>9</v>
      </c>
      <c r="D18" s="388"/>
      <c r="E18" s="231">
        <v>0.8</v>
      </c>
      <c r="F18" s="7" t="s">
        <v>2</v>
      </c>
      <c r="G18" s="270">
        <v>0.59</v>
      </c>
    </row>
    <row r="19" spans="3:7" x14ac:dyDescent="0.25">
      <c r="C19" s="387" t="s">
        <v>8</v>
      </c>
      <c r="D19" s="388"/>
      <c r="E19" s="231">
        <v>0.78</v>
      </c>
      <c r="F19" s="368" t="s">
        <v>1</v>
      </c>
      <c r="G19" s="4">
        <f>G17</f>
        <v>0.6</v>
      </c>
    </row>
    <row r="20" spans="3:7" ht="15.75" thickBot="1" x14ac:dyDescent="0.3">
      <c r="C20" s="406" t="s">
        <v>7</v>
      </c>
      <c r="D20" s="407"/>
      <c r="E20" s="232">
        <v>0.73</v>
      </c>
      <c r="F20" s="367" t="s">
        <v>0</v>
      </c>
      <c r="G20" s="2">
        <f>IFERROR(H29/F20,0)</f>
        <v>0</v>
      </c>
    </row>
    <row r="21" spans="3:7" ht="15" customHeight="1" thickTop="1" thickBot="1" x14ac:dyDescent="0.3"/>
    <row r="22" spans="3:7" ht="16.5" thickTop="1" thickBot="1" x14ac:dyDescent="0.3">
      <c r="C22" s="408" t="s">
        <v>31</v>
      </c>
      <c r="D22" s="409"/>
      <c r="E22" s="409"/>
      <c r="F22" s="409"/>
      <c r="G22" s="410"/>
    </row>
    <row r="23" spans="3:7" ht="16.5" thickTop="1" thickBot="1" x14ac:dyDescent="0.3">
      <c r="C23" s="237">
        <v>15</v>
      </c>
      <c r="D23" s="235" t="s">
        <v>326</v>
      </c>
      <c r="E23" s="236">
        <v>15</v>
      </c>
      <c r="F23" s="233" t="s">
        <v>19</v>
      </c>
      <c r="G23" s="234">
        <v>0.6</v>
      </c>
    </row>
    <row r="24" spans="3:7" ht="15.75" thickTop="1" x14ac:dyDescent="0.25">
      <c r="C24" s="238" t="s">
        <v>98</v>
      </c>
      <c r="D24" s="254">
        <f ca="1">SUM(EtCT:downtwo)</f>
        <v>276</v>
      </c>
      <c r="E24" s="254">
        <f ca="1">SUM(TtCT:downtwo)</f>
        <v>300</v>
      </c>
      <c r="F24" s="411">
        <f ca="1">IFERROR(D24/E24,0)</f>
        <v>0.92</v>
      </c>
      <c r="G24" s="412"/>
    </row>
    <row r="25" spans="3:7" ht="15.75" thickBot="1" x14ac:dyDescent="0.3">
      <c r="C25" s="239" t="s">
        <v>18</v>
      </c>
      <c r="D25" s="413" t="s">
        <v>17</v>
      </c>
      <c r="E25" s="413"/>
      <c r="F25" s="240" t="s">
        <v>16</v>
      </c>
      <c r="G25" s="241" t="s">
        <v>15</v>
      </c>
    </row>
    <row r="26" spans="3:7" ht="15.75" thickTop="1" x14ac:dyDescent="0.25">
      <c r="C26" s="11" t="s">
        <v>332</v>
      </c>
      <c r="D26" s="10">
        <v>18</v>
      </c>
      <c r="E26" s="10">
        <v>20</v>
      </c>
      <c r="F26" s="9">
        <f t="shared" ref="F26:F35" si="0">IFERROR(D26/E26,0)</f>
        <v>0.9</v>
      </c>
      <c r="G26" s="8"/>
    </row>
    <row r="27" spans="3:7" x14ac:dyDescent="0.25">
      <c r="C27" s="11" t="s">
        <v>333</v>
      </c>
      <c r="D27" s="10">
        <v>20</v>
      </c>
      <c r="E27" s="10">
        <v>20</v>
      </c>
      <c r="F27" s="63">
        <f t="shared" si="0"/>
        <v>1</v>
      </c>
      <c r="G27" s="76"/>
    </row>
    <row r="28" spans="3:7" x14ac:dyDescent="0.25">
      <c r="C28" s="11" t="s">
        <v>334</v>
      </c>
      <c r="D28" s="10">
        <v>18</v>
      </c>
      <c r="E28" s="10">
        <v>20</v>
      </c>
      <c r="F28" s="63">
        <f t="shared" si="0"/>
        <v>0.9</v>
      </c>
      <c r="G28" s="62"/>
    </row>
    <row r="29" spans="3:7" x14ac:dyDescent="0.25">
      <c r="C29" s="11" t="s">
        <v>335</v>
      </c>
      <c r="D29" s="10">
        <v>20</v>
      </c>
      <c r="E29" s="10">
        <v>20</v>
      </c>
      <c r="F29" s="63">
        <f t="shared" si="0"/>
        <v>1</v>
      </c>
      <c r="G29" s="62"/>
    </row>
    <row r="30" spans="3:7" x14ac:dyDescent="0.25">
      <c r="C30" s="11" t="s">
        <v>336</v>
      </c>
      <c r="D30" s="10">
        <v>16</v>
      </c>
      <c r="E30" s="10">
        <v>20</v>
      </c>
      <c r="F30" s="63">
        <f t="shared" si="0"/>
        <v>0.8</v>
      </c>
      <c r="G30" s="76"/>
    </row>
    <row r="31" spans="3:7" x14ac:dyDescent="0.25">
      <c r="C31" s="11" t="s">
        <v>337</v>
      </c>
      <c r="D31" s="10">
        <v>18</v>
      </c>
      <c r="E31" s="10">
        <v>20</v>
      </c>
      <c r="F31" s="63">
        <f t="shared" si="0"/>
        <v>0.9</v>
      </c>
      <c r="G31" s="62"/>
    </row>
    <row r="32" spans="3:7" x14ac:dyDescent="0.25">
      <c r="C32" s="11" t="s">
        <v>338</v>
      </c>
      <c r="D32" s="10">
        <v>20</v>
      </c>
      <c r="E32" s="10">
        <v>20</v>
      </c>
      <c r="F32" s="63">
        <f t="shared" si="0"/>
        <v>1</v>
      </c>
      <c r="G32" s="62"/>
    </row>
    <row r="33" spans="3:7" x14ac:dyDescent="0.25">
      <c r="C33" s="11" t="s">
        <v>339</v>
      </c>
      <c r="D33" s="10">
        <v>18</v>
      </c>
      <c r="E33" s="10">
        <v>20</v>
      </c>
      <c r="F33" s="63">
        <f t="shared" si="0"/>
        <v>0.9</v>
      </c>
      <c r="G33" s="62"/>
    </row>
    <row r="34" spans="3:7" x14ac:dyDescent="0.25">
      <c r="C34" s="11" t="s">
        <v>340</v>
      </c>
      <c r="D34" s="10">
        <v>20</v>
      </c>
      <c r="E34" s="10">
        <v>20</v>
      </c>
      <c r="F34" s="63">
        <f t="shared" si="0"/>
        <v>1</v>
      </c>
      <c r="G34" s="62"/>
    </row>
    <row r="35" spans="3:7" x14ac:dyDescent="0.25">
      <c r="C35" s="246" t="s">
        <v>341</v>
      </c>
      <c r="D35" s="247">
        <v>20</v>
      </c>
      <c r="E35" s="10">
        <v>20</v>
      </c>
      <c r="F35" s="248">
        <f t="shared" si="0"/>
        <v>1</v>
      </c>
      <c r="G35" s="249"/>
    </row>
    <row r="36" spans="3:7" x14ac:dyDescent="0.25">
      <c r="C36" s="11" t="s">
        <v>533</v>
      </c>
      <c r="D36" s="10">
        <v>18</v>
      </c>
      <c r="E36" s="10">
        <v>20</v>
      </c>
      <c r="F36" s="63">
        <f t="shared" ref="F36:F40" si="1">IFERROR(D36/E36,0)</f>
        <v>0.9</v>
      </c>
      <c r="G36" s="62"/>
    </row>
    <row r="37" spans="3:7" ht="15" customHeight="1" x14ac:dyDescent="0.25">
      <c r="C37" s="246" t="s">
        <v>534</v>
      </c>
      <c r="D37" s="247">
        <v>18</v>
      </c>
      <c r="E37" s="10">
        <v>20</v>
      </c>
      <c r="F37" s="248">
        <f t="shared" si="1"/>
        <v>0.9</v>
      </c>
      <c r="G37" s="249"/>
    </row>
    <row r="38" spans="3:7" x14ac:dyDescent="0.25">
      <c r="C38" s="11" t="s">
        <v>535</v>
      </c>
      <c r="D38" s="10">
        <v>18</v>
      </c>
      <c r="E38" s="10">
        <v>20</v>
      </c>
      <c r="F38" s="63">
        <f t="shared" si="1"/>
        <v>0.9</v>
      </c>
      <c r="G38" s="62"/>
    </row>
    <row r="39" spans="3:7" x14ac:dyDescent="0.25">
      <c r="C39" s="246" t="s">
        <v>536</v>
      </c>
      <c r="D39" s="247">
        <v>18</v>
      </c>
      <c r="E39" s="10">
        <v>20</v>
      </c>
      <c r="F39" s="248">
        <f t="shared" si="1"/>
        <v>0.9</v>
      </c>
      <c r="G39" s="249"/>
    </row>
    <row r="40" spans="3:7" ht="15.75" thickBot="1" x14ac:dyDescent="0.3">
      <c r="C40" s="11" t="s">
        <v>537</v>
      </c>
      <c r="D40" s="10">
        <v>16</v>
      </c>
      <c r="E40" s="10">
        <v>20</v>
      </c>
      <c r="F40" s="63">
        <f t="shared" si="1"/>
        <v>0.8</v>
      </c>
      <c r="G40" s="62"/>
    </row>
    <row r="41" spans="3:7" ht="16.5" thickTop="1" thickBot="1" x14ac:dyDescent="0.3">
      <c r="C41" s="403"/>
      <c r="D41" s="404"/>
      <c r="E41" s="404"/>
      <c r="F41" s="404"/>
      <c r="G41" s="405"/>
    </row>
    <row r="42" spans="3:7" ht="15" customHeight="1" thickTop="1" thickBot="1" x14ac:dyDescent="0.3"/>
    <row r="43" spans="3:7" ht="16.5" thickTop="1" thickBot="1" x14ac:dyDescent="0.3">
      <c r="C43" s="408" t="s">
        <v>538</v>
      </c>
      <c r="D43" s="409"/>
      <c r="E43" s="409"/>
      <c r="F43" s="409"/>
      <c r="G43" s="410"/>
    </row>
    <row r="44" spans="3:7" ht="16.5" thickTop="1" thickBot="1" x14ac:dyDescent="0.3">
      <c r="C44" s="237">
        <v>7</v>
      </c>
      <c r="D44" s="235" t="s">
        <v>326</v>
      </c>
      <c r="E44" s="236">
        <v>7</v>
      </c>
      <c r="F44" s="233" t="s">
        <v>19</v>
      </c>
      <c r="G44" s="234">
        <v>0.14000000000000001</v>
      </c>
    </row>
    <row r="45" spans="3:7" ht="15.75" thickTop="1" x14ac:dyDescent="0.25">
      <c r="C45" s="238" t="s">
        <v>98</v>
      </c>
      <c r="D45" s="254">
        <f ca="1">SUM(EtCT:downtwo)</f>
        <v>56</v>
      </c>
      <c r="E45" s="254">
        <f ca="1">SUM(TtCT:downtwo)</f>
        <v>70</v>
      </c>
      <c r="F45" s="411">
        <f ca="1">IFERROR(D45/E45,0)</f>
        <v>0.8</v>
      </c>
      <c r="G45" s="412"/>
    </row>
    <row r="46" spans="3:7" ht="15.75" thickBot="1" x14ac:dyDescent="0.3">
      <c r="C46" s="239" t="s">
        <v>18</v>
      </c>
      <c r="D46" s="413" t="s">
        <v>17</v>
      </c>
      <c r="E46" s="413"/>
      <c r="F46" s="240" t="s">
        <v>16</v>
      </c>
      <c r="G46" s="241" t="s">
        <v>15</v>
      </c>
    </row>
    <row r="47" spans="3:7" ht="15.75" thickTop="1" x14ac:dyDescent="0.25">
      <c r="C47" s="11" t="s">
        <v>544</v>
      </c>
      <c r="D47" s="10">
        <v>10</v>
      </c>
      <c r="E47" s="10">
        <v>10</v>
      </c>
      <c r="F47" s="9">
        <f t="shared" ref="F47:F51" si="2">IFERROR(D47/E47,0)</f>
        <v>1</v>
      </c>
      <c r="G47" s="8"/>
    </row>
    <row r="48" spans="3:7" x14ac:dyDescent="0.25">
      <c r="C48" s="11" t="s">
        <v>545</v>
      </c>
      <c r="D48" s="10">
        <v>9</v>
      </c>
      <c r="E48" s="10">
        <v>10</v>
      </c>
      <c r="F48" s="63">
        <f t="shared" si="2"/>
        <v>0.9</v>
      </c>
      <c r="G48" s="76"/>
    </row>
    <row r="49" spans="3:7" x14ac:dyDescent="0.25">
      <c r="C49" s="11" t="s">
        <v>546</v>
      </c>
      <c r="D49" s="10">
        <v>0</v>
      </c>
      <c r="E49" s="10">
        <v>10</v>
      </c>
      <c r="F49" s="63">
        <f t="shared" si="2"/>
        <v>0</v>
      </c>
      <c r="G49" s="62"/>
    </row>
    <row r="50" spans="3:7" x14ac:dyDescent="0.25">
      <c r="C50" s="11" t="s">
        <v>547</v>
      </c>
      <c r="D50" s="10">
        <v>8</v>
      </c>
      <c r="E50" s="10">
        <v>10</v>
      </c>
      <c r="F50" s="63">
        <f t="shared" si="2"/>
        <v>0.8</v>
      </c>
      <c r="G50" s="62"/>
    </row>
    <row r="51" spans="3:7" x14ac:dyDescent="0.25">
      <c r="C51" s="11" t="s">
        <v>548</v>
      </c>
      <c r="D51" s="10">
        <v>10</v>
      </c>
      <c r="E51" s="10">
        <v>10</v>
      </c>
      <c r="F51" s="63">
        <f t="shared" si="2"/>
        <v>1</v>
      </c>
      <c r="G51" s="76"/>
    </row>
    <row r="52" spans="3:7" x14ac:dyDescent="0.25">
      <c r="C52" s="11" t="s">
        <v>549</v>
      </c>
      <c r="D52" s="10">
        <v>9</v>
      </c>
      <c r="E52" s="10">
        <v>10</v>
      </c>
      <c r="F52" s="63">
        <f>IFERROR(D52/E52,0)</f>
        <v>0.9</v>
      </c>
      <c r="G52" s="62"/>
    </row>
    <row r="53" spans="3:7" ht="15.75" thickBot="1" x14ac:dyDescent="0.3">
      <c r="C53" s="11" t="s">
        <v>550</v>
      </c>
      <c r="D53" s="10">
        <v>10</v>
      </c>
      <c r="E53" s="10">
        <v>10</v>
      </c>
      <c r="F53" s="63">
        <f>IFERROR(D53/E53,0)</f>
        <v>1</v>
      </c>
      <c r="G53" s="62"/>
    </row>
    <row r="54" spans="3:7" ht="16.5" thickTop="1" thickBot="1" x14ac:dyDescent="0.3">
      <c r="C54" s="403"/>
      <c r="D54" s="404"/>
      <c r="E54" s="404"/>
      <c r="F54" s="404"/>
      <c r="G54" s="405"/>
    </row>
    <row r="55" spans="3:7" ht="15" customHeight="1" thickTop="1" thickBot="1" x14ac:dyDescent="0.3"/>
    <row r="56" spans="3:7" ht="16.5" thickTop="1" thickBot="1" x14ac:dyDescent="0.3">
      <c r="C56" s="408" t="s">
        <v>539</v>
      </c>
      <c r="D56" s="409"/>
      <c r="E56" s="409"/>
      <c r="F56" s="409"/>
      <c r="G56" s="410"/>
    </row>
    <row r="57" spans="3:7" ht="16.5" thickTop="1" thickBot="1" x14ac:dyDescent="0.3">
      <c r="C57" s="237">
        <v>2</v>
      </c>
      <c r="D57" s="235" t="s">
        <v>326</v>
      </c>
      <c r="E57" s="236">
        <v>2</v>
      </c>
      <c r="F57" s="233" t="s">
        <v>19</v>
      </c>
      <c r="G57" s="234">
        <v>0.18</v>
      </c>
    </row>
    <row r="58" spans="3:7" ht="15.75" thickTop="1" x14ac:dyDescent="0.25">
      <c r="C58" s="238" t="s">
        <v>98</v>
      </c>
      <c r="D58" s="254">
        <f ca="1">SUM(EtCT:downtwo)</f>
        <v>67</v>
      </c>
      <c r="E58" s="254">
        <f ca="1">SUM(TtCT:downtwo)</f>
        <v>90</v>
      </c>
      <c r="F58" s="411">
        <f ca="1">IFERROR(D58/E58,0)</f>
        <v>0.74444444444444446</v>
      </c>
      <c r="G58" s="412"/>
    </row>
    <row r="59" spans="3:7" ht="15.75" thickBot="1" x14ac:dyDescent="0.3">
      <c r="C59" s="239" t="s">
        <v>18</v>
      </c>
      <c r="D59" s="415" t="s">
        <v>17</v>
      </c>
      <c r="E59" s="416"/>
      <c r="F59" s="240" t="s">
        <v>16</v>
      </c>
      <c r="G59" s="241" t="s">
        <v>15</v>
      </c>
    </row>
    <row r="60" spans="3:7" ht="15.75" thickTop="1" x14ac:dyDescent="0.25">
      <c r="C60" s="11" t="s">
        <v>332</v>
      </c>
      <c r="D60" s="10">
        <v>34</v>
      </c>
      <c r="E60" s="10">
        <v>40</v>
      </c>
      <c r="F60" s="9">
        <f>IFERROR(D60/E60,0)</f>
        <v>0.85</v>
      </c>
      <c r="G60" s="8"/>
    </row>
    <row r="61" spans="3:7" ht="15.75" thickBot="1" x14ac:dyDescent="0.3">
      <c r="C61" s="11" t="s">
        <v>333</v>
      </c>
      <c r="D61" s="10">
        <v>33</v>
      </c>
      <c r="E61" s="10">
        <v>50</v>
      </c>
      <c r="F61" s="63">
        <f>IFERROR(D61/E61,0)</f>
        <v>0.66</v>
      </c>
      <c r="G61" s="76"/>
    </row>
    <row r="62" spans="3:7" ht="16.5" thickTop="1" thickBot="1" x14ac:dyDescent="0.3">
      <c r="C62" s="403"/>
      <c r="D62" s="404"/>
      <c r="E62" s="404"/>
      <c r="F62" s="404"/>
      <c r="G62" s="405"/>
    </row>
    <row r="63" spans="3:7" ht="15" customHeight="1" thickTop="1" thickBot="1" x14ac:dyDescent="0.3"/>
    <row r="64" spans="3:7" ht="16.5" thickTop="1" thickBot="1" x14ac:dyDescent="0.3">
      <c r="C64" s="408" t="s">
        <v>532</v>
      </c>
      <c r="D64" s="409"/>
      <c r="E64" s="409"/>
      <c r="F64" s="409"/>
      <c r="G64" s="410"/>
    </row>
    <row r="65" spans="3:11" ht="16.5" thickTop="1" thickBot="1" x14ac:dyDescent="0.3">
      <c r="C65" s="237">
        <v>13</v>
      </c>
      <c r="D65" s="235" t="s">
        <v>326</v>
      </c>
      <c r="E65" s="236">
        <v>13</v>
      </c>
      <c r="F65" s="233" t="s">
        <v>19</v>
      </c>
      <c r="G65" s="234">
        <v>0.08</v>
      </c>
    </row>
    <row r="66" spans="3:11" ht="15.75" thickTop="1" x14ac:dyDescent="0.25">
      <c r="C66" s="238" t="s">
        <v>98</v>
      </c>
      <c r="D66" s="254">
        <f ca="1">SUM(EtCT:downtwo)</f>
        <v>37</v>
      </c>
      <c r="E66" s="254">
        <f ca="1">SUM(TtCT:downtwo)</f>
        <v>40</v>
      </c>
      <c r="F66" s="411">
        <f ca="1">IFERROR(D66/E66,0)</f>
        <v>0.92500000000000004</v>
      </c>
      <c r="G66" s="412"/>
    </row>
    <row r="67" spans="3:11" ht="15.75" thickBot="1" x14ac:dyDescent="0.3">
      <c r="C67" s="239" t="s">
        <v>18</v>
      </c>
      <c r="D67" s="413" t="s">
        <v>17</v>
      </c>
      <c r="E67" s="413"/>
      <c r="F67" s="240" t="s">
        <v>16</v>
      </c>
      <c r="G67" s="241" t="s">
        <v>15</v>
      </c>
    </row>
    <row r="68" spans="3:11" ht="15.75" thickTop="1" x14ac:dyDescent="0.25">
      <c r="C68" s="11" t="s">
        <v>540</v>
      </c>
      <c r="D68" s="10">
        <v>15</v>
      </c>
      <c r="E68" s="10">
        <v>15</v>
      </c>
      <c r="F68" s="9">
        <f t="shared" ref="F68" si="3">IFERROR(D68/E68,0)</f>
        <v>1</v>
      </c>
      <c r="G68" s="8"/>
    </row>
    <row r="69" spans="3:11" x14ac:dyDescent="0.25">
      <c r="C69" s="246" t="s">
        <v>557</v>
      </c>
      <c r="D69" s="247">
        <v>5</v>
      </c>
      <c r="E69" s="247">
        <v>5</v>
      </c>
      <c r="F69" s="248">
        <f t="shared" ref="F69:F76" si="4">IFERROR(D69/E69,0)</f>
        <v>1</v>
      </c>
      <c r="G69" s="249"/>
      <c r="K69" s="1" t="s">
        <v>529</v>
      </c>
    </row>
    <row r="70" spans="3:11" x14ac:dyDescent="0.25">
      <c r="C70" s="11" t="s">
        <v>543</v>
      </c>
      <c r="D70" s="10">
        <v>1</v>
      </c>
      <c r="E70" s="10">
        <v>1</v>
      </c>
      <c r="F70" s="63">
        <f t="shared" si="4"/>
        <v>1</v>
      </c>
      <c r="G70" s="76"/>
    </row>
    <row r="71" spans="3:11" x14ac:dyDescent="0.25">
      <c r="C71" s="11" t="s">
        <v>551</v>
      </c>
      <c r="D71" s="10">
        <v>1</v>
      </c>
      <c r="E71" s="10">
        <v>1</v>
      </c>
      <c r="F71" s="63">
        <f t="shared" si="4"/>
        <v>1</v>
      </c>
      <c r="G71" s="62"/>
    </row>
    <row r="72" spans="3:11" x14ac:dyDescent="0.25">
      <c r="C72" s="11" t="s">
        <v>552</v>
      </c>
      <c r="D72" s="10">
        <v>1</v>
      </c>
      <c r="E72" s="10">
        <v>1</v>
      </c>
      <c r="F72" s="63">
        <f t="shared" si="4"/>
        <v>1</v>
      </c>
      <c r="G72" s="62"/>
    </row>
    <row r="73" spans="3:11" x14ac:dyDescent="0.25">
      <c r="C73" s="11" t="s">
        <v>553</v>
      </c>
      <c r="D73" s="10">
        <v>0</v>
      </c>
      <c r="E73" s="10">
        <v>1</v>
      </c>
      <c r="F73" s="63">
        <f t="shared" si="4"/>
        <v>0</v>
      </c>
      <c r="G73" s="76"/>
    </row>
    <row r="74" spans="3:11" x14ac:dyDescent="0.25">
      <c r="C74" s="11" t="s">
        <v>554</v>
      </c>
      <c r="D74" s="10">
        <v>0</v>
      </c>
      <c r="E74" s="10">
        <v>1</v>
      </c>
      <c r="F74" s="63">
        <f t="shared" si="4"/>
        <v>0</v>
      </c>
      <c r="G74" s="62"/>
    </row>
    <row r="75" spans="3:11" x14ac:dyDescent="0.25">
      <c r="C75" s="11" t="s">
        <v>555</v>
      </c>
      <c r="D75" s="10">
        <v>0</v>
      </c>
      <c r="E75" s="10">
        <v>1</v>
      </c>
      <c r="F75" s="63">
        <f t="shared" si="4"/>
        <v>0</v>
      </c>
      <c r="G75" s="62"/>
    </row>
    <row r="76" spans="3:11" x14ac:dyDescent="0.25">
      <c r="C76" s="11" t="s">
        <v>556</v>
      </c>
      <c r="D76" s="10">
        <v>1</v>
      </c>
      <c r="E76" s="10">
        <v>1</v>
      </c>
      <c r="F76" s="63">
        <f t="shared" si="4"/>
        <v>1</v>
      </c>
      <c r="G76" s="62"/>
    </row>
    <row r="77" spans="3:11" x14ac:dyDescent="0.25">
      <c r="C77" s="246" t="s">
        <v>560</v>
      </c>
      <c r="D77" s="247">
        <v>5</v>
      </c>
      <c r="E77" s="247">
        <v>5</v>
      </c>
      <c r="F77" s="248">
        <f>IFERROR(D77/E77,0)</f>
        <v>1</v>
      </c>
      <c r="G77" s="249"/>
    </row>
    <row r="78" spans="3:11" x14ac:dyDescent="0.25">
      <c r="C78" s="11" t="s">
        <v>559</v>
      </c>
      <c r="D78" s="10">
        <v>5</v>
      </c>
      <c r="E78" s="10">
        <v>5</v>
      </c>
      <c r="F78" s="63">
        <f>IFERROR(D78/E78,0)</f>
        <v>1</v>
      </c>
      <c r="G78" s="76"/>
    </row>
    <row r="79" spans="3:11" ht="15.75" thickBot="1" x14ac:dyDescent="0.3">
      <c r="C79" s="11" t="s">
        <v>558</v>
      </c>
      <c r="D79" s="10">
        <v>3</v>
      </c>
      <c r="E79" s="10">
        <v>3</v>
      </c>
      <c r="F79" s="63">
        <f>IFERROR(D79/E79,0)</f>
        <v>1</v>
      </c>
      <c r="G79" s="62"/>
    </row>
    <row r="80" spans="3:11" ht="16.5" thickTop="1" thickBot="1" x14ac:dyDescent="0.3">
      <c r="C80" s="403"/>
      <c r="D80" s="404"/>
      <c r="E80" s="404"/>
      <c r="F80" s="404"/>
      <c r="G80" s="405"/>
    </row>
    <row r="81" ht="15" customHeight="1" thickTop="1" x14ac:dyDescent="0.25"/>
  </sheetData>
  <mergeCells count="34">
    <mergeCell ref="C64:G64"/>
    <mergeCell ref="F66:G66"/>
    <mergeCell ref="D67:E67"/>
    <mergeCell ref="C80:G80"/>
    <mergeCell ref="C15:D15"/>
    <mergeCell ref="C16:D16"/>
    <mergeCell ref="C17:D17"/>
    <mergeCell ref="C18:D18"/>
    <mergeCell ref="C19:D19"/>
    <mergeCell ref="C20:D20"/>
    <mergeCell ref="F58:G58"/>
    <mergeCell ref="D59:E59"/>
    <mergeCell ref="C62:G62"/>
    <mergeCell ref="C22:G22"/>
    <mergeCell ref="F24:G24"/>
    <mergeCell ref="D25:E25"/>
    <mergeCell ref="C14:D14"/>
    <mergeCell ref="B2:D2"/>
    <mergeCell ref="E2:G2"/>
    <mergeCell ref="B3:C3"/>
    <mergeCell ref="E3:F3"/>
    <mergeCell ref="B4:C4"/>
    <mergeCell ref="E4:F4"/>
    <mergeCell ref="C6:G6"/>
    <mergeCell ref="C7:D7"/>
    <mergeCell ref="C8:D8"/>
    <mergeCell ref="C9:G9"/>
    <mergeCell ref="C13:G13"/>
    <mergeCell ref="C56:G56"/>
    <mergeCell ref="C41:G41"/>
    <mergeCell ref="C43:G43"/>
    <mergeCell ref="F45:G45"/>
    <mergeCell ref="D46:E46"/>
    <mergeCell ref="C54:G54"/>
  </mergeCells>
  <phoneticPr fontId="6" type="noConversion"/>
  <conditionalFormatting sqref="G14:G20">
    <cfRule type="expression" dxfId="11" priority="2">
      <formula>IF((CELLV)&gt;(1-LSFa),1,0)</formula>
    </cfRule>
  </conditionalFormatting>
  <conditionalFormatting sqref="E14:E20">
    <cfRule type="expression" dxfId="10" priority="1">
      <formula>IF((CELLV)&gt;(1-LSFa),1,0)</formula>
    </cfRule>
  </conditionalFormatting>
  <dataValidations count="3">
    <dataValidation type="whole" operator="greaterThan" allowBlank="1" showInputMessage="1" showErrorMessage="1" sqref="E65 E23 E44 E57" xr:uid="{682DB619-A584-405A-948D-E1C6F5594BB4}">
      <formula1>0</formula1>
    </dataValidation>
    <dataValidation type="list" allowBlank="1" showInputMessage="1" showErrorMessage="1" sqref="E8" xr:uid="{377C72A2-6479-4140-86E0-655066CB0652}">
      <formula1>"NA,1,2,3,4,5,6,7"</formula1>
    </dataValidation>
    <dataValidation type="list" allowBlank="1" showInputMessage="1" showErrorMessage="1" sqref="G8" xr:uid="{6441D762-6DDF-4157-B6C2-7FE4E4B08AD3}">
      <formula1>",Class,Retaken,Dropped,P/F,Research"</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r:uid="{E277A0FA-218A-4B44-BD57-70ACEDF555F7}">
          <x14:formula1>
            <xm:f>OFFSET(Settings!$L$4,0,0,INDIRECT(ADDRESS(ROW(),COLUMN()+2))+1,1)</xm:f>
          </x14:formula1>
          <xm:sqref>C65 C23 C44 C57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AE085-B301-4072-9A69-F741EAA9A98E}">
  <sheetPr>
    <tabColor theme="1"/>
  </sheetPr>
  <dimension ref="B1:AK129"/>
  <sheetViews>
    <sheetView showGridLines="0" zoomScale="93" zoomScaleNormal="93" workbookViewId="0">
      <selection activeCell="N21" sqref="N21"/>
    </sheetView>
  </sheetViews>
  <sheetFormatPr defaultRowHeight="15" x14ac:dyDescent="0.25"/>
  <cols>
    <col min="1" max="1" width="3" style="1" customWidth="1"/>
    <col min="2" max="2" width="9.140625" style="1"/>
    <col min="3" max="3" width="11.7109375" style="1" customWidth="1"/>
    <col min="4" max="4" width="9" style="1" customWidth="1"/>
    <col min="5" max="5" width="10" style="1" customWidth="1"/>
    <col min="6" max="6" width="11.42578125" style="1" customWidth="1"/>
    <col min="7" max="7" width="12" style="1" customWidth="1"/>
    <col min="8" max="8" width="3" style="1" customWidth="1"/>
    <col min="9" max="9" width="11.5703125" style="1" customWidth="1"/>
    <col min="10" max="10" width="5.85546875" style="1" customWidth="1"/>
    <col min="11" max="11" width="7.85546875" style="1" customWidth="1"/>
    <col min="12" max="12" width="10.28515625" style="1" customWidth="1"/>
    <col min="13" max="13" width="11.42578125" style="1" customWidth="1"/>
    <col min="14" max="14" width="3" style="1" customWidth="1"/>
    <col min="15" max="15" width="8.85546875" style="1" customWidth="1"/>
    <col min="16" max="16" width="6.140625" style="1" customWidth="1"/>
    <col min="17" max="17" width="9.140625" style="1" customWidth="1"/>
    <col min="18" max="18" width="11" style="1" customWidth="1"/>
    <col min="19" max="19" width="11.42578125" style="1" customWidth="1"/>
    <col min="20" max="20" width="3.140625" style="1" customWidth="1"/>
    <col min="21" max="21" width="9.140625" style="1"/>
    <col min="22" max="22" width="6.5703125" style="1" customWidth="1"/>
    <col min="23" max="23" width="7.85546875" style="1" customWidth="1"/>
    <col min="24" max="24" width="11.5703125" style="1" customWidth="1"/>
    <col min="25" max="25" width="11.42578125" style="1" customWidth="1"/>
    <col min="26" max="26" width="3.140625" style="1" customWidth="1"/>
    <col min="27" max="27" width="8.28515625" style="1" customWidth="1"/>
    <col min="28" max="28" width="6.28515625" style="1" customWidth="1"/>
    <col min="29" max="29" width="8.42578125" style="1" customWidth="1"/>
    <col min="30" max="30" width="10.5703125" style="1" customWidth="1"/>
    <col min="31" max="31" width="11.42578125" style="1" customWidth="1"/>
    <col min="32" max="32" width="3.140625" style="1" customWidth="1"/>
    <col min="33" max="33" width="9.140625" style="1"/>
    <col min="34" max="34" width="7.140625" style="1" customWidth="1"/>
    <col min="35" max="35" width="8.42578125" style="1" customWidth="1"/>
    <col min="36" max="36" width="10.5703125" style="1" customWidth="1"/>
    <col min="37" max="37" width="11.42578125" style="1" customWidth="1"/>
    <col min="38" max="38" width="3.140625" style="1" customWidth="1"/>
    <col min="39" max="16384" width="9.140625" style="1"/>
  </cols>
  <sheetData>
    <row r="1" spans="2:37" ht="15" customHeight="1" thickBot="1" x14ac:dyDescent="0.3"/>
    <row r="2" spans="2:37" ht="16.5" customHeight="1" thickTop="1" thickBot="1" x14ac:dyDescent="0.3">
      <c r="B2" s="394" t="s">
        <v>120</v>
      </c>
      <c r="C2" s="395"/>
      <c r="D2" s="395"/>
      <c r="E2" s="395" t="s">
        <v>119</v>
      </c>
      <c r="F2" s="395"/>
      <c r="G2" s="396"/>
    </row>
    <row r="3" spans="2:37" ht="15" customHeight="1" thickTop="1" x14ac:dyDescent="0.25">
      <c r="B3" s="397" t="s">
        <v>118</v>
      </c>
      <c r="C3" s="398"/>
      <c r="D3" s="245">
        <f>COUNTIF(6:6,"*")</f>
        <v>6</v>
      </c>
      <c r="E3" s="399" t="s">
        <v>117</v>
      </c>
      <c r="F3" s="398"/>
      <c r="G3" s="101">
        <f ca="1">G4/SUM(IF(OR(G8="P/F",G8="Dropped",G8="Retaken"),0,E8),IF(OR(M8="P/F",M8="Dropped",M8="Retaken"),0,K8),IF(OR(S8="P/F",S8="Dropped",S8="Retaken"),0,Q8),IF(OR(Y8="P/F",Y8="Dropped",Y8="Retaken"),0,W8),IF(OR(AE8="P/F",AE8="Dropped",AE8="Retaken"),0,AC8),IF(OR(AK8="P/F",AK8="Dropped",AK8="Retaken"),0,AI8),IF(OR(AQ8="P/F",AQ8="Dropped",AQ8="Retaken"),0,AO8))</f>
        <v>3.5339999999999998</v>
      </c>
      <c r="K3" s="171"/>
      <c r="M3" s="369"/>
      <c r="Q3" s="171"/>
    </row>
    <row r="4" spans="2:37" ht="15" customHeight="1" thickBot="1" x14ac:dyDescent="0.3">
      <c r="B4" s="400" t="s">
        <v>115</v>
      </c>
      <c r="C4" s="401"/>
      <c r="D4" s="244">
        <f>SUMIF(8:8,"&lt;&gt;#N/A")</f>
        <v>15</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53.01</v>
      </c>
      <c r="K4" s="370"/>
      <c r="L4" s="171"/>
    </row>
    <row r="5" spans="2:37" ht="16.5" customHeight="1" thickTop="1" thickBot="1" x14ac:dyDescent="0.3"/>
    <row r="6" spans="2:37" ht="16.5" customHeight="1" thickTop="1" thickBot="1" x14ac:dyDescent="0.3">
      <c r="C6" s="382" t="s">
        <v>474</v>
      </c>
      <c r="D6" s="383"/>
      <c r="E6" s="383"/>
      <c r="F6" s="383"/>
      <c r="G6" s="384"/>
      <c r="I6" s="382" t="s">
        <v>577</v>
      </c>
      <c r="J6" s="383"/>
      <c r="K6" s="383"/>
      <c r="L6" s="383"/>
      <c r="M6" s="384"/>
      <c r="O6" s="382" t="s">
        <v>570</v>
      </c>
      <c r="P6" s="383"/>
      <c r="Q6" s="383"/>
      <c r="R6" s="383"/>
      <c r="S6" s="384"/>
      <c r="U6" s="382" t="s">
        <v>567</v>
      </c>
      <c r="V6" s="383"/>
      <c r="W6" s="383"/>
      <c r="X6" s="383"/>
      <c r="Y6" s="384"/>
      <c r="AA6" s="382" t="s">
        <v>578</v>
      </c>
      <c r="AB6" s="383"/>
      <c r="AC6" s="383"/>
      <c r="AD6" s="383"/>
      <c r="AE6" s="384"/>
      <c r="AG6" s="382" t="s">
        <v>228</v>
      </c>
      <c r="AH6" s="383"/>
      <c r="AI6" s="383"/>
      <c r="AJ6" s="383"/>
      <c r="AK6" s="384"/>
    </row>
    <row r="7" spans="2:37" x14ac:dyDescent="0.25">
      <c r="C7" s="385" t="s">
        <v>106</v>
      </c>
      <c r="D7" s="386"/>
      <c r="E7" s="99">
        <f ca="1">COUNTIF(F:F,"Weight*")</f>
        <v>10</v>
      </c>
      <c r="F7" s="250" t="s">
        <v>105</v>
      </c>
      <c r="G7" s="97" t="s">
        <v>541</v>
      </c>
      <c r="I7" s="385" t="s">
        <v>106</v>
      </c>
      <c r="J7" s="386"/>
      <c r="K7" s="99">
        <f ca="1">COUNTIF(L:L,"Weight*")</f>
        <v>4</v>
      </c>
      <c r="L7" s="266" t="s">
        <v>105</v>
      </c>
      <c r="M7" s="357" t="s">
        <v>542</v>
      </c>
      <c r="O7" s="385" t="s">
        <v>106</v>
      </c>
      <c r="P7" s="386"/>
      <c r="Q7" s="99">
        <f t="shared" ref="Q7" ca="1" si="0">COUNTIF(R:R,"Weight*")</f>
        <v>4</v>
      </c>
      <c r="R7" s="266" t="s">
        <v>105</v>
      </c>
      <c r="S7" s="97" t="s">
        <v>602</v>
      </c>
      <c r="U7" s="385" t="s">
        <v>106</v>
      </c>
      <c r="V7" s="386"/>
      <c r="W7" s="99">
        <f ca="1">COUNTIF(X:X,"Weight*")</f>
        <v>3</v>
      </c>
      <c r="X7" s="266" t="s">
        <v>105</v>
      </c>
      <c r="Y7" s="97" t="s">
        <v>425</v>
      </c>
      <c r="AA7" s="385" t="s">
        <v>106</v>
      </c>
      <c r="AB7" s="386"/>
      <c r="AC7" s="99">
        <f ca="1">COUNTIF(AD:AD,"Weight*")</f>
        <v>1</v>
      </c>
      <c r="AD7" s="266" t="s">
        <v>105</v>
      </c>
      <c r="AE7" s="97" t="s">
        <v>592</v>
      </c>
      <c r="AG7" s="385" t="s">
        <v>106</v>
      </c>
      <c r="AH7" s="386"/>
      <c r="AI7" s="99">
        <f ca="1">COUNTIF(AJ:AJ,"Weight*")</f>
        <v>1</v>
      </c>
      <c r="AJ7" s="355" t="s">
        <v>105</v>
      </c>
      <c r="AK7" s="97" t="s">
        <v>425</v>
      </c>
    </row>
    <row r="8" spans="2:37" ht="15" customHeight="1" thickBot="1" x14ac:dyDescent="0.3">
      <c r="C8" s="377" t="s">
        <v>102</v>
      </c>
      <c r="D8" s="378"/>
      <c r="E8" s="95">
        <v>3</v>
      </c>
      <c r="F8" s="251" t="s">
        <v>101</v>
      </c>
      <c r="G8" s="93" t="s">
        <v>100</v>
      </c>
      <c r="I8" s="377" t="s">
        <v>102</v>
      </c>
      <c r="J8" s="378"/>
      <c r="K8" s="95">
        <v>3</v>
      </c>
      <c r="L8" s="267" t="s">
        <v>101</v>
      </c>
      <c r="M8" s="93" t="s">
        <v>100</v>
      </c>
      <c r="O8" s="377" t="s">
        <v>102</v>
      </c>
      <c r="P8" s="378"/>
      <c r="Q8" s="95">
        <v>3</v>
      </c>
      <c r="R8" s="267" t="s">
        <v>101</v>
      </c>
      <c r="S8" s="93" t="s">
        <v>100</v>
      </c>
      <c r="U8" s="377" t="s">
        <v>102</v>
      </c>
      <c r="V8" s="378"/>
      <c r="W8" s="95">
        <v>3</v>
      </c>
      <c r="X8" s="267" t="s">
        <v>101</v>
      </c>
      <c r="Y8" s="93" t="s">
        <v>100</v>
      </c>
      <c r="AA8" s="377" t="s">
        <v>102</v>
      </c>
      <c r="AB8" s="378"/>
      <c r="AC8" s="95">
        <v>3</v>
      </c>
      <c r="AD8" s="267" t="s">
        <v>101</v>
      </c>
      <c r="AE8" s="93" t="s">
        <v>100</v>
      </c>
      <c r="AG8" s="377" t="s">
        <v>102</v>
      </c>
      <c r="AH8" s="378"/>
      <c r="AI8" s="95" t="s">
        <v>277</v>
      </c>
      <c r="AJ8" s="353" t="s">
        <v>101</v>
      </c>
      <c r="AK8" s="93" t="s">
        <v>270</v>
      </c>
    </row>
    <row r="9" spans="2:37" ht="15.75" thickTop="1" x14ac:dyDescent="0.25">
      <c r="C9" s="379" t="s">
        <v>99</v>
      </c>
      <c r="D9" s="380"/>
      <c r="E9" s="380"/>
      <c r="F9" s="380"/>
      <c r="G9" s="381"/>
      <c r="I9" s="379" t="s">
        <v>99</v>
      </c>
      <c r="J9" s="380"/>
      <c r="K9" s="380"/>
      <c r="L9" s="380"/>
      <c r="M9" s="381"/>
      <c r="O9" s="379" t="s">
        <v>99</v>
      </c>
      <c r="P9" s="380"/>
      <c r="Q9" s="380"/>
      <c r="R9" s="380"/>
      <c r="S9" s="381"/>
      <c r="U9" s="379" t="s">
        <v>99</v>
      </c>
      <c r="V9" s="380"/>
      <c r="W9" s="380"/>
      <c r="X9" s="380"/>
      <c r="Y9" s="381"/>
      <c r="AA9" s="379" t="s">
        <v>99</v>
      </c>
      <c r="AB9" s="380"/>
      <c r="AC9" s="380"/>
      <c r="AD9" s="380"/>
      <c r="AE9" s="381"/>
      <c r="AG9" s="379" t="s">
        <v>99</v>
      </c>
      <c r="AH9" s="380"/>
      <c r="AI9" s="380"/>
      <c r="AJ9" s="380"/>
      <c r="AK9" s="381"/>
    </row>
    <row r="10" spans="2:37" x14ac:dyDescent="0.25">
      <c r="C10" s="92" t="s">
        <v>98</v>
      </c>
      <c r="D10" s="252"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B</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0.77000191708333343</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0.22999808291666662</v>
      </c>
      <c r="I10" s="92" t="s">
        <v>98</v>
      </c>
      <c r="J10" s="268" t="str" cm="1">
        <f t="array" aca="1" ref="J10" ca="1">IF(GRDtCT="Dropped","NA",IF(GRDtCT="P/F",IF(GRDtP&gt;=PtNPass,PtLPass,PtLFail),IF(GRDtP&gt;=PtNA,PtLA,IF(GRDtP&gt;=PtNAm,PtLAm,IF(GRDtP&gt;=PtNBp,PtLBp,IF(GRDtP&gt;=PtNB,PtLB,IF(GRDtP&gt;=PtNBm,PtLBm,IF(GRDtP&gt;=PtNCp,PtLCp,IF(GRDtP&gt;=PtNC,PtLC,IF(GRDtP&gt;=PtNCm,PtLCm,IF(GRDtP&gt;=PtNDp,PtLDp,IF(GRDtP&gt;=PtND,PtLD,IF(GRDtP&gt;=PtNDm,PtLDm,PtLF)))))))))))))</f>
        <v>B-</v>
      </c>
      <c r="K10" s="90" cm="1">
        <f t="array" aca="1" ref="K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0.80162500000000003</v>
      </c>
      <c r="L10" s="12" t="s">
        <v>97</v>
      </c>
      <c r="M10" s="89" cm="1">
        <f t="array" aca="1" ref="M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0.19837500000000002</v>
      </c>
      <c r="O10" s="92" t="s">
        <v>98</v>
      </c>
      <c r="P10" s="268" t="str" cm="1">
        <f t="array" aca="1" ref="P10" ca="1">IF(GRDtCT="Dropped","NA",IF(GRDtCT="P/F",IF(GRDtP&gt;=PtNPass,PtLPass,PtLFail),IF(GRDtP&gt;=PtNA,PtLA,IF(GRDtP&gt;=PtNAm,PtLAm,IF(GRDtP&gt;=PtNBp,PtLBp,IF(GRDtP&gt;=PtNB,PtLB,IF(GRDtP&gt;=PtNBm,PtLBm,IF(GRDtP&gt;=PtNCp,PtLCp,IF(GRDtP&gt;=PtNC,PtLC,IF(GRDtP&gt;=PtNCm,PtLCm,IF(GRDtP&gt;=PtNDp,PtLDp,IF(GRDtP&gt;=PtND,PtLD,IF(GRDtP&gt;=PtNDm,PtLDm,PtLF)))))))))))))</f>
        <v>A</v>
      </c>
      <c r="Q10" s="90" cm="1">
        <f t="array" aca="1" ref="Q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0.93533333333333335</v>
      </c>
      <c r="R10" s="12" t="s">
        <v>97</v>
      </c>
      <c r="S10" s="89" cm="1">
        <f t="array" aca="1" ref="S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6.2799999999999995E-2</v>
      </c>
      <c r="U10" s="92" t="s">
        <v>98</v>
      </c>
      <c r="V10" s="268" t="str" cm="1">
        <f t="array" aca="1" ref="V10" ca="1">IF(GRDtCT="Dropped","NA",IF(GRDtCT="P/F",IF(GRDtP&gt;=PtNPass,PtLPass,PtLFail),IF(GRDtP&gt;=PtNA,PtLA,IF(GRDtP&gt;=PtNAm,PtLAm,IF(GRDtP&gt;=PtNBp,PtLBp,IF(GRDtP&gt;=PtNB,PtLB,IF(GRDtP&gt;=PtNBm,PtLBm,IF(GRDtP&gt;=PtNCp,PtLCp,IF(GRDtP&gt;=PtNC,PtLC,IF(GRDtP&gt;=PtNCm,PtLCm,IF(GRDtP&gt;=PtNDp,PtLDp,IF(GRDtP&gt;=PtND,PtLD,IF(GRDtP&gt;=PtNDm,PtLDm,PtLF)))))))))))))</f>
        <v>A</v>
      </c>
      <c r="W10" s="90" cm="1">
        <f t="array" aca="1" ref="W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0.98499999999999999</v>
      </c>
      <c r="X10" s="12" t="s">
        <v>97</v>
      </c>
      <c r="Y10" s="89" cm="1">
        <f t="array" aca="1" ref="Y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1.4999999999999993E-2</v>
      </c>
      <c r="AA10" s="92" t="s">
        <v>98</v>
      </c>
      <c r="AB10" s="268" t="str" cm="1">
        <f t="array" aca="1" ref="AB10" ca="1">IF(GRDtCT="Dropped","NA",IF(GRDtCT="P/F",IF(GRDtP&gt;=PtNPass,PtLPass,PtLFail),IF(GRDtP&gt;=PtNA,PtLA,IF(GRDtP&gt;=PtNAm,PtLAm,IF(GRDtP&gt;=PtNBp,PtLBp,IF(GRDtP&gt;=PtNB,PtLB,IF(GRDtP&gt;=PtNBm,PtLBm,IF(GRDtP&gt;=PtNCp,PtLCp,IF(GRDtP&gt;=PtNC,PtLC,IF(GRDtP&gt;=PtNCm,PtLCm,IF(GRDtP&gt;=PtNDp,PtLDp,IF(GRDtP&gt;=PtND,PtLD,IF(GRDtP&gt;=PtNDm,PtLDm,PtLF)))))))))))))</f>
        <v>A</v>
      </c>
      <c r="AC10" s="90" cm="1">
        <f t="array" aca="1" ref="AC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1</v>
      </c>
      <c r="AD10" s="12" t="s">
        <v>97</v>
      </c>
      <c r="AE10" s="89" cm="1">
        <f t="array" aca="1" ref="AE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v>
      </c>
      <c r="AG10" s="92" t="s">
        <v>98</v>
      </c>
      <c r="AH10" s="354" t="str" cm="1">
        <f t="array" aca="1" ref="AH10" ca="1">IF(GRDtCT="Dropped","NA",IF(GRDtCT="P/F",IF(GRDtP&gt;=PtNPass,PtLPass,PtLFail),IF(GRDtP&gt;=PtNA,PtLA,IF(GRDtP&gt;=PtNAm,PtLAm,IF(GRDtP&gt;=PtNBp,PtLBp,IF(GRDtP&gt;=PtNB,PtLB,IF(GRDtP&gt;=PtNBm,PtLBm,IF(GRDtP&gt;=PtNCp,PtLCp,IF(GRDtP&gt;=PtNC,PtLC,IF(GRDtP&gt;=PtNCm,PtLCm,IF(GRDtP&gt;=PtNDp,PtLDp,IF(GRDtP&gt;=PtND,PtLD,IF(GRDtP&gt;=PtNDm,PtLDm,PtLF)))))))))))))</f>
        <v>NA</v>
      </c>
      <c r="AI10" s="90" t="e" cm="1">
        <f t="array" aca="1" ref="AI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#DIV/0!</v>
      </c>
      <c r="AJ10" s="12" t="s">
        <v>97</v>
      </c>
      <c r="AK10" s="89" cm="1">
        <f t="array" aca="1" ref="AK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v>
      </c>
    </row>
    <row r="11" spans="2:37" ht="15.75" thickBot="1" x14ac:dyDescent="0.3">
      <c r="C11" s="88" t="s">
        <v>96</v>
      </c>
      <c r="D11" s="87"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v>
      </c>
      <c r="E11" s="86"/>
      <c r="F11" s="86" t="s">
        <v>95</v>
      </c>
      <c r="G11" s="242" cm="1">
        <f t="array" aca="1" ref="G11" ca="1">IF(OR(QPtCT="Dropped",QPtCT="P/F"),"NA",QPtGPA*QPtCR)</f>
        <v>9</v>
      </c>
      <c r="I11" s="88" t="s">
        <v>96</v>
      </c>
      <c r="J11" s="87" cm="1">
        <f t="array" aca="1" ref="J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2.67</v>
      </c>
      <c r="K11" s="86"/>
      <c r="L11" s="86" t="s">
        <v>95</v>
      </c>
      <c r="M11" s="242" cm="1">
        <f t="array" aca="1" ref="M11" ca="1">IF(OR(QPtCT="Dropped",QPtCT="P/F"),"NA",QPtGPA*QPtCR)</f>
        <v>8.01</v>
      </c>
      <c r="O11" s="88" t="s">
        <v>96</v>
      </c>
      <c r="P11" s="87" cm="1">
        <f t="array" aca="1" ref="P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4</v>
      </c>
      <c r="Q11" s="86"/>
      <c r="R11" s="86" t="s">
        <v>95</v>
      </c>
      <c r="S11" s="242" cm="1">
        <f t="array" aca="1" ref="S11" ca="1">IF(OR(QPtCT="Dropped",QPtCT="P/F"),"NA",QPtGPA*QPtCR)</f>
        <v>12</v>
      </c>
      <c r="U11" s="88" t="s">
        <v>96</v>
      </c>
      <c r="V11" s="87" cm="1">
        <f t="array" aca="1" ref="V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4</v>
      </c>
      <c r="W11" s="86"/>
      <c r="X11" s="86" t="s">
        <v>95</v>
      </c>
      <c r="Y11" s="242" cm="1">
        <f t="array" aca="1" ref="Y11" ca="1">IF(OR(QPtCT="Dropped",QPtCT="P/F"),"NA",QPtGPA*QPtCR)</f>
        <v>12</v>
      </c>
      <c r="AA11" s="88" t="s">
        <v>96</v>
      </c>
      <c r="AB11" s="87" cm="1">
        <f t="array" aca="1" ref="AB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4</v>
      </c>
      <c r="AC11" s="86"/>
      <c r="AD11" s="86" t="s">
        <v>95</v>
      </c>
      <c r="AE11" s="242" cm="1">
        <f t="array" aca="1" ref="AE11" ca="1">IF(OR(QPtCT="Dropped",QPtCT="P/F"),"NA",QPtGPA*QPtCR)</f>
        <v>12</v>
      </c>
      <c r="AG11" s="88" t="s">
        <v>96</v>
      </c>
      <c r="AH11" s="87" t="str" cm="1">
        <f t="array" aca="1" ref="AH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NA</v>
      </c>
      <c r="AI11" s="86"/>
      <c r="AJ11" s="86" t="s">
        <v>95</v>
      </c>
      <c r="AK11" s="242" t="str" cm="1">
        <f t="array" aca="1" ref="AK11" ca="1">IF(OR(QPtCT="Dropped",QPtCT="P/F"),"NA",QPtGPA*QPtCR)</f>
        <v>NA</v>
      </c>
    </row>
    <row r="12" spans="2:37" ht="15.75" customHeight="1" thickTop="1" thickBot="1" x14ac:dyDescent="0.3"/>
    <row r="13" spans="2:37" ht="16.5" thickTop="1" thickBot="1" x14ac:dyDescent="0.3">
      <c r="C13" s="389" t="s">
        <v>327</v>
      </c>
      <c r="D13" s="390"/>
      <c r="E13" s="390"/>
      <c r="F13" s="390"/>
      <c r="G13" s="391"/>
      <c r="I13" s="389" t="s">
        <v>327</v>
      </c>
      <c r="J13" s="390"/>
      <c r="K13" s="390"/>
      <c r="L13" s="390"/>
      <c r="M13" s="391"/>
      <c r="O13" s="389" t="s">
        <v>327</v>
      </c>
      <c r="P13" s="390"/>
      <c r="Q13" s="390"/>
      <c r="R13" s="390"/>
      <c r="S13" s="391"/>
      <c r="U13" s="389" t="s">
        <v>327</v>
      </c>
      <c r="V13" s="390"/>
      <c r="W13" s="390"/>
      <c r="X13" s="390"/>
      <c r="Y13" s="391"/>
      <c r="AA13" s="389" t="s">
        <v>327</v>
      </c>
      <c r="AB13" s="390"/>
      <c r="AC13" s="390"/>
      <c r="AD13" s="390"/>
      <c r="AE13" s="391"/>
      <c r="AG13" s="389" t="s">
        <v>327</v>
      </c>
      <c r="AH13" s="390"/>
      <c r="AI13" s="390"/>
      <c r="AJ13" s="390"/>
      <c r="AK13" s="391"/>
    </row>
    <row r="14" spans="2:37" ht="15.75" thickTop="1" x14ac:dyDescent="0.25">
      <c r="C14" s="392" t="s">
        <v>13</v>
      </c>
      <c r="D14" s="393"/>
      <c r="E14" s="231">
        <v>0.9</v>
      </c>
      <c r="F14" s="368" t="s">
        <v>6</v>
      </c>
      <c r="G14" s="4">
        <v>0.55000000000000004</v>
      </c>
      <c r="I14" s="392" t="s">
        <v>13</v>
      </c>
      <c r="J14" s="393"/>
      <c r="K14" s="231">
        <v>0.93</v>
      </c>
      <c r="L14" s="368" t="s">
        <v>6</v>
      </c>
      <c r="M14" s="4">
        <v>0.7</v>
      </c>
      <c r="O14" s="392" t="s">
        <v>13</v>
      </c>
      <c r="P14" s="393"/>
      <c r="Q14" s="231">
        <f t="shared" ref="Q14" si="1">0.92</f>
        <v>0.92</v>
      </c>
      <c r="R14" s="368" t="s">
        <v>6</v>
      </c>
      <c r="S14" s="4">
        <f t="shared" ref="S14" si="2">0.69</f>
        <v>0.69</v>
      </c>
      <c r="U14" s="392" t="s">
        <v>13</v>
      </c>
      <c r="V14" s="393"/>
      <c r="W14" s="231">
        <f>0.92</f>
        <v>0.92</v>
      </c>
      <c r="X14" s="368" t="s">
        <v>6</v>
      </c>
      <c r="Y14" s="4">
        <v>0.7</v>
      </c>
      <c r="AA14" s="392" t="s">
        <v>13</v>
      </c>
      <c r="AB14" s="393"/>
      <c r="AC14" s="231">
        <f>0.92</f>
        <v>0.92</v>
      </c>
      <c r="AD14" s="368" t="s">
        <v>6</v>
      </c>
      <c r="AE14" s="4">
        <f>0.69</f>
        <v>0.69</v>
      </c>
      <c r="AG14" s="392" t="s">
        <v>13</v>
      </c>
      <c r="AH14" s="393"/>
      <c r="AI14" s="231">
        <f>0.92</f>
        <v>0.92</v>
      </c>
      <c r="AJ14" s="368" t="s">
        <v>6</v>
      </c>
      <c r="AK14" s="4">
        <f>0.69</f>
        <v>0.69</v>
      </c>
    </row>
    <row r="15" spans="2:37" x14ac:dyDescent="0.25">
      <c r="C15" s="387" t="s">
        <v>12</v>
      </c>
      <c r="D15" s="388"/>
      <c r="E15" s="231">
        <v>0.85</v>
      </c>
      <c r="F15" s="368" t="s">
        <v>5</v>
      </c>
      <c r="G15" s="4">
        <v>0.5</v>
      </c>
      <c r="I15" s="387" t="s">
        <v>12</v>
      </c>
      <c r="J15" s="388"/>
      <c r="K15" s="231">
        <v>0.9</v>
      </c>
      <c r="L15" s="368" t="s">
        <v>5</v>
      </c>
      <c r="M15" s="4">
        <v>0.67</v>
      </c>
      <c r="O15" s="387" t="s">
        <v>12</v>
      </c>
      <c r="P15" s="388"/>
      <c r="Q15" s="231">
        <f t="shared" ref="Q15" si="3">0.89</f>
        <v>0.89</v>
      </c>
      <c r="R15" s="368" t="s">
        <v>5</v>
      </c>
      <c r="S15" s="4">
        <f t="shared" ref="S15" si="4">0.66</f>
        <v>0.66</v>
      </c>
      <c r="U15" s="387" t="s">
        <v>12</v>
      </c>
      <c r="V15" s="388"/>
      <c r="W15" s="231">
        <v>0.9</v>
      </c>
      <c r="X15" s="368" t="s">
        <v>5</v>
      </c>
      <c r="Y15" s="4">
        <v>0.68</v>
      </c>
      <c r="AA15" s="387" t="s">
        <v>12</v>
      </c>
      <c r="AB15" s="388"/>
      <c r="AC15" s="231">
        <f>0.89</f>
        <v>0.89</v>
      </c>
      <c r="AD15" s="368" t="s">
        <v>5</v>
      </c>
      <c r="AE15" s="4">
        <f>0.66</f>
        <v>0.66</v>
      </c>
      <c r="AG15" s="387" t="s">
        <v>12</v>
      </c>
      <c r="AH15" s="388"/>
      <c r="AI15" s="231">
        <f>0.89</f>
        <v>0.89</v>
      </c>
      <c r="AJ15" s="368" t="s">
        <v>5</v>
      </c>
      <c r="AK15" s="4">
        <f>0.66</f>
        <v>0.66</v>
      </c>
    </row>
    <row r="16" spans="2:37" x14ac:dyDescent="0.25">
      <c r="C16" s="387" t="s">
        <v>11</v>
      </c>
      <c r="D16" s="388"/>
      <c r="E16" s="231">
        <v>0.8</v>
      </c>
      <c r="F16" s="368" t="s">
        <v>4</v>
      </c>
      <c r="G16" s="4">
        <v>0.45</v>
      </c>
      <c r="I16" s="387" t="s">
        <v>11</v>
      </c>
      <c r="J16" s="388"/>
      <c r="K16" s="231">
        <v>0.87</v>
      </c>
      <c r="L16" s="368" t="s">
        <v>4</v>
      </c>
      <c r="M16" s="4">
        <v>0.63</v>
      </c>
      <c r="O16" s="387" t="s">
        <v>11</v>
      </c>
      <c r="P16" s="388"/>
      <c r="Q16" s="231">
        <f t="shared" ref="Q16" si="5">0.86</f>
        <v>0.86</v>
      </c>
      <c r="R16" s="368" t="s">
        <v>4</v>
      </c>
      <c r="S16" s="4">
        <f t="shared" ref="S16" si="6">0.61</f>
        <v>0.61</v>
      </c>
      <c r="U16" s="387" t="s">
        <v>11</v>
      </c>
      <c r="V16" s="388"/>
      <c r="W16" s="231">
        <v>0.88</v>
      </c>
      <c r="X16" s="368" t="s">
        <v>4</v>
      </c>
      <c r="Y16" s="4">
        <v>0.62</v>
      </c>
      <c r="AA16" s="387" t="s">
        <v>11</v>
      </c>
      <c r="AB16" s="388"/>
      <c r="AC16" s="231">
        <f>0.86</f>
        <v>0.86</v>
      </c>
      <c r="AD16" s="368" t="s">
        <v>4</v>
      </c>
      <c r="AE16" s="4">
        <f>0.61</f>
        <v>0.61</v>
      </c>
      <c r="AG16" s="387" t="s">
        <v>11</v>
      </c>
      <c r="AH16" s="388"/>
      <c r="AI16" s="231">
        <f>0.86</f>
        <v>0.86</v>
      </c>
      <c r="AJ16" s="368" t="s">
        <v>4</v>
      </c>
      <c r="AK16" s="4">
        <f>0.61</f>
        <v>0.61</v>
      </c>
    </row>
    <row r="17" spans="3:37" x14ac:dyDescent="0.25">
      <c r="C17" s="387" t="s">
        <v>10</v>
      </c>
      <c r="D17" s="388"/>
      <c r="E17" s="231">
        <v>0.75</v>
      </c>
      <c r="F17" s="368" t="s">
        <v>3</v>
      </c>
      <c r="G17" s="4">
        <v>0.4</v>
      </c>
      <c r="I17" s="387" t="s">
        <v>10</v>
      </c>
      <c r="J17" s="388"/>
      <c r="K17" s="231">
        <v>0.83</v>
      </c>
      <c r="L17" s="368" t="s">
        <v>3</v>
      </c>
      <c r="M17" s="4">
        <v>0.6</v>
      </c>
      <c r="O17" s="387" t="s">
        <v>10</v>
      </c>
      <c r="P17" s="388"/>
      <c r="Q17" s="231">
        <f t="shared" ref="Q17" si="7">0.81</f>
        <v>0.81</v>
      </c>
      <c r="R17" s="368" t="s">
        <v>3</v>
      </c>
      <c r="S17" s="4">
        <v>0.6</v>
      </c>
      <c r="U17" s="387" t="s">
        <v>10</v>
      </c>
      <c r="V17" s="388"/>
      <c r="W17" s="231">
        <v>0.82</v>
      </c>
      <c r="X17" s="368" t="s">
        <v>3</v>
      </c>
      <c r="Y17" s="4">
        <v>0.6</v>
      </c>
      <c r="AA17" s="387" t="s">
        <v>10</v>
      </c>
      <c r="AB17" s="388"/>
      <c r="AC17" s="231">
        <f>0.81</f>
        <v>0.81</v>
      </c>
      <c r="AD17" s="368" t="s">
        <v>3</v>
      </c>
      <c r="AE17" s="4">
        <v>0.6</v>
      </c>
      <c r="AG17" s="387" t="s">
        <v>10</v>
      </c>
      <c r="AH17" s="388"/>
      <c r="AI17" s="231">
        <f>0.81</f>
        <v>0.81</v>
      </c>
      <c r="AJ17" s="368" t="s">
        <v>3</v>
      </c>
      <c r="AK17" s="4">
        <v>0.6</v>
      </c>
    </row>
    <row r="18" spans="3:37" x14ac:dyDescent="0.25">
      <c r="C18" s="387" t="s">
        <v>9</v>
      </c>
      <c r="D18" s="388"/>
      <c r="E18" s="231">
        <v>0.7</v>
      </c>
      <c r="F18" s="7" t="s">
        <v>2</v>
      </c>
      <c r="G18" s="270">
        <v>0.39</v>
      </c>
      <c r="I18" s="387" t="s">
        <v>9</v>
      </c>
      <c r="J18" s="388"/>
      <c r="K18" s="231">
        <v>0.8</v>
      </c>
      <c r="L18" s="7" t="s">
        <v>2</v>
      </c>
      <c r="M18" s="6">
        <v>0.59</v>
      </c>
      <c r="O18" s="387" t="s">
        <v>9</v>
      </c>
      <c r="P18" s="388"/>
      <c r="Q18" s="231">
        <f t="shared" ref="Q18" si="8">0.79</f>
        <v>0.79</v>
      </c>
      <c r="R18" s="7" t="s">
        <v>2</v>
      </c>
      <c r="S18" s="6">
        <f t="shared" ref="S18" si="9">0.5</f>
        <v>0.5</v>
      </c>
      <c r="U18" s="387" t="s">
        <v>9</v>
      </c>
      <c r="V18" s="388"/>
      <c r="W18" s="231">
        <v>0.8</v>
      </c>
      <c r="X18" s="7" t="s">
        <v>2</v>
      </c>
      <c r="Y18" s="6">
        <v>0</v>
      </c>
      <c r="AA18" s="387" t="s">
        <v>9</v>
      </c>
      <c r="AB18" s="388"/>
      <c r="AC18" s="231">
        <f>0.79</f>
        <v>0.79</v>
      </c>
      <c r="AD18" s="7" t="s">
        <v>2</v>
      </c>
      <c r="AE18" s="6">
        <f>0.5</f>
        <v>0.5</v>
      </c>
      <c r="AG18" s="387" t="s">
        <v>9</v>
      </c>
      <c r="AH18" s="388"/>
      <c r="AI18" s="231">
        <f>0.79</f>
        <v>0.79</v>
      </c>
      <c r="AJ18" s="7" t="s">
        <v>2</v>
      </c>
      <c r="AK18" s="6">
        <f>0.5</f>
        <v>0.5</v>
      </c>
    </row>
    <row r="19" spans="3:37" x14ac:dyDescent="0.25">
      <c r="C19" s="387" t="s">
        <v>8</v>
      </c>
      <c r="D19" s="388"/>
      <c r="E19" s="231">
        <v>0.65</v>
      </c>
      <c r="F19" s="368" t="s">
        <v>1</v>
      </c>
      <c r="G19" s="4">
        <f>G17</f>
        <v>0.4</v>
      </c>
      <c r="I19" s="387" t="s">
        <v>8</v>
      </c>
      <c r="J19" s="388"/>
      <c r="K19" s="231">
        <v>0.77</v>
      </c>
      <c r="L19" s="368" t="s">
        <v>1</v>
      </c>
      <c r="M19" s="4">
        <f>M16</f>
        <v>0.63</v>
      </c>
      <c r="O19" s="387" t="s">
        <v>8</v>
      </c>
      <c r="P19" s="388"/>
      <c r="Q19" s="231">
        <f t="shared" ref="Q19" si="10">0.76</f>
        <v>0.76</v>
      </c>
      <c r="R19" s="368" t="s">
        <v>1</v>
      </c>
      <c r="S19" s="4">
        <f t="shared" ref="S19" si="11">0.7</f>
        <v>0.7</v>
      </c>
      <c r="U19" s="387" t="s">
        <v>8</v>
      </c>
      <c r="V19" s="388"/>
      <c r="W19" s="231">
        <v>0.78</v>
      </c>
      <c r="X19" s="368" t="s">
        <v>1</v>
      </c>
      <c r="Y19" s="4">
        <f>Y15</f>
        <v>0.68</v>
      </c>
      <c r="AA19" s="387" t="s">
        <v>8</v>
      </c>
      <c r="AB19" s="388"/>
      <c r="AC19" s="231">
        <f>0.76</f>
        <v>0.76</v>
      </c>
      <c r="AD19" s="368" t="s">
        <v>1</v>
      </c>
      <c r="AE19" s="4">
        <f>0.7</f>
        <v>0.7</v>
      </c>
      <c r="AG19" s="387" t="s">
        <v>8</v>
      </c>
      <c r="AH19" s="388"/>
      <c r="AI19" s="231">
        <f>0.76</f>
        <v>0.76</v>
      </c>
      <c r="AJ19" s="368" t="s">
        <v>1</v>
      </c>
      <c r="AK19" s="4">
        <f>0.7</f>
        <v>0.7</v>
      </c>
    </row>
    <row r="20" spans="3:37" ht="15.75" thickBot="1" x14ac:dyDescent="0.3">
      <c r="C20" s="406" t="s">
        <v>7</v>
      </c>
      <c r="D20" s="407"/>
      <c r="E20" s="232">
        <v>0.6</v>
      </c>
      <c r="F20" s="367" t="s">
        <v>0</v>
      </c>
      <c r="G20" s="2">
        <f t="shared" ref="G20" si="12">IFERROR(H29/F20,0)</f>
        <v>0</v>
      </c>
      <c r="I20" s="406" t="s">
        <v>7</v>
      </c>
      <c r="J20" s="407"/>
      <c r="K20" s="232">
        <v>0.73</v>
      </c>
      <c r="L20" s="367" t="s">
        <v>0</v>
      </c>
      <c r="M20" s="2">
        <f>IFERROR(N29/L20,0)</f>
        <v>0</v>
      </c>
      <c r="O20" s="406" t="s">
        <v>7</v>
      </c>
      <c r="P20" s="407"/>
      <c r="Q20" s="232">
        <f t="shared" ref="Q20" si="13">0.71</f>
        <v>0.71</v>
      </c>
      <c r="R20" s="367" t="s">
        <v>0</v>
      </c>
      <c r="S20" s="2">
        <f t="shared" ref="S20" si="14">IFERROR(T29/R20,0)</f>
        <v>0</v>
      </c>
      <c r="U20" s="406" t="s">
        <v>7</v>
      </c>
      <c r="V20" s="407"/>
      <c r="W20" s="232">
        <v>0.72</v>
      </c>
      <c r="X20" s="367" t="s">
        <v>0</v>
      </c>
      <c r="Y20" s="2">
        <f>IFERROR(Z29/X20,0)</f>
        <v>0</v>
      </c>
      <c r="AA20" s="406" t="s">
        <v>7</v>
      </c>
      <c r="AB20" s="407"/>
      <c r="AC20" s="232">
        <f>0.71</f>
        <v>0.71</v>
      </c>
      <c r="AD20" s="367" t="s">
        <v>0</v>
      </c>
      <c r="AE20" s="2">
        <f>IFERROR(AF29/AD20,0)</f>
        <v>0</v>
      </c>
      <c r="AG20" s="406" t="s">
        <v>7</v>
      </c>
      <c r="AH20" s="407"/>
      <c r="AI20" s="232">
        <f>0.71</f>
        <v>0.71</v>
      </c>
      <c r="AJ20" s="367" t="s">
        <v>0</v>
      </c>
      <c r="AK20" s="2">
        <f>IFERROR(AL29/AJ20,0)</f>
        <v>0</v>
      </c>
    </row>
    <row r="21" spans="3:37" ht="15.75" customHeight="1" thickTop="1" thickBot="1" x14ac:dyDescent="0.3"/>
    <row r="22" spans="3:37" ht="16.5" thickTop="1" thickBot="1" x14ac:dyDescent="0.3">
      <c r="C22" s="408" t="s">
        <v>92</v>
      </c>
      <c r="D22" s="409"/>
      <c r="E22" s="409"/>
      <c r="F22" s="409"/>
      <c r="G22" s="410"/>
      <c r="I22" s="408" t="s">
        <v>426</v>
      </c>
      <c r="J22" s="409"/>
      <c r="K22" s="409"/>
      <c r="L22" s="409"/>
      <c r="M22" s="410"/>
      <c r="O22" s="408" t="s">
        <v>581</v>
      </c>
      <c r="P22" s="409"/>
      <c r="Q22" s="409"/>
      <c r="R22" s="409"/>
      <c r="S22" s="410"/>
      <c r="U22" s="408" t="s">
        <v>579</v>
      </c>
      <c r="V22" s="409"/>
      <c r="W22" s="409"/>
      <c r="X22" s="409"/>
      <c r="Y22" s="410"/>
      <c r="AA22" s="408" t="s">
        <v>426</v>
      </c>
      <c r="AB22" s="409"/>
      <c r="AC22" s="409"/>
      <c r="AD22" s="409"/>
      <c r="AE22" s="410"/>
      <c r="AG22" s="408" t="s">
        <v>426</v>
      </c>
      <c r="AH22" s="409"/>
      <c r="AI22" s="409"/>
      <c r="AJ22" s="409"/>
      <c r="AK22" s="410"/>
    </row>
    <row r="23" spans="3:37" ht="16.5" thickTop="1" thickBot="1" x14ac:dyDescent="0.3">
      <c r="C23" s="237">
        <v>11</v>
      </c>
      <c r="D23" s="235" t="s">
        <v>326</v>
      </c>
      <c r="E23" s="236">
        <v>11</v>
      </c>
      <c r="F23" s="233" t="s">
        <v>19</v>
      </c>
      <c r="G23" s="234">
        <v>0.05</v>
      </c>
      <c r="I23" s="237">
        <v>4</v>
      </c>
      <c r="J23" s="235" t="s">
        <v>326</v>
      </c>
      <c r="K23" s="236">
        <v>4</v>
      </c>
      <c r="L23" s="233" t="s">
        <v>19</v>
      </c>
      <c r="M23" s="234">
        <v>0.15</v>
      </c>
      <c r="O23" s="237">
        <v>24</v>
      </c>
      <c r="P23" s="235" t="s">
        <v>326</v>
      </c>
      <c r="Q23" s="236">
        <v>25</v>
      </c>
      <c r="R23" s="233" t="s">
        <v>19</v>
      </c>
      <c r="S23" s="234">
        <v>0.4</v>
      </c>
      <c r="U23" s="237">
        <v>13</v>
      </c>
      <c r="V23" s="235" t="s">
        <v>326</v>
      </c>
      <c r="W23" s="236">
        <v>13</v>
      </c>
      <c r="X23" s="233" t="s">
        <v>19</v>
      </c>
      <c r="Y23" s="234">
        <v>0.4</v>
      </c>
      <c r="AA23" s="237">
        <v>8</v>
      </c>
      <c r="AB23" s="235" t="s">
        <v>326</v>
      </c>
      <c r="AC23" s="236">
        <v>10</v>
      </c>
      <c r="AD23" s="233" t="s">
        <v>19</v>
      </c>
      <c r="AE23" s="234">
        <f>1</f>
        <v>1</v>
      </c>
      <c r="AG23" s="237">
        <v>1</v>
      </c>
      <c r="AH23" s="235" t="s">
        <v>326</v>
      </c>
      <c r="AI23" s="236">
        <v>10</v>
      </c>
      <c r="AJ23" s="233" t="s">
        <v>19</v>
      </c>
      <c r="AK23" s="234">
        <f>1</f>
        <v>1</v>
      </c>
    </row>
    <row r="24" spans="3:37" ht="15.75" thickTop="1" x14ac:dyDescent="0.25">
      <c r="C24" s="238" t="s">
        <v>98</v>
      </c>
      <c r="D24" s="254">
        <f ca="1">SUM(EtCT:downtwo)</f>
        <v>1100</v>
      </c>
      <c r="E24" s="254">
        <f ca="1">SUM(TtCT:downtwo)</f>
        <v>1100</v>
      </c>
      <c r="F24" s="411">
        <f ca="1">IFERROR(D24/E24,0)</f>
        <v>1</v>
      </c>
      <c r="G24" s="412"/>
      <c r="I24" s="238" t="s">
        <v>98</v>
      </c>
      <c r="J24" s="254">
        <f ca="1">SUM(EtCT:downtwo)</f>
        <v>25.5</v>
      </c>
      <c r="K24" s="254">
        <f ca="1">SUM(TtCT:downtwo)</f>
        <v>40</v>
      </c>
      <c r="L24" s="411">
        <f ca="1">IFERROR(J24/K24,0)</f>
        <v>0.63749999999999996</v>
      </c>
      <c r="M24" s="412"/>
      <c r="O24" s="238" t="s">
        <v>98</v>
      </c>
      <c r="P24" s="254">
        <f ca="1">SUM(EtCT:downtwo)</f>
        <v>106</v>
      </c>
      <c r="Q24" s="254">
        <f ca="1">SUM(TtCT:downtwo)</f>
        <v>120</v>
      </c>
      <c r="R24" s="411">
        <f ca="1">IFERROR(P24/Q24,0)</f>
        <v>0.8833333333333333</v>
      </c>
      <c r="S24" s="412"/>
      <c r="U24" s="238" t="s">
        <v>98</v>
      </c>
      <c r="V24" s="254">
        <f ca="1">SUM(EtCT:downtwo)</f>
        <v>77</v>
      </c>
      <c r="W24" s="254">
        <f ca="1">SUM(TtCT:downtwo)</f>
        <v>80</v>
      </c>
      <c r="X24" s="411">
        <f ca="1">IFERROR(V24/W24,0)</f>
        <v>0.96250000000000002</v>
      </c>
      <c r="Y24" s="412"/>
      <c r="AA24" s="238" t="s">
        <v>98</v>
      </c>
      <c r="AB24" s="254">
        <f ca="1">SUM(EtCT:downtwo)</f>
        <v>8</v>
      </c>
      <c r="AC24" s="254">
        <f ca="1">SUM(TtCT:downtwo)</f>
        <v>8</v>
      </c>
      <c r="AD24" s="411">
        <f ca="1">IFERROR(AB24/AC24,0)</f>
        <v>1</v>
      </c>
      <c r="AE24" s="412"/>
      <c r="AG24" s="238" t="s">
        <v>98</v>
      </c>
      <c r="AH24" s="254">
        <f ca="1">SUM(EtCT:downtwo)</f>
        <v>0</v>
      </c>
      <c r="AI24" s="254">
        <f ca="1">SUM(TtCT:downtwo)</f>
        <v>1</v>
      </c>
      <c r="AJ24" s="411">
        <f ca="1">IFERROR(AH24/AI24,0)</f>
        <v>0</v>
      </c>
      <c r="AK24" s="412"/>
    </row>
    <row r="25" spans="3:37" ht="15.75" thickBot="1" x14ac:dyDescent="0.3">
      <c r="C25" s="239" t="s">
        <v>18</v>
      </c>
      <c r="D25" s="413" t="s">
        <v>17</v>
      </c>
      <c r="E25" s="413"/>
      <c r="F25" s="240" t="s">
        <v>16</v>
      </c>
      <c r="G25" s="241" t="s">
        <v>15</v>
      </c>
      <c r="I25" s="239" t="s">
        <v>18</v>
      </c>
      <c r="J25" s="413" t="s">
        <v>17</v>
      </c>
      <c r="K25" s="413"/>
      <c r="L25" s="240" t="s">
        <v>16</v>
      </c>
      <c r="M25" s="241" t="s">
        <v>15</v>
      </c>
      <c r="O25" s="239" t="s">
        <v>18</v>
      </c>
      <c r="P25" s="413" t="s">
        <v>17</v>
      </c>
      <c r="Q25" s="413"/>
      <c r="R25" s="240" t="s">
        <v>16</v>
      </c>
      <c r="S25" s="241" t="s">
        <v>15</v>
      </c>
      <c r="U25" s="239" t="s">
        <v>18</v>
      </c>
      <c r="V25" s="413" t="s">
        <v>17</v>
      </c>
      <c r="W25" s="413"/>
      <c r="X25" s="240" t="s">
        <v>16</v>
      </c>
      <c r="Y25" s="241" t="s">
        <v>15</v>
      </c>
      <c r="AA25" s="239" t="s">
        <v>18</v>
      </c>
      <c r="AB25" s="413" t="s">
        <v>17</v>
      </c>
      <c r="AC25" s="413"/>
      <c r="AD25" s="240" t="s">
        <v>16</v>
      </c>
      <c r="AE25" s="241" t="s">
        <v>15</v>
      </c>
      <c r="AG25" s="239" t="s">
        <v>18</v>
      </c>
      <c r="AH25" s="413" t="s">
        <v>17</v>
      </c>
      <c r="AI25" s="413"/>
      <c r="AJ25" s="240" t="s">
        <v>16</v>
      </c>
      <c r="AK25" s="241" t="s">
        <v>15</v>
      </c>
    </row>
    <row r="26" spans="3:37" ht="15.75" thickTop="1" x14ac:dyDescent="0.25">
      <c r="C26" s="170">
        <v>44071</v>
      </c>
      <c r="D26" s="72">
        <v>100</v>
      </c>
      <c r="E26" s="71">
        <v>100</v>
      </c>
      <c r="F26" s="63">
        <f t="shared" ref="F26:F36" si="15">IFERROR(D26/E26,0)</f>
        <v>1</v>
      </c>
      <c r="G26" s="62"/>
      <c r="I26" s="11" t="s">
        <v>574</v>
      </c>
      <c r="J26" s="10">
        <v>0</v>
      </c>
      <c r="K26" s="10">
        <v>10</v>
      </c>
      <c r="L26" s="9">
        <f t="shared" ref="L26:L29" si="16">IFERROR(J26/K26,0)</f>
        <v>0</v>
      </c>
      <c r="M26" s="8"/>
      <c r="O26" s="11" t="s">
        <v>332</v>
      </c>
      <c r="P26" s="10">
        <v>5</v>
      </c>
      <c r="Q26" s="10">
        <v>5</v>
      </c>
      <c r="R26" s="9">
        <f t="shared" ref="R26:R35" si="17">IFERROR(P26/Q26,0)</f>
        <v>1</v>
      </c>
      <c r="S26" s="8"/>
      <c r="U26" s="11" t="s">
        <v>332</v>
      </c>
      <c r="V26" s="10">
        <v>10</v>
      </c>
      <c r="W26" s="10">
        <v>10</v>
      </c>
      <c r="X26" s="9">
        <f t="shared" ref="X26:X31" si="18">IFERROR(V26/W26,0)</f>
        <v>1</v>
      </c>
      <c r="Y26" s="8"/>
      <c r="AA26" s="11" t="s">
        <v>590</v>
      </c>
      <c r="AB26" s="10">
        <v>1</v>
      </c>
      <c r="AC26" s="10">
        <v>1</v>
      </c>
      <c r="AD26" s="9">
        <f t="shared" ref="AD26:AD35" si="19">IFERROR(AB26/AC26,0)</f>
        <v>1</v>
      </c>
      <c r="AE26" s="8"/>
      <c r="AG26" s="11" t="s">
        <v>332</v>
      </c>
      <c r="AH26" s="10">
        <v>0</v>
      </c>
      <c r="AI26" s="10">
        <v>1</v>
      </c>
      <c r="AJ26" s="9">
        <f t="shared" ref="AJ26:AJ35" si="20">IFERROR(AH26/AI26,0)</f>
        <v>0</v>
      </c>
      <c r="AK26" s="8"/>
    </row>
    <row r="27" spans="3:37" x14ac:dyDescent="0.25">
      <c r="C27" s="170">
        <v>44078</v>
      </c>
      <c r="D27" s="72">
        <v>100</v>
      </c>
      <c r="E27" s="71">
        <v>100</v>
      </c>
      <c r="F27" s="63">
        <f t="shared" si="15"/>
        <v>1</v>
      </c>
      <c r="G27" s="62"/>
      <c r="I27" s="11" t="s">
        <v>575</v>
      </c>
      <c r="J27" s="10">
        <v>10</v>
      </c>
      <c r="K27" s="10">
        <v>10</v>
      </c>
      <c r="L27" s="63">
        <f t="shared" si="16"/>
        <v>1</v>
      </c>
      <c r="M27" s="76"/>
      <c r="O27" s="11" t="s">
        <v>333</v>
      </c>
      <c r="P27" s="10">
        <v>5</v>
      </c>
      <c r="Q27" s="10">
        <v>5</v>
      </c>
      <c r="R27" s="63">
        <f t="shared" si="17"/>
        <v>1</v>
      </c>
      <c r="S27" s="76"/>
      <c r="U27" s="11" t="s">
        <v>333</v>
      </c>
      <c r="V27" s="10">
        <v>7</v>
      </c>
      <c r="W27" s="10">
        <v>10</v>
      </c>
      <c r="X27" s="63">
        <f t="shared" si="18"/>
        <v>0.7</v>
      </c>
      <c r="Y27" s="76"/>
      <c r="AA27" s="11" t="s">
        <v>591</v>
      </c>
      <c r="AB27" s="10">
        <v>1</v>
      </c>
      <c r="AC27" s="10">
        <v>1</v>
      </c>
      <c r="AD27" s="63">
        <f t="shared" si="19"/>
        <v>1</v>
      </c>
      <c r="AE27" s="76"/>
      <c r="AG27" s="11" t="s">
        <v>333</v>
      </c>
      <c r="AH27" s="10">
        <v>0</v>
      </c>
      <c r="AI27" s="10">
        <v>1</v>
      </c>
      <c r="AJ27" s="63">
        <f t="shared" si="20"/>
        <v>0</v>
      </c>
      <c r="AK27" s="76"/>
    </row>
    <row r="28" spans="3:37" x14ac:dyDescent="0.25">
      <c r="C28" s="170">
        <v>44085</v>
      </c>
      <c r="D28" s="72">
        <v>100</v>
      </c>
      <c r="E28" s="71">
        <v>100</v>
      </c>
      <c r="F28" s="63">
        <f t="shared" si="15"/>
        <v>1</v>
      </c>
      <c r="G28" s="62"/>
      <c r="I28" s="11" t="s">
        <v>576</v>
      </c>
      <c r="J28" s="10">
        <v>6.5</v>
      </c>
      <c r="K28" s="10">
        <v>10</v>
      </c>
      <c r="L28" s="63">
        <f t="shared" si="16"/>
        <v>0.65</v>
      </c>
      <c r="M28" s="62"/>
      <c r="O28" s="11" t="s">
        <v>334</v>
      </c>
      <c r="P28" s="10">
        <v>5</v>
      </c>
      <c r="Q28" s="10">
        <v>5</v>
      </c>
      <c r="R28" s="63">
        <f t="shared" si="17"/>
        <v>1</v>
      </c>
      <c r="S28" s="62"/>
      <c r="U28" s="11" t="s">
        <v>334</v>
      </c>
      <c r="V28" s="10">
        <v>10</v>
      </c>
      <c r="W28" s="10">
        <v>10</v>
      </c>
      <c r="X28" s="63">
        <f t="shared" si="18"/>
        <v>1</v>
      </c>
      <c r="Y28" s="62"/>
      <c r="AA28" s="11" t="s">
        <v>334</v>
      </c>
      <c r="AB28" s="10">
        <v>1</v>
      </c>
      <c r="AC28" s="10">
        <v>1</v>
      </c>
      <c r="AD28" s="63">
        <f t="shared" si="19"/>
        <v>1</v>
      </c>
      <c r="AE28" s="62"/>
      <c r="AG28" s="11" t="s">
        <v>334</v>
      </c>
      <c r="AH28" s="10">
        <v>0</v>
      </c>
      <c r="AI28" s="10">
        <v>1</v>
      </c>
      <c r="AJ28" s="63">
        <f t="shared" si="20"/>
        <v>0</v>
      </c>
      <c r="AK28" s="62"/>
    </row>
    <row r="29" spans="3:37" ht="15.75" thickBot="1" x14ac:dyDescent="0.3">
      <c r="C29" s="170">
        <v>44092</v>
      </c>
      <c r="D29" s="72">
        <v>100</v>
      </c>
      <c r="E29" s="71">
        <v>100</v>
      </c>
      <c r="F29" s="63">
        <f t="shared" si="15"/>
        <v>1</v>
      </c>
      <c r="G29" s="62"/>
      <c r="I29" s="11" t="s">
        <v>593</v>
      </c>
      <c r="J29" s="10">
        <v>9</v>
      </c>
      <c r="K29" s="10">
        <v>10</v>
      </c>
      <c r="L29" s="63">
        <f t="shared" si="16"/>
        <v>0.9</v>
      </c>
      <c r="M29" s="62"/>
      <c r="O29" s="11" t="s">
        <v>335</v>
      </c>
      <c r="P29" s="10">
        <v>5.5</v>
      </c>
      <c r="Q29" s="10">
        <v>5</v>
      </c>
      <c r="R29" s="63">
        <f t="shared" si="17"/>
        <v>1.1000000000000001</v>
      </c>
      <c r="S29" s="62"/>
      <c r="U29" s="11" t="s">
        <v>337</v>
      </c>
      <c r="V29" s="10">
        <v>10</v>
      </c>
      <c r="W29" s="10">
        <v>10</v>
      </c>
      <c r="X29" s="63">
        <f t="shared" si="18"/>
        <v>1</v>
      </c>
      <c r="Y29" s="62"/>
      <c r="AA29" s="11" t="s">
        <v>335</v>
      </c>
      <c r="AB29" s="10">
        <v>1</v>
      </c>
      <c r="AC29" s="10">
        <v>1</v>
      </c>
      <c r="AD29" s="63">
        <f t="shared" si="19"/>
        <v>1</v>
      </c>
      <c r="AE29" s="62"/>
      <c r="AG29" s="11" t="s">
        <v>335</v>
      </c>
      <c r="AH29" s="10">
        <v>0</v>
      </c>
      <c r="AI29" s="10">
        <v>1</v>
      </c>
      <c r="AJ29" s="63">
        <f t="shared" si="20"/>
        <v>0</v>
      </c>
      <c r="AK29" s="62"/>
    </row>
    <row r="30" spans="3:37" ht="16.5" thickTop="1" thickBot="1" x14ac:dyDescent="0.3">
      <c r="C30" s="170">
        <v>44099</v>
      </c>
      <c r="D30" s="72">
        <v>100</v>
      </c>
      <c r="E30" s="71">
        <v>100</v>
      </c>
      <c r="F30" s="63">
        <f t="shared" si="15"/>
        <v>1</v>
      </c>
      <c r="G30" s="62"/>
      <c r="I30" s="403"/>
      <c r="J30" s="404"/>
      <c r="K30" s="404"/>
      <c r="L30" s="404"/>
      <c r="M30" s="405"/>
      <c r="O30" s="11" t="s">
        <v>336</v>
      </c>
      <c r="P30" s="10">
        <v>5</v>
      </c>
      <c r="Q30" s="10">
        <v>5</v>
      </c>
      <c r="R30" s="63">
        <f t="shared" si="17"/>
        <v>1</v>
      </c>
      <c r="S30" s="76"/>
      <c r="U30" s="11" t="s">
        <v>338</v>
      </c>
      <c r="V30" s="10">
        <v>10</v>
      </c>
      <c r="W30" s="10">
        <v>10</v>
      </c>
      <c r="X30" s="63">
        <f t="shared" si="18"/>
        <v>1</v>
      </c>
      <c r="Y30" s="76"/>
      <c r="AA30" s="11" t="s">
        <v>336</v>
      </c>
      <c r="AB30" s="10">
        <v>1</v>
      </c>
      <c r="AC30" s="10">
        <v>1</v>
      </c>
      <c r="AD30" s="63">
        <f t="shared" si="19"/>
        <v>1</v>
      </c>
      <c r="AE30" s="76"/>
      <c r="AG30" s="11" t="s">
        <v>336</v>
      </c>
      <c r="AH30" s="10">
        <v>0</v>
      </c>
      <c r="AI30" s="10">
        <v>1</v>
      </c>
      <c r="AJ30" s="63">
        <f t="shared" si="20"/>
        <v>0</v>
      </c>
      <c r="AK30" s="76"/>
    </row>
    <row r="31" spans="3:37" ht="16.5" thickTop="1" thickBot="1" x14ac:dyDescent="0.3">
      <c r="C31" s="170">
        <v>44106</v>
      </c>
      <c r="D31" s="72">
        <v>100</v>
      </c>
      <c r="E31" s="71">
        <v>100</v>
      </c>
      <c r="F31" s="63">
        <f t="shared" si="15"/>
        <v>1</v>
      </c>
      <c r="G31" s="62"/>
      <c r="O31" s="11" t="s">
        <v>337</v>
      </c>
      <c r="P31" s="10">
        <v>6</v>
      </c>
      <c r="Q31" s="10">
        <v>5</v>
      </c>
      <c r="R31" s="63">
        <f t="shared" si="17"/>
        <v>1.2</v>
      </c>
      <c r="S31" s="62"/>
      <c r="U31" s="11" t="s">
        <v>339</v>
      </c>
      <c r="V31" s="10">
        <v>10</v>
      </c>
      <c r="W31" s="10">
        <v>10</v>
      </c>
      <c r="X31" s="63">
        <f t="shared" si="18"/>
        <v>1</v>
      </c>
      <c r="Y31" s="62"/>
      <c r="AA31" s="11" t="s">
        <v>337</v>
      </c>
      <c r="AB31" s="10">
        <v>1</v>
      </c>
      <c r="AC31" s="10">
        <v>1</v>
      </c>
      <c r="AD31" s="63">
        <f t="shared" si="19"/>
        <v>1</v>
      </c>
      <c r="AE31" s="62"/>
      <c r="AG31" s="11" t="s">
        <v>337</v>
      </c>
      <c r="AH31" s="10">
        <v>0</v>
      </c>
      <c r="AI31" s="10">
        <v>1</v>
      </c>
      <c r="AJ31" s="63">
        <f t="shared" si="20"/>
        <v>0</v>
      </c>
      <c r="AK31" s="62"/>
    </row>
    <row r="32" spans="3:37" ht="16.5" thickTop="1" thickBot="1" x14ac:dyDescent="0.3">
      <c r="C32" s="170">
        <v>44113</v>
      </c>
      <c r="D32" s="72">
        <v>100</v>
      </c>
      <c r="E32" s="71">
        <v>100</v>
      </c>
      <c r="F32" s="63">
        <f t="shared" si="15"/>
        <v>1</v>
      </c>
      <c r="G32" s="62"/>
      <c r="I32" s="408" t="s">
        <v>571</v>
      </c>
      <c r="J32" s="409"/>
      <c r="K32" s="409"/>
      <c r="L32" s="409"/>
      <c r="M32" s="410"/>
      <c r="O32" s="11" t="s">
        <v>338</v>
      </c>
      <c r="P32" s="10">
        <v>0</v>
      </c>
      <c r="Q32" s="10">
        <v>5</v>
      </c>
      <c r="R32" s="63">
        <f t="shared" si="17"/>
        <v>0</v>
      </c>
      <c r="S32" s="62"/>
      <c r="U32" s="11" t="s">
        <v>533</v>
      </c>
      <c r="V32" s="10">
        <v>5</v>
      </c>
      <c r="W32" s="10">
        <v>10</v>
      </c>
      <c r="X32" s="63">
        <f>IFERROR(V32/W32,0)</f>
        <v>0.5</v>
      </c>
      <c r="Y32" s="62"/>
      <c r="AA32" s="11" t="s">
        <v>338</v>
      </c>
      <c r="AB32" s="10">
        <v>1</v>
      </c>
      <c r="AC32" s="10">
        <v>1</v>
      </c>
      <c r="AD32" s="63">
        <f t="shared" si="19"/>
        <v>1</v>
      </c>
      <c r="AE32" s="62"/>
      <c r="AG32" s="11" t="s">
        <v>338</v>
      </c>
      <c r="AH32" s="10">
        <v>0</v>
      </c>
      <c r="AI32" s="10">
        <v>1</v>
      </c>
      <c r="AJ32" s="63">
        <f t="shared" si="20"/>
        <v>0</v>
      </c>
      <c r="AK32" s="62"/>
    </row>
    <row r="33" spans="3:37" ht="16.5" thickTop="1" thickBot="1" x14ac:dyDescent="0.3">
      <c r="C33" s="170">
        <v>44120</v>
      </c>
      <c r="D33" s="72">
        <v>100</v>
      </c>
      <c r="E33" s="71">
        <v>100</v>
      </c>
      <c r="F33" s="63">
        <f t="shared" si="15"/>
        <v>1</v>
      </c>
      <c r="G33" s="62"/>
      <c r="I33" s="237">
        <v>6</v>
      </c>
      <c r="J33" s="235" t="s">
        <v>326</v>
      </c>
      <c r="K33" s="236">
        <v>6</v>
      </c>
      <c r="L33" s="233" t="s">
        <v>19</v>
      </c>
      <c r="M33" s="234">
        <v>0.3</v>
      </c>
      <c r="O33" s="11" t="s">
        <v>339</v>
      </c>
      <c r="P33" s="10">
        <v>5</v>
      </c>
      <c r="Q33" s="10">
        <v>5</v>
      </c>
      <c r="R33" s="63">
        <f t="shared" si="17"/>
        <v>1</v>
      </c>
      <c r="S33" s="62"/>
      <c r="U33" s="11" t="s">
        <v>534</v>
      </c>
      <c r="V33" s="10">
        <v>9</v>
      </c>
      <c r="W33" s="10">
        <v>10</v>
      </c>
      <c r="X33" s="63">
        <f>IFERROR(V33/W33,0)</f>
        <v>0.9</v>
      </c>
      <c r="Y33" s="62"/>
      <c r="AA33" s="11" t="s">
        <v>339</v>
      </c>
      <c r="AB33" s="10">
        <v>1</v>
      </c>
      <c r="AC33" s="10">
        <v>1</v>
      </c>
      <c r="AD33" s="63">
        <f t="shared" si="19"/>
        <v>1</v>
      </c>
      <c r="AE33" s="62"/>
      <c r="AG33" s="11" t="s">
        <v>339</v>
      </c>
      <c r="AH33" s="10">
        <v>0</v>
      </c>
      <c r="AI33" s="10">
        <v>1</v>
      </c>
      <c r="AJ33" s="63">
        <f t="shared" si="20"/>
        <v>0</v>
      </c>
      <c r="AK33" s="62"/>
    </row>
    <row r="34" spans="3:37" ht="15.75" thickTop="1" x14ac:dyDescent="0.25">
      <c r="C34" s="170">
        <v>44127</v>
      </c>
      <c r="D34" s="72">
        <v>100</v>
      </c>
      <c r="E34" s="71">
        <v>100</v>
      </c>
      <c r="F34" s="63">
        <f t="shared" si="15"/>
        <v>1</v>
      </c>
      <c r="G34" s="62"/>
      <c r="I34" s="238" t="s">
        <v>98</v>
      </c>
      <c r="J34" s="254">
        <f ca="1">SUM(EtCT:downtwo)</f>
        <v>70</v>
      </c>
      <c r="K34" s="254">
        <f ca="1">SUM(TtCT:downtwo)</f>
        <v>100</v>
      </c>
      <c r="L34" s="411">
        <f ca="1">IFERROR(J34/K34,0)</f>
        <v>0.7</v>
      </c>
      <c r="M34" s="412"/>
      <c r="O34" s="11" t="s">
        <v>340</v>
      </c>
      <c r="P34" s="10">
        <v>5</v>
      </c>
      <c r="Q34" s="10">
        <v>5</v>
      </c>
      <c r="R34" s="63">
        <f t="shared" si="17"/>
        <v>1</v>
      </c>
      <c r="S34" s="62"/>
      <c r="U34" s="11" t="s">
        <v>625</v>
      </c>
      <c r="V34" s="10">
        <v>2</v>
      </c>
      <c r="W34" s="10">
        <v>0</v>
      </c>
      <c r="X34" s="63">
        <f t="shared" ref="X34:X38" si="21">IFERROR(V34/W34,0)</f>
        <v>0</v>
      </c>
      <c r="Y34" s="62"/>
      <c r="AA34" s="11" t="s">
        <v>340</v>
      </c>
      <c r="AB34" s="10">
        <v>1</v>
      </c>
      <c r="AC34" s="10">
        <v>1</v>
      </c>
      <c r="AD34" s="63">
        <f t="shared" si="19"/>
        <v>1</v>
      </c>
      <c r="AE34" s="62"/>
      <c r="AG34" s="11" t="s">
        <v>340</v>
      </c>
      <c r="AH34" s="10">
        <v>0</v>
      </c>
      <c r="AI34" s="10">
        <v>1</v>
      </c>
      <c r="AJ34" s="63">
        <f t="shared" si="20"/>
        <v>0</v>
      </c>
      <c r="AK34" s="62"/>
    </row>
    <row r="35" spans="3:37" ht="15.75" thickBot="1" x14ac:dyDescent="0.3">
      <c r="C35" s="170">
        <v>44134</v>
      </c>
      <c r="D35" s="72">
        <v>100</v>
      </c>
      <c r="E35" s="71">
        <v>100</v>
      </c>
      <c r="F35" s="63">
        <f t="shared" si="15"/>
        <v>1</v>
      </c>
      <c r="G35" s="62"/>
      <c r="I35" s="239" t="s">
        <v>18</v>
      </c>
      <c r="J35" s="413" t="s">
        <v>17</v>
      </c>
      <c r="K35" s="413"/>
      <c r="L35" s="240" t="s">
        <v>16</v>
      </c>
      <c r="M35" s="241" t="s">
        <v>15</v>
      </c>
      <c r="O35" s="364" t="s">
        <v>341</v>
      </c>
      <c r="P35" s="10">
        <v>5</v>
      </c>
      <c r="Q35" s="10">
        <v>5</v>
      </c>
      <c r="R35" s="248">
        <f t="shared" si="17"/>
        <v>1</v>
      </c>
      <c r="S35" s="249"/>
      <c r="U35" s="11" t="s">
        <v>626</v>
      </c>
      <c r="V35" s="10">
        <v>2</v>
      </c>
      <c r="W35" s="10">
        <v>0</v>
      </c>
      <c r="X35" s="63">
        <f t="shared" si="21"/>
        <v>0</v>
      </c>
      <c r="Y35" s="62"/>
      <c r="AA35" s="246" t="s">
        <v>341</v>
      </c>
      <c r="AB35" s="247">
        <v>30</v>
      </c>
      <c r="AC35" s="247">
        <v>30</v>
      </c>
      <c r="AD35" s="248">
        <f t="shared" si="19"/>
        <v>1</v>
      </c>
      <c r="AE35" s="249"/>
      <c r="AG35" s="246" t="s">
        <v>341</v>
      </c>
      <c r="AH35" s="10">
        <v>0</v>
      </c>
      <c r="AI35" s="247">
        <v>1</v>
      </c>
      <c r="AJ35" s="248">
        <f t="shared" si="20"/>
        <v>0</v>
      </c>
      <c r="AK35" s="249"/>
    </row>
    <row r="36" spans="3:37" ht="16.5" thickTop="1" thickBot="1" x14ac:dyDescent="0.3">
      <c r="C36" s="170">
        <v>44141</v>
      </c>
      <c r="D36" s="72">
        <v>100</v>
      </c>
      <c r="E36" s="71">
        <v>100</v>
      </c>
      <c r="F36" s="63">
        <f t="shared" si="15"/>
        <v>1</v>
      </c>
      <c r="G36" s="62"/>
      <c r="I36" s="11" t="s">
        <v>332</v>
      </c>
      <c r="J36" s="10">
        <v>10</v>
      </c>
      <c r="K36" s="10">
        <v>10</v>
      </c>
      <c r="L36" s="9">
        <f t="shared" ref="L36:L40" si="22">IFERROR(J36/K36,0)</f>
        <v>1</v>
      </c>
      <c r="M36" s="365" t="s">
        <v>594</v>
      </c>
      <c r="O36" s="11" t="s">
        <v>533</v>
      </c>
      <c r="P36" s="10">
        <v>5</v>
      </c>
      <c r="Q36" s="10">
        <v>5</v>
      </c>
      <c r="R36" s="63">
        <f t="shared" ref="R36:R37" si="23">IFERROR(P36/Q36,0)</f>
        <v>1</v>
      </c>
      <c r="S36" s="76"/>
      <c r="U36" s="11" t="s">
        <v>627</v>
      </c>
      <c r="V36" s="10">
        <v>2</v>
      </c>
      <c r="W36" s="10">
        <v>0</v>
      </c>
      <c r="X36" s="63">
        <f t="shared" si="21"/>
        <v>0</v>
      </c>
      <c r="Y36" s="62"/>
      <c r="AA36" s="403"/>
      <c r="AB36" s="404"/>
      <c r="AC36" s="404"/>
      <c r="AD36" s="404"/>
      <c r="AE36" s="405"/>
      <c r="AG36" s="403"/>
      <c r="AH36" s="404"/>
      <c r="AI36" s="404"/>
      <c r="AJ36" s="404"/>
      <c r="AK36" s="405"/>
    </row>
    <row r="37" spans="3:37" ht="16.5" thickTop="1" thickBot="1" x14ac:dyDescent="0.3">
      <c r="C37" s="403"/>
      <c r="D37" s="404"/>
      <c r="E37" s="404"/>
      <c r="F37" s="404"/>
      <c r="G37" s="405"/>
      <c r="I37" s="11" t="s">
        <v>333</v>
      </c>
      <c r="J37" s="10">
        <v>5</v>
      </c>
      <c r="K37" s="10">
        <v>15</v>
      </c>
      <c r="L37" s="63">
        <f t="shared" si="22"/>
        <v>0.33333333333333331</v>
      </c>
      <c r="M37" s="365" t="s">
        <v>595</v>
      </c>
      <c r="O37" s="11" t="s">
        <v>534</v>
      </c>
      <c r="P37" s="10">
        <v>5</v>
      </c>
      <c r="Q37" s="10">
        <v>5</v>
      </c>
      <c r="R37" s="63">
        <f t="shared" si="23"/>
        <v>1</v>
      </c>
      <c r="S37" s="62"/>
      <c r="U37" s="11" t="s">
        <v>628</v>
      </c>
      <c r="V37" s="10">
        <v>0</v>
      </c>
      <c r="W37" s="10">
        <v>0</v>
      </c>
      <c r="X37" s="63">
        <f t="shared" si="21"/>
        <v>0</v>
      </c>
      <c r="Y37" s="62"/>
    </row>
    <row r="38" spans="3:37" ht="16.5" thickTop="1" thickBot="1" x14ac:dyDescent="0.3">
      <c r="I38" s="11" t="s">
        <v>334</v>
      </c>
      <c r="J38" s="10">
        <v>25</v>
      </c>
      <c r="K38" s="10">
        <v>25</v>
      </c>
      <c r="L38" s="63">
        <f t="shared" si="22"/>
        <v>1</v>
      </c>
      <c r="M38" s="365" t="s">
        <v>596</v>
      </c>
      <c r="O38" s="11" t="s">
        <v>535</v>
      </c>
      <c r="P38" s="10">
        <v>5</v>
      </c>
      <c r="Q38" s="10">
        <v>5</v>
      </c>
      <c r="R38" s="248">
        <f t="shared" ref="R38:R45" si="24">IFERROR(P38/Q38,0)</f>
        <v>1</v>
      </c>
      <c r="S38" s="249"/>
      <c r="U38" s="11" t="s">
        <v>629</v>
      </c>
      <c r="V38" s="10">
        <v>0</v>
      </c>
      <c r="W38" s="10">
        <v>0</v>
      </c>
      <c r="X38" s="63">
        <f t="shared" si="21"/>
        <v>0</v>
      </c>
      <c r="Y38" s="62"/>
    </row>
    <row r="39" spans="3:37" ht="16.5" thickTop="1" thickBot="1" x14ac:dyDescent="0.3">
      <c r="C39" s="408" t="s">
        <v>304</v>
      </c>
      <c r="D39" s="409"/>
      <c r="E39" s="409"/>
      <c r="F39" s="409"/>
      <c r="G39" s="410"/>
      <c r="I39" s="11" t="s">
        <v>335</v>
      </c>
      <c r="J39" s="10">
        <v>5</v>
      </c>
      <c r="K39" s="10">
        <v>25</v>
      </c>
      <c r="L39" s="63">
        <f t="shared" si="22"/>
        <v>0.2</v>
      </c>
      <c r="M39" s="365" t="s">
        <v>597</v>
      </c>
      <c r="O39" s="11" t="s">
        <v>536</v>
      </c>
      <c r="P39" s="10">
        <v>5</v>
      </c>
      <c r="Q39" s="10">
        <v>5</v>
      </c>
      <c r="R39" s="63">
        <f t="shared" si="24"/>
        <v>1</v>
      </c>
      <c r="S39" s="76"/>
      <c r="U39" s="403"/>
      <c r="V39" s="404"/>
      <c r="W39" s="404"/>
      <c r="X39" s="404"/>
      <c r="Y39" s="405"/>
    </row>
    <row r="40" spans="3:37" ht="16.5" thickTop="1" thickBot="1" x14ac:dyDescent="0.3">
      <c r="C40" s="237">
        <v>4</v>
      </c>
      <c r="D40" s="235" t="s">
        <v>326</v>
      </c>
      <c r="E40" s="236">
        <v>4</v>
      </c>
      <c r="F40" s="233" t="s">
        <v>19</v>
      </c>
      <c r="G40" s="234">
        <v>0.05</v>
      </c>
      <c r="I40" s="11" t="s">
        <v>336</v>
      </c>
      <c r="J40" s="10">
        <v>20</v>
      </c>
      <c r="K40" s="10">
        <v>25</v>
      </c>
      <c r="L40" s="63">
        <f t="shared" si="22"/>
        <v>0.8</v>
      </c>
      <c r="M40" s="365" t="s">
        <v>596</v>
      </c>
      <c r="O40" s="11" t="s">
        <v>537</v>
      </c>
      <c r="P40" s="10">
        <v>5</v>
      </c>
      <c r="Q40" s="10">
        <v>5</v>
      </c>
      <c r="R40" s="63">
        <f t="shared" si="24"/>
        <v>1</v>
      </c>
      <c r="S40" s="62"/>
    </row>
    <row r="41" spans="3:37" ht="16.5" thickTop="1" thickBot="1" x14ac:dyDescent="0.3">
      <c r="C41" s="238" t="s">
        <v>98</v>
      </c>
      <c r="D41" s="254">
        <f ca="1">SUM(EtCT:downtwo)</f>
        <v>100</v>
      </c>
      <c r="E41" s="254">
        <f ca="1">SUM(TtCT:downtwo)</f>
        <v>100</v>
      </c>
      <c r="F41" s="411">
        <f ca="1">IFERROR(D41/E41,0)</f>
        <v>1</v>
      </c>
      <c r="G41" s="412"/>
      <c r="I41" s="11" t="s">
        <v>623</v>
      </c>
      <c r="J41" s="10">
        <v>5</v>
      </c>
      <c r="K41" s="10">
        <v>0</v>
      </c>
      <c r="L41" s="63">
        <f t="shared" ref="L41" si="25">IFERROR(J41/K41,0)</f>
        <v>0</v>
      </c>
      <c r="M41" s="365"/>
      <c r="O41" s="11" t="s">
        <v>603</v>
      </c>
      <c r="P41" s="10">
        <v>6</v>
      </c>
      <c r="Q41" s="10">
        <v>5</v>
      </c>
      <c r="R41" s="63">
        <f t="shared" si="24"/>
        <v>1.2</v>
      </c>
      <c r="S41" s="76"/>
      <c r="U41" s="408" t="s">
        <v>580</v>
      </c>
      <c r="V41" s="409"/>
      <c r="W41" s="409"/>
      <c r="X41" s="409"/>
      <c r="Y41" s="410"/>
    </row>
    <row r="42" spans="3:37" ht="16.5" thickTop="1" thickBot="1" x14ac:dyDescent="0.3">
      <c r="C42" s="239" t="s">
        <v>18</v>
      </c>
      <c r="D42" s="413" t="s">
        <v>17</v>
      </c>
      <c r="E42" s="413"/>
      <c r="F42" s="240" t="s">
        <v>16</v>
      </c>
      <c r="G42" s="241" t="s">
        <v>15</v>
      </c>
      <c r="I42" s="403"/>
      <c r="J42" s="404"/>
      <c r="K42" s="404"/>
      <c r="L42" s="404"/>
      <c r="M42" s="405"/>
      <c r="O42" s="11" t="s">
        <v>604</v>
      </c>
      <c r="P42" s="10">
        <v>6</v>
      </c>
      <c r="Q42" s="10">
        <v>5</v>
      </c>
      <c r="R42" s="63">
        <f t="shared" si="24"/>
        <v>1.2</v>
      </c>
      <c r="S42" s="62"/>
      <c r="U42" s="237">
        <v>3</v>
      </c>
      <c r="V42" s="235" t="s">
        <v>326</v>
      </c>
      <c r="W42" s="236">
        <v>3</v>
      </c>
      <c r="X42" s="233" t="s">
        <v>19</v>
      </c>
      <c r="Y42" s="234">
        <v>0.6</v>
      </c>
    </row>
    <row r="43" spans="3:37" ht="16.5" thickTop="1" thickBot="1" x14ac:dyDescent="0.3">
      <c r="C43" s="25" t="s">
        <v>588</v>
      </c>
      <c r="D43" s="24">
        <v>100</v>
      </c>
      <c r="E43" s="24">
        <v>100</v>
      </c>
      <c r="F43" s="23">
        <f>IFERROR(D43/E43,0)</f>
        <v>1</v>
      </c>
      <c r="G43" s="22"/>
      <c r="O43" s="11" t="s">
        <v>605</v>
      </c>
      <c r="P43" s="10">
        <v>6</v>
      </c>
      <c r="Q43" s="10">
        <v>5</v>
      </c>
      <c r="R43" s="63">
        <f t="shared" si="24"/>
        <v>1.2</v>
      </c>
      <c r="S43" s="76"/>
      <c r="U43" s="238" t="s">
        <v>98</v>
      </c>
      <c r="V43" s="254">
        <f ca="1">SUM(EtCT:downtwo)</f>
        <v>70</v>
      </c>
      <c r="W43" s="254">
        <f ca="1">SUM(TtCT:downtwo)</f>
        <v>70</v>
      </c>
      <c r="X43" s="411">
        <f ca="1">IFERROR(V43/W43,0)</f>
        <v>1</v>
      </c>
      <c r="Y43" s="412"/>
    </row>
    <row r="44" spans="3:37" ht="16.5" thickTop="1" thickBot="1" x14ac:dyDescent="0.3">
      <c r="C44" s="25" t="s">
        <v>589</v>
      </c>
      <c r="D44" s="24"/>
      <c r="E44" s="24">
        <v>0</v>
      </c>
      <c r="F44" s="23">
        <f>IFERROR(D44/E44,0)</f>
        <v>0</v>
      </c>
      <c r="G44" s="22"/>
      <c r="I44" s="408" t="s">
        <v>573</v>
      </c>
      <c r="J44" s="409"/>
      <c r="K44" s="409"/>
      <c r="L44" s="409"/>
      <c r="M44" s="410"/>
      <c r="O44" s="11" t="s">
        <v>606</v>
      </c>
      <c r="P44" s="10">
        <v>5.5</v>
      </c>
      <c r="Q44" s="10">
        <v>5</v>
      </c>
      <c r="R44" s="63">
        <f t="shared" si="24"/>
        <v>1.1000000000000001</v>
      </c>
      <c r="S44" s="62"/>
      <c r="U44" s="239" t="s">
        <v>18</v>
      </c>
      <c r="V44" s="413" t="s">
        <v>17</v>
      </c>
      <c r="W44" s="413"/>
      <c r="X44" s="240" t="s">
        <v>16</v>
      </c>
      <c r="Y44" s="241" t="s">
        <v>15</v>
      </c>
    </row>
    <row r="45" spans="3:37" ht="16.5" thickTop="1" thickBot="1" x14ac:dyDescent="0.3">
      <c r="C45" s="25"/>
      <c r="D45" s="24"/>
      <c r="E45" s="24"/>
      <c r="F45" s="23">
        <f>IFERROR(D45/E45,0)</f>
        <v>0</v>
      </c>
      <c r="G45" s="22"/>
      <c r="I45" s="237">
        <v>1</v>
      </c>
      <c r="J45" s="235" t="s">
        <v>326</v>
      </c>
      <c r="K45" s="236">
        <v>1</v>
      </c>
      <c r="L45" s="233" t="s">
        <v>19</v>
      </c>
      <c r="M45" s="234">
        <v>0.25</v>
      </c>
      <c r="O45" s="11" t="s">
        <v>607</v>
      </c>
      <c r="P45" s="10">
        <v>5.5</v>
      </c>
      <c r="Q45" s="10">
        <v>5</v>
      </c>
      <c r="R45" s="63">
        <f t="shared" si="24"/>
        <v>1.1000000000000001</v>
      </c>
      <c r="S45" s="62"/>
      <c r="U45" s="11" t="s">
        <v>332</v>
      </c>
      <c r="V45" s="10">
        <v>20</v>
      </c>
      <c r="W45" s="10">
        <v>20</v>
      </c>
      <c r="X45" s="9">
        <f t="shared" ref="X45:X47" si="26">IFERROR(V45/W45,0)</f>
        <v>1</v>
      </c>
      <c r="Y45" s="8"/>
    </row>
    <row r="46" spans="3:37" ht="16.5" thickTop="1" thickBot="1" x14ac:dyDescent="0.3">
      <c r="C46" s="25"/>
      <c r="D46" s="24"/>
      <c r="E46" s="24"/>
      <c r="F46" s="23">
        <f>IFERROR(D46/E46,0)</f>
        <v>0</v>
      </c>
      <c r="G46" s="22"/>
      <c r="I46" s="238" t="s">
        <v>98</v>
      </c>
      <c r="J46" s="254">
        <f ca="1">SUM(EtCT:downtwo)</f>
        <v>88</v>
      </c>
      <c r="K46" s="254">
        <f ca="1">SUM(TtCT:downtwo)</f>
        <v>100</v>
      </c>
      <c r="L46" s="411">
        <f ca="1">IFERROR(J46/K46,0)</f>
        <v>0.88</v>
      </c>
      <c r="M46" s="412"/>
      <c r="O46" s="11" t="s">
        <v>608</v>
      </c>
      <c r="P46" s="10">
        <v>5.5</v>
      </c>
      <c r="Q46" s="10">
        <v>5</v>
      </c>
      <c r="R46" s="63">
        <f t="shared" ref="R46:R47" si="27">IFERROR(P46/Q46,0)</f>
        <v>1.1000000000000001</v>
      </c>
      <c r="S46" s="62"/>
      <c r="U46" s="11" t="s">
        <v>333</v>
      </c>
      <c r="V46" s="10">
        <v>20</v>
      </c>
      <c r="W46" s="10">
        <v>20</v>
      </c>
      <c r="X46" s="63">
        <f t="shared" si="26"/>
        <v>1</v>
      </c>
      <c r="Y46" s="76"/>
    </row>
    <row r="47" spans="3:37" ht="16.5" thickTop="1" thickBot="1" x14ac:dyDescent="0.3">
      <c r="C47" s="403"/>
      <c r="D47" s="404"/>
      <c r="E47" s="404"/>
      <c r="F47" s="404"/>
      <c r="G47" s="405"/>
      <c r="I47" s="239" t="s">
        <v>18</v>
      </c>
      <c r="J47" s="413" t="s">
        <v>17</v>
      </c>
      <c r="K47" s="413"/>
      <c r="L47" s="240" t="s">
        <v>16</v>
      </c>
      <c r="M47" s="241" t="s">
        <v>15</v>
      </c>
      <c r="O47" s="11" t="s">
        <v>609</v>
      </c>
      <c r="P47" s="10">
        <v>0</v>
      </c>
      <c r="Q47" s="10">
        <v>5</v>
      </c>
      <c r="R47" s="63">
        <f t="shared" si="27"/>
        <v>0</v>
      </c>
      <c r="S47" s="62"/>
      <c r="U47" s="11" t="s">
        <v>334</v>
      </c>
      <c r="V47" s="10">
        <v>30</v>
      </c>
      <c r="W47" s="10">
        <v>30</v>
      </c>
      <c r="X47" s="63">
        <f t="shared" si="26"/>
        <v>1</v>
      </c>
      <c r="Y47" s="62"/>
    </row>
    <row r="48" spans="3:37" ht="16.5" thickTop="1" thickBot="1" x14ac:dyDescent="0.3">
      <c r="I48" s="11" t="s">
        <v>332</v>
      </c>
      <c r="J48" s="10">
        <v>88</v>
      </c>
      <c r="K48" s="10">
        <v>100</v>
      </c>
      <c r="L48" s="9">
        <f>IFERROR(J48/K48,0)</f>
        <v>0.88</v>
      </c>
      <c r="M48" s="8"/>
      <c r="O48" s="11" t="s">
        <v>610</v>
      </c>
      <c r="P48" s="10">
        <v>0</v>
      </c>
      <c r="Q48" s="10">
        <v>5</v>
      </c>
      <c r="R48" s="63">
        <f t="shared" ref="R48:R50" si="28">IFERROR(P48/Q48,0)</f>
        <v>0</v>
      </c>
      <c r="S48" s="62"/>
      <c r="U48" s="403"/>
      <c r="V48" s="404"/>
      <c r="W48" s="404"/>
      <c r="X48" s="404"/>
      <c r="Y48" s="405"/>
    </row>
    <row r="49" spans="3:25" ht="16.5" thickTop="1" thickBot="1" x14ac:dyDescent="0.3">
      <c r="C49" s="408" t="s">
        <v>598</v>
      </c>
      <c r="D49" s="409"/>
      <c r="E49" s="409"/>
      <c r="F49" s="409"/>
      <c r="G49" s="410"/>
      <c r="I49" s="403"/>
      <c r="J49" s="404"/>
      <c r="K49" s="404"/>
      <c r="L49" s="404"/>
      <c r="M49" s="405"/>
      <c r="O49" s="11" t="s">
        <v>611</v>
      </c>
      <c r="P49" s="10">
        <v>0</v>
      </c>
      <c r="Q49" s="10">
        <v>5</v>
      </c>
      <c r="R49" s="63">
        <f t="shared" si="28"/>
        <v>0</v>
      </c>
      <c r="S49" s="62"/>
    </row>
    <row r="50" spans="3:25" ht="16.5" thickTop="1" thickBot="1" x14ac:dyDescent="0.3">
      <c r="C50" s="237">
        <v>1</v>
      </c>
      <c r="D50" s="235" t="s">
        <v>326</v>
      </c>
      <c r="E50" s="236">
        <v>1</v>
      </c>
      <c r="F50" s="233" t="s">
        <v>19</v>
      </c>
      <c r="G50" s="234">
        <v>0.3</v>
      </c>
      <c r="O50" s="11" t="s">
        <v>612</v>
      </c>
      <c r="P50" s="10"/>
      <c r="Q50" s="10">
        <v>5</v>
      </c>
      <c r="R50" s="63">
        <f t="shared" si="28"/>
        <v>0</v>
      </c>
      <c r="S50" s="62"/>
      <c r="U50" s="408" t="s">
        <v>25</v>
      </c>
      <c r="V50" s="409"/>
      <c r="W50" s="409"/>
      <c r="X50" s="409"/>
      <c r="Y50" s="410"/>
    </row>
    <row r="51" spans="3:25" ht="16.5" thickTop="1" thickBot="1" x14ac:dyDescent="0.3">
      <c r="C51" s="238" t="s">
        <v>98</v>
      </c>
      <c r="D51" s="254">
        <f ca="1">SUM(EtCT:downtwo)</f>
        <v>79.673611111111114</v>
      </c>
      <c r="E51" s="254">
        <f ca="1">SUM(TtCT:downtwo)</f>
        <v>100</v>
      </c>
      <c r="F51" s="411">
        <f ca="1">IFERROR(D51/E51,0)</f>
        <v>0.79673611111111109</v>
      </c>
      <c r="G51" s="412"/>
      <c r="I51" s="408" t="s">
        <v>572</v>
      </c>
      <c r="J51" s="409"/>
      <c r="K51" s="409"/>
      <c r="L51" s="409"/>
      <c r="M51" s="410"/>
      <c r="O51" s="403"/>
      <c r="P51" s="404"/>
      <c r="Q51" s="404"/>
      <c r="R51" s="404"/>
      <c r="S51" s="405"/>
      <c r="U51" s="237">
        <v>1</v>
      </c>
      <c r="V51" s="235" t="s">
        <v>326</v>
      </c>
      <c r="W51" s="236">
        <v>1</v>
      </c>
      <c r="X51" s="233" t="s">
        <v>19</v>
      </c>
      <c r="Y51" s="234">
        <v>0</v>
      </c>
    </row>
    <row r="52" spans="3:25" ht="16.5" thickTop="1" thickBot="1" x14ac:dyDescent="0.3">
      <c r="C52" s="239" t="s">
        <v>18</v>
      </c>
      <c r="D52" s="413" t="s">
        <v>17</v>
      </c>
      <c r="E52" s="413"/>
      <c r="F52" s="240" t="s">
        <v>16</v>
      </c>
      <c r="G52" s="241" t="s">
        <v>15</v>
      </c>
      <c r="I52" s="237">
        <v>4</v>
      </c>
      <c r="J52" s="235" t="s">
        <v>326</v>
      </c>
      <c r="K52" s="236">
        <v>4</v>
      </c>
      <c r="L52" s="233" t="s">
        <v>19</v>
      </c>
      <c r="M52" s="234">
        <v>0.3</v>
      </c>
      <c r="U52" s="238" t="s">
        <v>98</v>
      </c>
      <c r="V52" s="254">
        <f ca="1">SUM(EtCT:downtwo)</f>
        <v>100</v>
      </c>
      <c r="W52" s="254">
        <f ca="1">SUM(TtCT:downtwo)</f>
        <v>100</v>
      </c>
      <c r="X52" s="411">
        <f t="shared" ref="X52" ca="1" si="29">IFERROR(V52/W52,0)</f>
        <v>1</v>
      </c>
      <c r="Y52" s="412"/>
    </row>
    <row r="53" spans="3:25" ht="16.5" thickTop="1" thickBot="1" x14ac:dyDescent="0.3">
      <c r="C53" s="25" t="s">
        <v>98</v>
      </c>
      <c r="D53" s="374">
        <f ca="1">(((F72*G74+F65*G67)/(G74+G67)))*F81*100</f>
        <v>79.673611111111114</v>
      </c>
      <c r="E53" s="24">
        <v>100</v>
      </c>
      <c r="F53" s="23">
        <f ca="1">IFERROR(D53/E53,0)</f>
        <v>0.79673611111111109</v>
      </c>
      <c r="G53" s="373">
        <v>79.67</v>
      </c>
      <c r="I53" s="238" t="s">
        <v>98</v>
      </c>
      <c r="J53" s="254">
        <f ca="1">SUM(EtCT:downtwo)</f>
        <v>92</v>
      </c>
      <c r="K53" s="254">
        <f ca="1">SUM(TtCT:downtwo)</f>
        <v>100</v>
      </c>
      <c r="L53" s="411">
        <f ca="1">IFERROR(J53/K53,0)</f>
        <v>0.92</v>
      </c>
      <c r="M53" s="412"/>
      <c r="O53" s="408" t="s">
        <v>582</v>
      </c>
      <c r="P53" s="409"/>
      <c r="Q53" s="409"/>
      <c r="R53" s="409"/>
      <c r="S53" s="410"/>
      <c r="U53" s="239" t="s">
        <v>18</v>
      </c>
      <c r="V53" s="413" t="s">
        <v>17</v>
      </c>
      <c r="W53" s="413"/>
      <c r="X53" s="240" t="s">
        <v>16</v>
      </c>
      <c r="Y53" s="241" t="s">
        <v>15</v>
      </c>
    </row>
    <row r="54" spans="3:25" ht="16.5" thickTop="1" thickBot="1" x14ac:dyDescent="0.3">
      <c r="C54" s="403"/>
      <c r="D54" s="404"/>
      <c r="E54" s="404"/>
      <c r="F54" s="404"/>
      <c r="G54" s="405"/>
      <c r="I54" s="239" t="s">
        <v>18</v>
      </c>
      <c r="J54" s="413" t="s">
        <v>17</v>
      </c>
      <c r="K54" s="413"/>
      <c r="L54" s="240" t="s">
        <v>16</v>
      </c>
      <c r="M54" s="241" t="s">
        <v>15</v>
      </c>
      <c r="O54" s="237">
        <v>10</v>
      </c>
      <c r="P54" s="235" t="s">
        <v>326</v>
      </c>
      <c r="Q54" s="236">
        <v>10</v>
      </c>
      <c r="R54" s="233" t="s">
        <v>19</v>
      </c>
      <c r="S54" s="234">
        <v>0.2</v>
      </c>
      <c r="U54" s="11" t="s">
        <v>332</v>
      </c>
      <c r="V54" s="10">
        <v>100</v>
      </c>
      <c r="W54" s="10">
        <v>100</v>
      </c>
      <c r="X54" s="9">
        <f t="shared" ref="X54" si="30">IFERROR(V54/W54,0)</f>
        <v>1</v>
      </c>
      <c r="Y54" s="8"/>
    </row>
    <row r="55" spans="3:25" ht="16.5" thickTop="1" thickBot="1" x14ac:dyDescent="0.3">
      <c r="I55" s="11" t="s">
        <v>332</v>
      </c>
      <c r="J55" s="10">
        <v>10</v>
      </c>
      <c r="K55" s="10">
        <v>10</v>
      </c>
      <c r="L55" s="9">
        <f t="shared" ref="L55:L58" si="31">IFERROR(J55/K55,0)</f>
        <v>1</v>
      </c>
      <c r="M55" s="8"/>
      <c r="O55" s="238" t="s">
        <v>98</v>
      </c>
      <c r="P55" s="254">
        <f ca="1">SUM(EtCT:downtwo)</f>
        <v>81</v>
      </c>
      <c r="Q55" s="254">
        <f ca="1">SUM(TtCT:downtwo)</f>
        <v>100</v>
      </c>
      <c r="R55" s="411">
        <f ca="1">IFERROR(P55/Q55,0)</f>
        <v>0.81</v>
      </c>
      <c r="S55" s="412"/>
      <c r="U55" s="403"/>
      <c r="V55" s="404"/>
      <c r="W55" s="404"/>
      <c r="X55" s="404"/>
      <c r="Y55" s="405"/>
    </row>
    <row r="56" spans="3:25" ht="16.5" thickTop="1" thickBot="1" x14ac:dyDescent="0.3">
      <c r="C56" s="408" t="s">
        <v>624</v>
      </c>
      <c r="D56" s="409"/>
      <c r="E56" s="409"/>
      <c r="F56" s="409"/>
      <c r="G56" s="410"/>
      <c r="I56" s="11" t="s">
        <v>333</v>
      </c>
      <c r="J56" s="10">
        <v>15</v>
      </c>
      <c r="K56" s="10">
        <v>15</v>
      </c>
      <c r="L56" s="63">
        <f t="shared" si="31"/>
        <v>1</v>
      </c>
      <c r="M56" s="76"/>
      <c r="O56" s="239" t="s">
        <v>18</v>
      </c>
      <c r="P56" s="413" t="s">
        <v>17</v>
      </c>
      <c r="Q56" s="413"/>
      <c r="R56" s="240" t="s">
        <v>16</v>
      </c>
      <c r="S56" s="241" t="s">
        <v>15</v>
      </c>
    </row>
    <row r="57" spans="3:25" ht="16.5" thickTop="1" thickBot="1" x14ac:dyDescent="0.3">
      <c r="C57" s="237">
        <v>1</v>
      </c>
      <c r="D57" s="235" t="s">
        <v>326</v>
      </c>
      <c r="E57" s="236">
        <v>1</v>
      </c>
      <c r="F57" s="233" t="s">
        <v>19</v>
      </c>
      <c r="G57" s="234">
        <v>0.6</v>
      </c>
      <c r="I57" s="11" t="s">
        <v>334</v>
      </c>
      <c r="J57" s="10">
        <v>35</v>
      </c>
      <c r="K57" s="10">
        <v>35</v>
      </c>
      <c r="L57" s="63">
        <f t="shared" si="31"/>
        <v>1</v>
      </c>
      <c r="M57" s="62"/>
      <c r="O57" s="11" t="s">
        <v>332</v>
      </c>
      <c r="P57" s="10">
        <v>10</v>
      </c>
      <c r="Q57" s="10">
        <v>10</v>
      </c>
      <c r="R57" s="9">
        <f t="shared" ref="R57:R66" si="32">IFERROR(P57/Q57,0)</f>
        <v>1</v>
      </c>
      <c r="S57" s="8"/>
    </row>
    <row r="58" spans="3:25" ht="16.5" thickTop="1" thickBot="1" x14ac:dyDescent="0.3">
      <c r="C58" s="238" t="s">
        <v>98</v>
      </c>
      <c r="D58" s="254">
        <f ca="1">SUM(EtCT:downtwo)</f>
        <v>71.830180625000011</v>
      </c>
      <c r="E58" s="254">
        <f ca="1">SUM(TtCT:downtwo)</f>
        <v>100</v>
      </c>
      <c r="F58" s="411">
        <f ca="1">IFERROR(D58/E58,0)</f>
        <v>0.71830180625000006</v>
      </c>
      <c r="G58" s="412"/>
      <c r="I58" s="11" t="s">
        <v>335</v>
      </c>
      <c r="J58" s="10">
        <v>32</v>
      </c>
      <c r="K58" s="10">
        <v>40</v>
      </c>
      <c r="L58" s="63">
        <f t="shared" si="31"/>
        <v>0.8</v>
      </c>
      <c r="M58" s="62"/>
      <c r="O58" s="11" t="s">
        <v>333</v>
      </c>
      <c r="P58" s="10">
        <v>0</v>
      </c>
      <c r="Q58" s="10">
        <v>10</v>
      </c>
      <c r="R58" s="63">
        <f t="shared" si="32"/>
        <v>0</v>
      </c>
      <c r="S58" s="76"/>
    </row>
    <row r="59" spans="3:25" ht="16.5" thickTop="1" thickBot="1" x14ac:dyDescent="0.3">
      <c r="C59" s="239" t="s">
        <v>18</v>
      </c>
      <c r="D59" s="413" t="s">
        <v>17</v>
      </c>
      <c r="E59" s="413"/>
      <c r="F59" s="240" t="s">
        <v>16</v>
      </c>
      <c r="G59" s="241" t="s">
        <v>15</v>
      </c>
      <c r="I59" s="403"/>
      <c r="J59" s="404"/>
      <c r="K59" s="404"/>
      <c r="L59" s="404"/>
      <c r="M59" s="405"/>
      <c r="O59" s="11" t="s">
        <v>334</v>
      </c>
      <c r="P59" s="10">
        <v>10</v>
      </c>
      <c r="Q59" s="10">
        <v>10</v>
      </c>
      <c r="R59" s="63">
        <f t="shared" si="32"/>
        <v>1</v>
      </c>
      <c r="S59" s="62"/>
    </row>
    <row r="60" spans="3:25" ht="16.5" thickTop="1" thickBot="1" x14ac:dyDescent="0.3">
      <c r="C60" s="25" t="s">
        <v>98</v>
      </c>
      <c r="D60" s="374">
        <f ca="1">((G104*F102+G97*F95)/(G104+G97))*F118*100</f>
        <v>71.830180625000011</v>
      </c>
      <c r="E60" s="24">
        <v>100</v>
      </c>
      <c r="F60" s="23">
        <f ca="1">IFERROR(D60/E60,0)</f>
        <v>0.71830180625000006</v>
      </c>
      <c r="G60" s="373" t="s">
        <v>637</v>
      </c>
      <c r="O60" s="11" t="s">
        <v>335</v>
      </c>
      <c r="P60" s="10">
        <v>10</v>
      </c>
      <c r="Q60" s="10">
        <v>10</v>
      </c>
      <c r="R60" s="63">
        <f t="shared" si="32"/>
        <v>1</v>
      </c>
      <c r="S60" s="62"/>
    </row>
    <row r="61" spans="3:25" ht="16.5" thickTop="1" thickBot="1" x14ac:dyDescent="0.3">
      <c r="C61" s="403"/>
      <c r="D61" s="404"/>
      <c r="E61" s="404"/>
      <c r="F61" s="404"/>
      <c r="G61" s="405"/>
      <c r="O61" s="11" t="s">
        <v>336</v>
      </c>
      <c r="P61" s="10">
        <v>11</v>
      </c>
      <c r="Q61" s="10">
        <v>10</v>
      </c>
      <c r="R61" s="63">
        <f t="shared" si="32"/>
        <v>1.1000000000000001</v>
      </c>
      <c r="S61" s="76"/>
    </row>
    <row r="62" spans="3:25" ht="16.5" thickTop="1" thickBot="1" x14ac:dyDescent="0.3">
      <c r="O62" s="11" t="s">
        <v>337</v>
      </c>
      <c r="P62" s="10">
        <v>0</v>
      </c>
      <c r="Q62" s="10">
        <v>10</v>
      </c>
      <c r="R62" s="63">
        <f t="shared" si="32"/>
        <v>0</v>
      </c>
      <c r="S62" s="62"/>
    </row>
    <row r="63" spans="3:25" ht="16.5" thickTop="1" thickBot="1" x14ac:dyDescent="0.3">
      <c r="C63" s="408" t="s">
        <v>584</v>
      </c>
      <c r="D63" s="409"/>
      <c r="E63" s="409"/>
      <c r="F63" s="409"/>
      <c r="G63" s="410"/>
      <c r="O63" s="11" t="s">
        <v>338</v>
      </c>
      <c r="P63" s="10">
        <v>10</v>
      </c>
      <c r="Q63" s="10">
        <v>10</v>
      </c>
      <c r="R63" s="63">
        <f t="shared" si="32"/>
        <v>1</v>
      </c>
      <c r="S63" s="62"/>
    </row>
    <row r="64" spans="3:25" ht="16.5" thickTop="1" thickBot="1" x14ac:dyDescent="0.3">
      <c r="C64" s="237">
        <v>1</v>
      </c>
      <c r="D64" s="235" t="s">
        <v>326</v>
      </c>
      <c r="E64" s="236">
        <v>1</v>
      </c>
      <c r="F64" s="233" t="s">
        <v>19</v>
      </c>
      <c r="G64" s="234">
        <v>0</v>
      </c>
      <c r="O64" s="11" t="s">
        <v>339</v>
      </c>
      <c r="P64" s="10">
        <v>10</v>
      </c>
      <c r="Q64" s="10">
        <v>10</v>
      </c>
      <c r="R64" s="63">
        <f t="shared" si="32"/>
        <v>1</v>
      </c>
      <c r="S64" s="62"/>
    </row>
    <row r="65" spans="3:19" ht="15.75" thickTop="1" x14ac:dyDescent="0.25">
      <c r="C65" s="238" t="s">
        <v>98</v>
      </c>
      <c r="D65" s="254">
        <f ca="1">SUM(EtCT:downtwo)</f>
        <v>80</v>
      </c>
      <c r="E65" s="254">
        <f ca="1">SUM(TtCT:downtwo)</f>
        <v>100</v>
      </c>
      <c r="F65" s="411">
        <f ca="1">IFERROR(D65/E65,0)</f>
        <v>0.8</v>
      </c>
      <c r="G65" s="412"/>
      <c r="O65" s="11" t="s">
        <v>340</v>
      </c>
      <c r="P65" s="10">
        <v>10</v>
      </c>
      <c r="Q65" s="10">
        <v>10</v>
      </c>
      <c r="R65" s="63">
        <f t="shared" si="32"/>
        <v>1</v>
      </c>
      <c r="S65" s="62"/>
    </row>
    <row r="66" spans="3:19" ht="15.75" thickBot="1" x14ac:dyDescent="0.3">
      <c r="C66" s="239" t="s">
        <v>18</v>
      </c>
      <c r="D66" s="415" t="s">
        <v>17</v>
      </c>
      <c r="E66" s="416"/>
      <c r="F66" s="240" t="s">
        <v>16</v>
      </c>
      <c r="G66" s="241" t="s">
        <v>15</v>
      </c>
      <c r="O66" s="246" t="s">
        <v>341</v>
      </c>
      <c r="P66" s="10">
        <v>10</v>
      </c>
      <c r="Q66" s="10">
        <v>10</v>
      </c>
      <c r="R66" s="248">
        <f t="shared" si="32"/>
        <v>1</v>
      </c>
      <c r="S66" s="249"/>
    </row>
    <row r="67" spans="3:19" ht="16.5" thickTop="1" thickBot="1" x14ac:dyDescent="0.3">
      <c r="C67" s="21" t="s">
        <v>98</v>
      </c>
      <c r="D67" s="20">
        <v>80</v>
      </c>
      <c r="E67" s="20">
        <v>100</v>
      </c>
      <c r="F67" s="19">
        <f>IFERROR(D67/E67,0)</f>
        <v>0.8</v>
      </c>
      <c r="G67" s="18">
        <v>0.2</v>
      </c>
      <c r="O67" s="403"/>
      <c r="P67" s="404"/>
      <c r="Q67" s="404"/>
      <c r="R67" s="404"/>
      <c r="S67" s="405"/>
    </row>
    <row r="68" spans="3:19" ht="16.5" thickTop="1" thickBot="1" x14ac:dyDescent="0.3">
      <c r="C68" s="403"/>
      <c r="D68" s="404"/>
      <c r="E68" s="404"/>
      <c r="F68" s="404"/>
      <c r="G68" s="405"/>
    </row>
    <row r="69" spans="3:19" ht="16.5" thickTop="1" thickBot="1" x14ac:dyDescent="0.3">
      <c r="O69" s="408" t="s">
        <v>539</v>
      </c>
      <c r="P69" s="409"/>
      <c r="Q69" s="409"/>
      <c r="R69" s="409"/>
      <c r="S69" s="410"/>
    </row>
    <row r="70" spans="3:19" ht="16.5" thickTop="1" thickBot="1" x14ac:dyDescent="0.3">
      <c r="C70" s="408" t="s">
        <v>585</v>
      </c>
      <c r="D70" s="409"/>
      <c r="E70" s="409"/>
      <c r="F70" s="409"/>
      <c r="G70" s="410"/>
      <c r="O70" s="237">
        <v>1</v>
      </c>
      <c r="P70" s="235" t="s">
        <v>326</v>
      </c>
      <c r="Q70" s="236">
        <v>1</v>
      </c>
      <c r="R70" s="233" t="s">
        <v>19</v>
      </c>
      <c r="S70" s="234">
        <v>0.2</v>
      </c>
    </row>
    <row r="71" spans="3:19" ht="16.5" thickTop="1" thickBot="1" x14ac:dyDescent="0.3">
      <c r="C71" s="237">
        <v>3</v>
      </c>
      <c r="D71" s="235" t="s">
        <v>326</v>
      </c>
      <c r="E71" s="236">
        <v>3</v>
      </c>
      <c r="F71" s="233" t="s">
        <v>19</v>
      </c>
      <c r="G71" s="234">
        <v>0</v>
      </c>
      <c r="O71" s="238" t="s">
        <v>98</v>
      </c>
      <c r="P71" s="254">
        <f ca="1">SUM(EtCT:downtwo)</f>
        <v>110</v>
      </c>
      <c r="Q71" s="254">
        <f ca="1">SUM(TtCT:downtwo)</f>
        <v>100</v>
      </c>
      <c r="R71" s="411">
        <f t="shared" ref="R71" ca="1" si="33">IFERROR(P71/Q71,0)</f>
        <v>1.1000000000000001</v>
      </c>
      <c r="S71" s="412"/>
    </row>
    <row r="72" spans="3:19" ht="16.5" thickTop="1" thickBot="1" x14ac:dyDescent="0.3">
      <c r="C72" s="238" t="s">
        <v>98</v>
      </c>
      <c r="D72" s="254">
        <f ca="1">SUM(EtCT:downtwo)</f>
        <v>290</v>
      </c>
      <c r="E72" s="254">
        <f ca="1">SUM(TtCT:downtwo)</f>
        <v>300</v>
      </c>
      <c r="F72" s="411">
        <f ca="1">IFERROR(D72/E72,0)</f>
        <v>0.96666666666666667</v>
      </c>
      <c r="G72" s="412"/>
      <c r="O72" s="239" t="s">
        <v>18</v>
      </c>
      <c r="P72" s="413" t="s">
        <v>17</v>
      </c>
      <c r="Q72" s="413"/>
      <c r="R72" s="240" t="s">
        <v>16</v>
      </c>
      <c r="S72" s="241" t="s">
        <v>15</v>
      </c>
    </row>
    <row r="73" spans="3:19" ht="16.5" thickTop="1" thickBot="1" x14ac:dyDescent="0.3">
      <c r="C73" s="239" t="s">
        <v>18</v>
      </c>
      <c r="D73" s="413" t="s">
        <v>17</v>
      </c>
      <c r="E73" s="413"/>
      <c r="F73" s="240" t="s">
        <v>16</v>
      </c>
      <c r="G73" s="241" t="s">
        <v>15</v>
      </c>
      <c r="O73" s="11" t="s">
        <v>332</v>
      </c>
      <c r="P73" s="10">
        <v>110</v>
      </c>
      <c r="Q73" s="10">
        <v>100</v>
      </c>
      <c r="R73" s="9">
        <f t="shared" ref="R73" si="34">IFERROR(P73/Q73,0)</f>
        <v>1.1000000000000001</v>
      </c>
      <c r="S73" s="8"/>
    </row>
    <row r="74" spans="3:19" ht="16.5" thickTop="1" thickBot="1" x14ac:dyDescent="0.3">
      <c r="C74" s="25" t="s">
        <v>98</v>
      </c>
      <c r="D74" s="24">
        <v>100</v>
      </c>
      <c r="E74" s="24">
        <v>100</v>
      </c>
      <c r="F74" s="23">
        <f>IFERROR(D74/E74,0)</f>
        <v>1</v>
      </c>
      <c r="G74" s="22">
        <v>0.1</v>
      </c>
      <c r="O74" s="403"/>
      <c r="P74" s="404"/>
      <c r="Q74" s="404"/>
      <c r="R74" s="404"/>
      <c r="S74" s="405"/>
    </row>
    <row r="75" spans="3:19" ht="16.5" thickTop="1" thickBot="1" x14ac:dyDescent="0.3">
      <c r="C75" s="25" t="s">
        <v>98</v>
      </c>
      <c r="D75" s="24">
        <v>100</v>
      </c>
      <c r="E75" s="24">
        <v>100</v>
      </c>
      <c r="F75" s="23">
        <f>IFERROR(D75/E75,0)</f>
        <v>1</v>
      </c>
      <c r="G75" s="22"/>
    </row>
    <row r="76" spans="3:19" ht="16.5" thickTop="1" thickBot="1" x14ac:dyDescent="0.3">
      <c r="C76" s="25" t="s">
        <v>98</v>
      </c>
      <c r="D76" s="24">
        <v>90</v>
      </c>
      <c r="E76" s="24">
        <v>100</v>
      </c>
      <c r="F76" s="23">
        <f>IFERROR(D76/E76,0)</f>
        <v>0.9</v>
      </c>
      <c r="G76" s="22"/>
      <c r="O76" s="408" t="s">
        <v>583</v>
      </c>
      <c r="P76" s="409"/>
      <c r="Q76" s="409"/>
      <c r="R76" s="409"/>
      <c r="S76" s="410"/>
    </row>
    <row r="77" spans="3:19" ht="16.5" customHeight="1" thickTop="1" thickBot="1" x14ac:dyDescent="0.3">
      <c r="C77" s="403"/>
      <c r="D77" s="404"/>
      <c r="E77" s="404"/>
      <c r="F77" s="404"/>
      <c r="G77" s="405"/>
      <c r="O77" s="237">
        <v>1</v>
      </c>
      <c r="P77" s="235" t="s">
        <v>326</v>
      </c>
      <c r="Q77" s="236">
        <v>1</v>
      </c>
      <c r="R77" s="233" t="s">
        <v>19</v>
      </c>
      <c r="S77" s="234">
        <v>0.2</v>
      </c>
    </row>
    <row r="78" spans="3:19" ht="16.5" customHeight="1" thickTop="1" thickBot="1" x14ac:dyDescent="0.3">
      <c r="O78" s="238" t="s">
        <v>98</v>
      </c>
      <c r="P78" s="254">
        <f ca="1">SUM(EtCT:downtwo)</f>
        <v>1</v>
      </c>
      <c r="Q78" s="254">
        <f ca="1">SUM(TtCT:downtwo)</f>
        <v>1</v>
      </c>
      <c r="R78" s="411">
        <f t="shared" ref="R78" ca="1" si="35">IFERROR(P78/Q78,0)</f>
        <v>1</v>
      </c>
      <c r="S78" s="412"/>
    </row>
    <row r="79" spans="3:19" ht="16.5" customHeight="1" thickTop="1" thickBot="1" x14ac:dyDescent="0.3">
      <c r="C79" s="408" t="s">
        <v>599</v>
      </c>
      <c r="D79" s="409"/>
      <c r="E79" s="409"/>
      <c r="F79" s="409"/>
      <c r="G79" s="410"/>
      <c r="O79" s="239" t="s">
        <v>18</v>
      </c>
      <c r="P79" s="413" t="s">
        <v>17</v>
      </c>
      <c r="Q79" s="413"/>
      <c r="R79" s="240" t="s">
        <v>16</v>
      </c>
      <c r="S79" s="241" t="s">
        <v>15</v>
      </c>
    </row>
    <row r="80" spans="3:19" ht="16.5" customHeight="1" thickTop="1" thickBot="1" x14ac:dyDescent="0.3">
      <c r="C80" s="237">
        <v>8</v>
      </c>
      <c r="D80" s="235" t="s">
        <v>326</v>
      </c>
      <c r="E80" s="236">
        <v>8</v>
      </c>
      <c r="F80" s="233" t="s">
        <v>19</v>
      </c>
      <c r="G80" s="234">
        <v>0</v>
      </c>
      <c r="O80" s="11" t="s">
        <v>332</v>
      </c>
      <c r="P80" s="10">
        <v>1</v>
      </c>
      <c r="Q80" s="10">
        <v>1</v>
      </c>
      <c r="R80" s="9">
        <f t="shared" ref="R80" si="36">IFERROR(P80/Q80,0)</f>
        <v>1</v>
      </c>
      <c r="S80" s="8"/>
    </row>
    <row r="81" spans="3:19" ht="16.5" thickTop="1" thickBot="1" x14ac:dyDescent="0.3">
      <c r="C81" s="238" t="s">
        <v>98</v>
      </c>
      <c r="D81" s="254">
        <f ca="1">SUM(EtCT:downtwo)</f>
        <v>37.25</v>
      </c>
      <c r="E81" s="254">
        <f ca="1">SUM(TtCT:downtwo)</f>
        <v>40</v>
      </c>
      <c r="F81" s="411">
        <f ca="1">IFERROR(D81/E81,0)</f>
        <v>0.93125000000000002</v>
      </c>
      <c r="G81" s="412"/>
      <c r="O81" s="403"/>
      <c r="P81" s="404"/>
      <c r="Q81" s="404"/>
      <c r="R81" s="404"/>
      <c r="S81" s="405"/>
    </row>
    <row r="82" spans="3:19" ht="16.5" thickTop="1" thickBot="1" x14ac:dyDescent="0.3">
      <c r="C82" s="239" t="s">
        <v>18</v>
      </c>
      <c r="D82" s="413" t="s">
        <v>17</v>
      </c>
      <c r="E82" s="413"/>
      <c r="F82" s="240" t="s">
        <v>16</v>
      </c>
      <c r="G82" s="241" t="s">
        <v>15</v>
      </c>
    </row>
    <row r="83" spans="3:19" ht="15.75" thickTop="1" x14ac:dyDescent="0.25">
      <c r="C83" s="25" t="s">
        <v>600</v>
      </c>
      <c r="D83" s="24">
        <v>5</v>
      </c>
      <c r="E83" s="24">
        <v>5</v>
      </c>
      <c r="F83" s="23">
        <f t="shared" ref="F83:F89" si="37">IFERROR(D83/E83,0)</f>
        <v>1</v>
      </c>
      <c r="G83" s="22"/>
    </row>
    <row r="84" spans="3:19" x14ac:dyDescent="0.25">
      <c r="C84" s="25" t="s">
        <v>98</v>
      </c>
      <c r="D84" s="24">
        <v>4</v>
      </c>
      <c r="E84" s="24">
        <v>5</v>
      </c>
      <c r="F84" s="23">
        <f t="shared" si="37"/>
        <v>0.8</v>
      </c>
      <c r="G84" s="22"/>
    </row>
    <row r="85" spans="3:19" x14ac:dyDescent="0.25">
      <c r="C85" s="25" t="s">
        <v>98</v>
      </c>
      <c r="D85" s="24">
        <v>4</v>
      </c>
      <c r="E85" s="24">
        <v>5</v>
      </c>
      <c r="F85" s="23">
        <f t="shared" si="37"/>
        <v>0.8</v>
      </c>
      <c r="G85" s="22"/>
    </row>
    <row r="86" spans="3:19" x14ac:dyDescent="0.25">
      <c r="C86" s="25" t="s">
        <v>98</v>
      </c>
      <c r="D86" s="24">
        <v>4.25</v>
      </c>
      <c r="E86" s="24">
        <v>5</v>
      </c>
      <c r="F86" s="23">
        <f t="shared" si="37"/>
        <v>0.85</v>
      </c>
      <c r="G86" s="22"/>
    </row>
    <row r="87" spans="3:19" x14ac:dyDescent="0.25">
      <c r="C87" s="25" t="s">
        <v>98</v>
      </c>
      <c r="D87" s="24">
        <v>5</v>
      </c>
      <c r="E87" s="24">
        <v>5</v>
      </c>
      <c r="F87" s="23">
        <f t="shared" si="37"/>
        <v>1</v>
      </c>
      <c r="G87" s="22"/>
      <c r="H87" s="366"/>
    </row>
    <row r="88" spans="3:19" x14ac:dyDescent="0.25">
      <c r="C88" s="25" t="s">
        <v>98</v>
      </c>
      <c r="D88" s="24">
        <v>5</v>
      </c>
      <c r="E88" s="24">
        <v>5</v>
      </c>
      <c r="F88" s="23">
        <f t="shared" si="37"/>
        <v>1</v>
      </c>
      <c r="G88" s="22"/>
      <c r="H88" s="366"/>
    </row>
    <row r="89" spans="3:19" x14ac:dyDescent="0.25">
      <c r="C89" s="25" t="s">
        <v>98</v>
      </c>
      <c r="D89" s="24">
        <v>5</v>
      </c>
      <c r="E89" s="24">
        <v>5</v>
      </c>
      <c r="F89" s="23">
        <f t="shared" si="37"/>
        <v>1</v>
      </c>
      <c r="G89" s="22"/>
    </row>
    <row r="90" spans="3:19" ht="15.75" thickBot="1" x14ac:dyDescent="0.3">
      <c r="C90" s="25" t="s">
        <v>98</v>
      </c>
      <c r="D90" s="24">
        <v>5</v>
      </c>
      <c r="E90" s="24">
        <v>5</v>
      </c>
      <c r="F90" s="23">
        <f t="shared" ref="F90" si="38">IFERROR(D90/E90,0)</f>
        <v>1</v>
      </c>
      <c r="G90" s="22"/>
    </row>
    <row r="91" spans="3:19" ht="16.5" thickTop="1" thickBot="1" x14ac:dyDescent="0.3">
      <c r="C91" s="403"/>
      <c r="D91" s="404"/>
      <c r="E91" s="404"/>
      <c r="F91" s="404"/>
      <c r="G91" s="405"/>
    </row>
    <row r="92" spans="3:19" ht="16.5" thickTop="1" thickBot="1" x14ac:dyDescent="0.3"/>
    <row r="93" spans="3:19" ht="16.5" thickTop="1" thickBot="1" x14ac:dyDescent="0.3">
      <c r="C93" s="408" t="s">
        <v>587</v>
      </c>
      <c r="D93" s="409"/>
      <c r="E93" s="409"/>
      <c r="F93" s="409"/>
      <c r="G93" s="410"/>
    </row>
    <row r="94" spans="3:19" ht="16.5" thickTop="1" thickBot="1" x14ac:dyDescent="0.3">
      <c r="C94" s="237">
        <v>1</v>
      </c>
      <c r="D94" s="235" t="s">
        <v>326</v>
      </c>
      <c r="E94" s="236">
        <v>1</v>
      </c>
      <c r="F94" s="233" t="s">
        <v>19</v>
      </c>
      <c r="G94" s="234">
        <v>0</v>
      </c>
    </row>
    <row r="95" spans="3:19" ht="15.75" thickTop="1" x14ac:dyDescent="0.25">
      <c r="C95" s="238" t="s">
        <v>98</v>
      </c>
      <c r="D95" s="254">
        <f ca="1">SUM(EtCT:downtwo)</f>
        <v>80.5</v>
      </c>
      <c r="E95" s="254">
        <f ca="1">SUM(TtCT:downtwo)</f>
        <v>100</v>
      </c>
      <c r="F95" s="411">
        <f ca="1">IFERROR(D95/E95,0)</f>
        <v>0.80500000000000005</v>
      </c>
      <c r="G95" s="412"/>
    </row>
    <row r="96" spans="3:19" ht="15.75" thickBot="1" x14ac:dyDescent="0.3">
      <c r="C96" s="239" t="s">
        <v>18</v>
      </c>
      <c r="D96" s="413" t="s">
        <v>17</v>
      </c>
      <c r="E96" s="413"/>
      <c r="F96" s="240" t="s">
        <v>16</v>
      </c>
      <c r="G96" s="241" t="s">
        <v>15</v>
      </c>
    </row>
    <row r="97" spans="3:7" ht="16.5" thickTop="1" thickBot="1" x14ac:dyDescent="0.3">
      <c r="C97" s="25" t="s">
        <v>98</v>
      </c>
      <c r="D97" s="24">
        <v>80.5</v>
      </c>
      <c r="E97" s="24">
        <v>100</v>
      </c>
      <c r="F97" s="23">
        <f>IFERROR(D97/E97,0)</f>
        <v>0.80500000000000005</v>
      </c>
      <c r="G97" s="22">
        <v>0.3</v>
      </c>
    </row>
    <row r="98" spans="3:7" ht="16.5" thickTop="1" thickBot="1" x14ac:dyDescent="0.3">
      <c r="C98" s="403"/>
      <c r="D98" s="404"/>
      <c r="E98" s="404"/>
      <c r="F98" s="404"/>
      <c r="G98" s="405"/>
    </row>
    <row r="99" spans="3:7" ht="16.5" thickTop="1" thickBot="1" x14ac:dyDescent="0.3"/>
    <row r="100" spans="3:7" ht="16.5" thickTop="1" thickBot="1" x14ac:dyDescent="0.3">
      <c r="C100" s="408" t="s">
        <v>586</v>
      </c>
      <c r="D100" s="409"/>
      <c r="E100" s="409"/>
      <c r="F100" s="409"/>
      <c r="G100" s="410"/>
    </row>
    <row r="101" spans="3:7" ht="16.5" thickTop="1" thickBot="1" x14ac:dyDescent="0.3">
      <c r="C101" s="237">
        <v>10</v>
      </c>
      <c r="D101" s="235" t="s">
        <v>326</v>
      </c>
      <c r="E101" s="236">
        <v>10</v>
      </c>
      <c r="F101" s="233" t="s">
        <v>19</v>
      </c>
      <c r="G101" s="234">
        <v>0</v>
      </c>
    </row>
    <row r="102" spans="3:7" ht="15.75" thickTop="1" x14ac:dyDescent="0.25">
      <c r="C102" s="238" t="s">
        <v>98</v>
      </c>
      <c r="D102" s="254">
        <f ca="1">SUM(EtCT:downtwo)</f>
        <v>87.6</v>
      </c>
      <c r="E102" s="254">
        <f ca="1">SUM(TtCT:downtwo)</f>
        <v>100</v>
      </c>
      <c r="F102" s="411">
        <f ca="1">IFERROR(D102/E102,0)</f>
        <v>0.87599999999999989</v>
      </c>
      <c r="G102" s="412"/>
    </row>
    <row r="103" spans="3:7" ht="15.75" thickBot="1" x14ac:dyDescent="0.3">
      <c r="C103" s="239" t="s">
        <v>18</v>
      </c>
      <c r="D103" s="413" t="s">
        <v>17</v>
      </c>
      <c r="E103" s="413"/>
      <c r="F103" s="240" t="s">
        <v>16</v>
      </c>
      <c r="G103" s="241" t="s">
        <v>15</v>
      </c>
    </row>
    <row r="104" spans="3:7" ht="15.75" thickTop="1" x14ac:dyDescent="0.25">
      <c r="C104" s="25" t="s">
        <v>613</v>
      </c>
      <c r="D104" s="24">
        <f>0.8*5</f>
        <v>4</v>
      </c>
      <c r="E104" s="24">
        <v>5</v>
      </c>
      <c r="F104" s="23">
        <f t="shared" ref="F104:F110" si="39">IFERROR(D104/E104,0)</f>
        <v>0.8</v>
      </c>
      <c r="G104" s="22">
        <v>0.3</v>
      </c>
    </row>
    <row r="105" spans="3:7" x14ac:dyDescent="0.25">
      <c r="C105" s="25" t="s">
        <v>614</v>
      </c>
      <c r="D105" s="24">
        <f>0.97*15</f>
        <v>14.549999999999999</v>
      </c>
      <c r="E105" s="24">
        <v>15</v>
      </c>
      <c r="F105" s="23">
        <f t="shared" si="39"/>
        <v>0.97</v>
      </c>
      <c r="G105" s="22"/>
    </row>
    <row r="106" spans="3:7" x14ac:dyDescent="0.25">
      <c r="C106" s="25" t="s">
        <v>615</v>
      </c>
      <c r="D106" s="24">
        <f>0.8*10</f>
        <v>8</v>
      </c>
      <c r="E106" s="24">
        <v>10</v>
      </c>
      <c r="F106" s="23">
        <f t="shared" si="39"/>
        <v>0.8</v>
      </c>
      <c r="G106" s="22"/>
    </row>
    <row r="107" spans="3:7" x14ac:dyDescent="0.25">
      <c r="C107" s="25" t="s">
        <v>616</v>
      </c>
      <c r="D107" s="24">
        <f>0.83*10</f>
        <v>8.2999999999999989</v>
      </c>
      <c r="E107" s="24">
        <v>10</v>
      </c>
      <c r="F107" s="23">
        <f t="shared" si="39"/>
        <v>0.82999999999999985</v>
      </c>
      <c r="G107" s="22"/>
    </row>
    <row r="108" spans="3:7" x14ac:dyDescent="0.25">
      <c r="C108" s="25" t="s">
        <v>617</v>
      </c>
      <c r="D108" s="24">
        <f>0.93*10</f>
        <v>9.3000000000000007</v>
      </c>
      <c r="E108" s="24">
        <v>10</v>
      </c>
      <c r="F108" s="23">
        <f t="shared" si="39"/>
        <v>0.93</v>
      </c>
      <c r="G108" s="22"/>
    </row>
    <row r="109" spans="3:7" x14ac:dyDescent="0.25">
      <c r="C109" s="25" t="s">
        <v>618</v>
      </c>
      <c r="D109" s="24">
        <f>0.86*10</f>
        <v>8.6</v>
      </c>
      <c r="E109" s="24">
        <v>10</v>
      </c>
      <c r="F109" s="23">
        <f t="shared" si="39"/>
        <v>0.86</v>
      </c>
      <c r="G109" s="22"/>
    </row>
    <row r="110" spans="3:7" x14ac:dyDescent="0.25">
      <c r="C110" s="25" t="s">
        <v>619</v>
      </c>
      <c r="D110" s="24">
        <f>0.9*5</f>
        <v>4.5</v>
      </c>
      <c r="E110" s="24">
        <v>5</v>
      </c>
      <c r="F110" s="23">
        <f t="shared" si="39"/>
        <v>0.9</v>
      </c>
      <c r="G110" s="22"/>
    </row>
    <row r="111" spans="3:7" x14ac:dyDescent="0.25">
      <c r="C111" s="25" t="s">
        <v>622</v>
      </c>
      <c r="D111" s="24">
        <f>0.91*15</f>
        <v>13.65</v>
      </c>
      <c r="E111" s="24">
        <v>15</v>
      </c>
      <c r="F111" s="23">
        <f t="shared" ref="F111" si="40">IFERROR(D111/E111,0)</f>
        <v>0.91</v>
      </c>
      <c r="G111" s="22"/>
    </row>
    <row r="112" spans="3:7" x14ac:dyDescent="0.25">
      <c r="C112" s="25" t="s">
        <v>620</v>
      </c>
      <c r="D112" s="24">
        <f>0.84*10</f>
        <v>8.4</v>
      </c>
      <c r="E112" s="24">
        <v>10</v>
      </c>
      <c r="F112" s="23">
        <f>IFERROR(D112/E112,0)</f>
        <v>0.84000000000000008</v>
      </c>
      <c r="G112" s="22"/>
    </row>
    <row r="113" spans="3:7" ht="15.75" thickBot="1" x14ac:dyDescent="0.3">
      <c r="C113" s="25" t="s">
        <v>621</v>
      </c>
      <c r="D113" s="24">
        <f>0.83*10</f>
        <v>8.2999999999999989</v>
      </c>
      <c r="E113" s="24">
        <v>10</v>
      </c>
      <c r="F113" s="23">
        <f>IFERROR(D113/E113,0)</f>
        <v>0.82999999999999985</v>
      </c>
      <c r="G113" s="22"/>
    </row>
    <row r="114" spans="3:7" ht="16.5" thickTop="1" thickBot="1" x14ac:dyDescent="0.3">
      <c r="C114" s="403"/>
      <c r="D114" s="404"/>
      <c r="E114" s="404"/>
      <c r="F114" s="404"/>
      <c r="G114" s="405"/>
    </row>
    <row r="115" spans="3:7" ht="16.5" thickTop="1" thickBot="1" x14ac:dyDescent="0.3"/>
    <row r="116" spans="3:7" ht="16.5" thickTop="1" thickBot="1" x14ac:dyDescent="0.3">
      <c r="C116" s="408" t="s">
        <v>601</v>
      </c>
      <c r="D116" s="409"/>
      <c r="E116" s="409"/>
      <c r="F116" s="409"/>
      <c r="G116" s="410"/>
    </row>
    <row r="117" spans="3:7" ht="16.5" thickTop="1" thickBot="1" x14ac:dyDescent="0.3">
      <c r="C117" s="237">
        <v>8</v>
      </c>
      <c r="D117" s="235" t="s">
        <v>326</v>
      </c>
      <c r="E117" s="236">
        <v>8</v>
      </c>
      <c r="F117" s="233" t="s">
        <v>19</v>
      </c>
      <c r="G117" s="234">
        <v>0</v>
      </c>
    </row>
    <row r="118" spans="3:7" ht="15.75" thickTop="1" x14ac:dyDescent="0.25">
      <c r="C118" s="238" t="s">
        <v>98</v>
      </c>
      <c r="D118" s="254">
        <f ca="1">SUM(EtCT:downtwo)</f>
        <v>34.1845</v>
      </c>
      <c r="E118" s="254">
        <f ca="1">SUM(TtCT:downtwo)</f>
        <v>40</v>
      </c>
      <c r="F118" s="411">
        <f ca="1">IFERROR(D118/E118,0)</f>
        <v>0.8546125</v>
      </c>
      <c r="G118" s="412"/>
    </row>
    <row r="119" spans="3:7" ht="15.75" thickBot="1" x14ac:dyDescent="0.3">
      <c r="C119" s="239" t="s">
        <v>18</v>
      </c>
      <c r="D119" s="413" t="s">
        <v>17</v>
      </c>
      <c r="E119" s="413"/>
      <c r="F119" s="240" t="s">
        <v>16</v>
      </c>
      <c r="G119" s="241" t="s">
        <v>15</v>
      </c>
    </row>
    <row r="120" spans="3:7" ht="15.75" thickTop="1" x14ac:dyDescent="0.25">
      <c r="C120" s="25" t="s">
        <v>600</v>
      </c>
      <c r="D120" s="24">
        <v>4.1844999999999999</v>
      </c>
      <c r="E120" s="24">
        <v>5</v>
      </c>
      <c r="F120" s="23">
        <f t="shared" ref="F120" si="41">IFERROR(D120/E120,0)</f>
        <v>0.83689999999999998</v>
      </c>
      <c r="G120" s="22" t="s">
        <v>638</v>
      </c>
    </row>
    <row r="121" spans="3:7" x14ac:dyDescent="0.25">
      <c r="C121" s="25" t="s">
        <v>98</v>
      </c>
      <c r="D121" s="24">
        <v>5</v>
      </c>
      <c r="E121" s="24">
        <v>5</v>
      </c>
      <c r="F121" s="23">
        <f>IFERROR(D121/E121,0)</f>
        <v>1</v>
      </c>
      <c r="G121" s="22" t="s">
        <v>636</v>
      </c>
    </row>
    <row r="122" spans="3:7" x14ac:dyDescent="0.25">
      <c r="C122" s="25" t="s">
        <v>98</v>
      </c>
      <c r="D122" s="24">
        <v>5</v>
      </c>
      <c r="E122" s="24">
        <v>5</v>
      </c>
      <c r="F122" s="23">
        <f>IFERROR(D122/E122,0)</f>
        <v>1</v>
      </c>
      <c r="G122" s="22" t="s">
        <v>636</v>
      </c>
    </row>
    <row r="123" spans="3:7" x14ac:dyDescent="0.25">
      <c r="C123" s="25" t="s">
        <v>98</v>
      </c>
      <c r="D123" s="24">
        <v>5</v>
      </c>
      <c r="E123" s="24">
        <v>5</v>
      </c>
      <c r="F123" s="23">
        <f t="shared" ref="F123" si="42">IFERROR(D123/E123,0)</f>
        <v>1</v>
      </c>
      <c r="G123" s="22" t="s">
        <v>636</v>
      </c>
    </row>
    <row r="124" spans="3:7" x14ac:dyDescent="0.25">
      <c r="C124" s="25" t="s">
        <v>630</v>
      </c>
      <c r="D124" s="24">
        <v>5</v>
      </c>
      <c r="E124" s="24">
        <v>5</v>
      </c>
      <c r="F124" s="23">
        <f>IFERROR(D124/E124,0)</f>
        <v>1</v>
      </c>
      <c r="G124" s="22" t="s">
        <v>634</v>
      </c>
    </row>
    <row r="125" spans="3:7" x14ac:dyDescent="0.25">
      <c r="C125" s="25" t="s">
        <v>631</v>
      </c>
      <c r="D125" s="24">
        <v>5</v>
      </c>
      <c r="E125" s="24">
        <v>5</v>
      </c>
      <c r="F125" s="23">
        <f>IFERROR(D125/E125,0)</f>
        <v>1</v>
      </c>
      <c r="G125" s="22" t="s">
        <v>634</v>
      </c>
    </row>
    <row r="126" spans="3:7" x14ac:dyDescent="0.25">
      <c r="C126" s="25" t="s">
        <v>633</v>
      </c>
      <c r="D126" s="24">
        <v>5</v>
      </c>
      <c r="E126" s="24">
        <v>5</v>
      </c>
      <c r="F126" s="23">
        <f>IFERROR(D126/E126,0)</f>
        <v>1</v>
      </c>
      <c r="G126" s="22" t="s">
        <v>634</v>
      </c>
    </row>
    <row r="127" spans="3:7" ht="15.75" thickBot="1" x14ac:dyDescent="0.3">
      <c r="C127" s="25" t="s">
        <v>632</v>
      </c>
      <c r="D127" s="24">
        <v>0</v>
      </c>
      <c r="E127" s="24">
        <v>5</v>
      </c>
      <c r="F127" s="23">
        <f>IFERROR(D127/E127,0)</f>
        <v>0</v>
      </c>
      <c r="G127" s="22" t="s">
        <v>635</v>
      </c>
    </row>
    <row r="128" spans="3:7" ht="16.5" thickTop="1" thickBot="1" x14ac:dyDescent="0.3">
      <c r="C128" s="403"/>
      <c r="D128" s="404"/>
      <c r="E128" s="404"/>
      <c r="F128" s="404"/>
      <c r="G128" s="405"/>
    </row>
    <row r="129" ht="15.75" thickTop="1" x14ac:dyDescent="0.25"/>
  </sheetData>
  <mergeCells count="170">
    <mergeCell ref="C100:G100"/>
    <mergeCell ref="F102:G102"/>
    <mergeCell ref="D103:E103"/>
    <mergeCell ref="C114:G114"/>
    <mergeCell ref="C93:G93"/>
    <mergeCell ref="F95:G95"/>
    <mergeCell ref="D96:E96"/>
    <mergeCell ref="C98:G98"/>
    <mergeCell ref="C70:G70"/>
    <mergeCell ref="F72:G72"/>
    <mergeCell ref="D73:E73"/>
    <mergeCell ref="C77:G77"/>
    <mergeCell ref="R78:S78"/>
    <mergeCell ref="C56:G56"/>
    <mergeCell ref="F58:G58"/>
    <mergeCell ref="D59:E59"/>
    <mergeCell ref="C61:G61"/>
    <mergeCell ref="P79:Q79"/>
    <mergeCell ref="P56:Q56"/>
    <mergeCell ref="O81:S81"/>
    <mergeCell ref="O69:S69"/>
    <mergeCell ref="R71:S71"/>
    <mergeCell ref="P72:Q72"/>
    <mergeCell ref="O74:S74"/>
    <mergeCell ref="O76:S76"/>
    <mergeCell ref="I59:M59"/>
    <mergeCell ref="I32:M32"/>
    <mergeCell ref="L34:M34"/>
    <mergeCell ref="J35:K35"/>
    <mergeCell ref="I42:M42"/>
    <mergeCell ref="V44:W44"/>
    <mergeCell ref="U48:Y48"/>
    <mergeCell ref="O53:S53"/>
    <mergeCell ref="R55:S55"/>
    <mergeCell ref="I51:M51"/>
    <mergeCell ref="L53:M53"/>
    <mergeCell ref="J54:K54"/>
    <mergeCell ref="I44:M44"/>
    <mergeCell ref="L46:M46"/>
    <mergeCell ref="J47:K47"/>
    <mergeCell ref="I49:M49"/>
    <mergeCell ref="U50:Y50"/>
    <mergeCell ref="X52:Y52"/>
    <mergeCell ref="V53:W53"/>
    <mergeCell ref="U55:Y55"/>
    <mergeCell ref="AG22:AK22"/>
    <mergeCell ref="AJ24:AK24"/>
    <mergeCell ref="AH25:AI25"/>
    <mergeCell ref="AG14:AH14"/>
    <mergeCell ref="AG15:AH15"/>
    <mergeCell ref="AG16:AH16"/>
    <mergeCell ref="AG17:AH17"/>
    <mergeCell ref="AG18:AH18"/>
    <mergeCell ref="O67:S67"/>
    <mergeCell ref="AA17:AB17"/>
    <mergeCell ref="AA18:AB18"/>
    <mergeCell ref="AA19:AB19"/>
    <mergeCell ref="AA20:AB20"/>
    <mergeCell ref="AA22:AE22"/>
    <mergeCell ref="O51:S51"/>
    <mergeCell ref="U39:Y39"/>
    <mergeCell ref="AA36:AE36"/>
    <mergeCell ref="AD24:AE24"/>
    <mergeCell ref="AB25:AC25"/>
    <mergeCell ref="U41:Y41"/>
    <mergeCell ref="X43:Y43"/>
    <mergeCell ref="AG36:AK36"/>
    <mergeCell ref="B2:D2"/>
    <mergeCell ref="E2:G2"/>
    <mergeCell ref="B3:C3"/>
    <mergeCell ref="E3:F3"/>
    <mergeCell ref="B4:C4"/>
    <mergeCell ref="E4:F4"/>
    <mergeCell ref="C6:G6"/>
    <mergeCell ref="C7:D7"/>
    <mergeCell ref="C8:D8"/>
    <mergeCell ref="C15:D15"/>
    <mergeCell ref="C16:D16"/>
    <mergeCell ref="C17:D17"/>
    <mergeCell ref="C18:D18"/>
    <mergeCell ref="C19:D19"/>
    <mergeCell ref="C20:D20"/>
    <mergeCell ref="AG6:AK6"/>
    <mergeCell ref="AG7:AH7"/>
    <mergeCell ref="AG8:AH8"/>
    <mergeCell ref="AG9:AK9"/>
    <mergeCell ref="AG13:AK13"/>
    <mergeCell ref="C14:D14"/>
    <mergeCell ref="C9:G9"/>
    <mergeCell ref="C13:G13"/>
    <mergeCell ref="I6:M6"/>
    <mergeCell ref="I7:J7"/>
    <mergeCell ref="I8:J8"/>
    <mergeCell ref="I9:M9"/>
    <mergeCell ref="I13:M13"/>
    <mergeCell ref="I14:J14"/>
    <mergeCell ref="O13:S13"/>
    <mergeCell ref="AG19:AH19"/>
    <mergeCell ref="AG20:AH20"/>
    <mergeCell ref="I15:J15"/>
    <mergeCell ref="I16:J16"/>
    <mergeCell ref="I17:J17"/>
    <mergeCell ref="I18:J18"/>
    <mergeCell ref="I19:J19"/>
    <mergeCell ref="I20:J20"/>
    <mergeCell ref="I22:M22"/>
    <mergeCell ref="L24:M24"/>
    <mergeCell ref="J25:K25"/>
    <mergeCell ref="U13:Y13"/>
    <mergeCell ref="U17:V17"/>
    <mergeCell ref="O18:P18"/>
    <mergeCell ref="U18:V18"/>
    <mergeCell ref="O19:P19"/>
    <mergeCell ref="U19:V19"/>
    <mergeCell ref="O20:P20"/>
    <mergeCell ref="U20:V20"/>
    <mergeCell ref="O22:S22"/>
    <mergeCell ref="U22:Y22"/>
    <mergeCell ref="R24:S24"/>
    <mergeCell ref="X24:Y24"/>
    <mergeCell ref="P25:Q25"/>
    <mergeCell ref="V25:W25"/>
    <mergeCell ref="AA13:AE13"/>
    <mergeCell ref="I30:M30"/>
    <mergeCell ref="O6:S6"/>
    <mergeCell ref="U6:Y6"/>
    <mergeCell ref="AA6:AE6"/>
    <mergeCell ref="O7:P7"/>
    <mergeCell ref="U7:V7"/>
    <mergeCell ref="AA7:AB7"/>
    <mergeCell ref="O8:P8"/>
    <mergeCell ref="U8:V8"/>
    <mergeCell ref="AA8:AB8"/>
    <mergeCell ref="O9:S9"/>
    <mergeCell ref="U9:Y9"/>
    <mergeCell ref="AA9:AE9"/>
    <mergeCell ref="O14:P14"/>
    <mergeCell ref="U14:V14"/>
    <mergeCell ref="AA14:AB14"/>
    <mergeCell ref="O15:P15"/>
    <mergeCell ref="U15:V15"/>
    <mergeCell ref="AA15:AB15"/>
    <mergeCell ref="O16:P16"/>
    <mergeCell ref="U16:V16"/>
    <mergeCell ref="AA16:AB16"/>
    <mergeCell ref="O17:P17"/>
    <mergeCell ref="C22:G22"/>
    <mergeCell ref="F24:G24"/>
    <mergeCell ref="D25:E25"/>
    <mergeCell ref="C116:G116"/>
    <mergeCell ref="F118:G118"/>
    <mergeCell ref="D119:E119"/>
    <mergeCell ref="C128:G128"/>
    <mergeCell ref="C79:G79"/>
    <mergeCell ref="F81:G81"/>
    <mergeCell ref="D82:E82"/>
    <mergeCell ref="C91:G91"/>
    <mergeCell ref="C37:G37"/>
    <mergeCell ref="C39:G39"/>
    <mergeCell ref="F41:G41"/>
    <mergeCell ref="D42:E42"/>
    <mergeCell ref="C47:G47"/>
    <mergeCell ref="C63:G63"/>
    <mergeCell ref="F65:G65"/>
    <mergeCell ref="D66:E66"/>
    <mergeCell ref="C68:G68"/>
    <mergeCell ref="C49:G49"/>
    <mergeCell ref="F51:G51"/>
    <mergeCell ref="D52:E52"/>
    <mergeCell ref="C54:G54"/>
  </mergeCells>
  <phoneticPr fontId="6" type="noConversion"/>
  <conditionalFormatting sqref="E14:E20">
    <cfRule type="expression" dxfId="9" priority="10">
      <formula>IF((CELLV)&gt;(1-LSFa),1,0)</formula>
    </cfRule>
  </conditionalFormatting>
  <conditionalFormatting sqref="G14:G20">
    <cfRule type="expression" dxfId="8" priority="9">
      <formula>IF((CELLV)&gt;(1-LSFa),1,0)</formula>
    </cfRule>
  </conditionalFormatting>
  <conditionalFormatting sqref="K14:K20">
    <cfRule type="expression" dxfId="7" priority="8">
      <formula>IF((CELLV)&gt;(1-LSFb),1,0)</formula>
    </cfRule>
  </conditionalFormatting>
  <conditionalFormatting sqref="M14:M20">
    <cfRule type="expression" dxfId="6" priority="7">
      <formula>IF((CELLV)&gt;(1-LSFb),1,0)</formula>
    </cfRule>
  </conditionalFormatting>
  <conditionalFormatting sqref="AE14:AE20">
    <cfRule type="expression" dxfId="5" priority="1">
      <formula>IF((CELLV)&gt;(1-LSFe),1,0)</formula>
    </cfRule>
  </conditionalFormatting>
  <conditionalFormatting sqref="Q14:Q20">
    <cfRule type="expression" dxfId="4" priority="6">
      <formula>IF((CELLV)&gt;(1-LSFc),1,0)</formula>
    </cfRule>
  </conditionalFormatting>
  <conditionalFormatting sqref="S14:S20">
    <cfRule type="expression" dxfId="3" priority="5">
      <formula>IF((CELLV)&gt;(1-LSFc),1,0)</formula>
    </cfRule>
  </conditionalFormatting>
  <conditionalFormatting sqref="W14:W20">
    <cfRule type="expression" dxfId="2" priority="4">
      <formula>IF((CELLV)&gt;(1-LSFd),1,0)</formula>
    </cfRule>
  </conditionalFormatting>
  <conditionalFormatting sqref="Y14:Y20">
    <cfRule type="expression" dxfId="1" priority="3">
      <formula>IF((CELLV)&gt;(1-LSFd),1,0)</formula>
    </cfRule>
  </conditionalFormatting>
  <conditionalFormatting sqref="AC14:AC20">
    <cfRule type="expression" dxfId="0" priority="2">
      <formula>IF((CELLV)&gt;(1-LSFe),1,0)</formula>
    </cfRule>
  </conditionalFormatting>
  <dataValidations count="3">
    <dataValidation type="list" allowBlank="1" showInputMessage="1" showErrorMessage="1" sqref="G8 M8 S8 Y8 AE8 AK8" xr:uid="{5D5CD892-DA86-4F9A-B1A9-DDC4FDCCF8A8}">
      <formula1>",Class,Retaken,Dropped,P/F,Research"</formula1>
    </dataValidation>
    <dataValidation type="list" allowBlank="1" showInputMessage="1" showErrorMessage="1" sqref="E8 K8 Q8 W8 AC8 AI8" xr:uid="{F99110CB-16A8-42FC-9638-255B331DC2BC}">
      <formula1>"NA,1,2,3,4,5,6,7"</formula1>
    </dataValidation>
    <dataValidation type="whole" operator="greaterThan" allowBlank="1" showInputMessage="1" showErrorMessage="1" sqref="Q77 K23 Q23 W23 AC23 AI23 K33 K52 K45 W42 Q54 Q70 E71 E23 E40 E64 E101 E94 W51 E50 E80 E117 E57" xr:uid="{A27C6686-4BA9-4797-98AC-0C3FF97175F0}">
      <formula1>0</formula1>
    </dataValidation>
  </dataValidations>
  <pageMargins left="0.7" right="0.7" top="0.75" bottom="0.75" header="0.3" footer="0.3"/>
  <pageSetup scale="39" fitToWidth="0" fitToHeight="0"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41E6158F-7708-4AAB-BF9A-F4E4903730AD}">
          <x14:formula1>
            <xm:f>OFFSET(Settings!$L$4,0,0,INDIRECT(ADDRESS(ROW(),COLUMN()+2))+1,1)</xm:f>
          </x14:formula1>
          <xm:sqref>O77 I23 O23 U23 AA23 AG23 I33 I52 I45 U42 O54 O70 C23 C40 C64 C71 C101 C94 U51 C50 C80 C117 C57</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14721-1D2C-43BA-A545-AD38B3122C89}">
  <sheetPr>
    <tabColor rgb="FF00B0F0"/>
  </sheetPr>
  <dimension ref="A1:AD112"/>
  <sheetViews>
    <sheetView showGridLines="0" tabSelected="1" zoomScaleNormal="100" workbookViewId="0">
      <selection activeCell="AB21" sqref="AB21"/>
    </sheetView>
  </sheetViews>
  <sheetFormatPr defaultRowHeight="15" x14ac:dyDescent="0.25"/>
  <cols>
    <col min="1" max="1" width="2.85546875" style="152" customWidth="1"/>
    <col min="2" max="2" width="12.85546875" style="152" customWidth="1"/>
    <col min="3" max="4" width="9.140625" style="152"/>
    <col min="5" max="5" width="11.5703125" style="152" customWidth="1"/>
    <col min="6" max="6" width="9.140625" style="152"/>
    <col min="7" max="7" width="2.85546875" style="152" customWidth="1"/>
    <col min="8" max="8" width="12.85546875" style="152" customWidth="1"/>
    <col min="9" max="12" width="9.140625" style="152"/>
    <col min="13" max="13" width="2.85546875" style="152" customWidth="1"/>
    <col min="14" max="14" width="12.85546875" style="152" customWidth="1"/>
    <col min="15" max="18" width="9.140625" style="152"/>
    <col min="19" max="19" width="2.85546875" style="152" customWidth="1"/>
    <col min="20" max="20" width="12.85546875" style="152" customWidth="1"/>
    <col min="21" max="21" width="8" style="152" customWidth="1"/>
    <col min="22" max="22" width="6.7109375" style="152" customWidth="1"/>
    <col min="23" max="24" width="9.140625" style="152"/>
    <col min="25" max="25" width="2.85546875" style="152" customWidth="1"/>
    <col min="26" max="26" width="15.85546875" style="152" customWidth="1"/>
    <col min="27" max="27" width="8" style="152" customWidth="1"/>
    <col min="28" max="28" width="6.7109375" style="152" customWidth="1"/>
    <col min="29" max="16384" width="9.140625" style="152"/>
  </cols>
  <sheetData>
    <row r="1" spans="2:30" ht="24" customHeight="1" x14ac:dyDescent="0.45">
      <c r="B1" s="153" t="s">
        <v>202</v>
      </c>
      <c r="D1" s="152" t="s">
        <v>521</v>
      </c>
    </row>
    <row r="2" spans="2:30" ht="4.5" customHeight="1" x14ac:dyDescent="0.25"/>
    <row r="3" spans="2:30" ht="15.75" thickBot="1" x14ac:dyDescent="0.3"/>
    <row r="4" spans="2:30" x14ac:dyDescent="0.25">
      <c r="B4" s="428" t="s">
        <v>128</v>
      </c>
      <c r="C4" s="429"/>
      <c r="D4" s="429"/>
      <c r="E4" s="429"/>
      <c r="F4" s="430"/>
      <c r="H4" s="431" t="s">
        <v>145</v>
      </c>
      <c r="I4" s="432"/>
      <c r="J4" s="432"/>
      <c r="K4" s="432"/>
      <c r="L4" s="433"/>
      <c r="N4" s="434" t="s">
        <v>147</v>
      </c>
      <c r="O4" s="435"/>
      <c r="P4" s="435"/>
      <c r="Q4" s="435"/>
      <c r="R4" s="436"/>
      <c r="T4" s="420" t="s">
        <v>527</v>
      </c>
      <c r="U4" s="421"/>
      <c r="V4" s="421"/>
      <c r="W4" s="421"/>
      <c r="X4" s="422"/>
      <c r="Z4" s="420" t="s">
        <v>528</v>
      </c>
      <c r="AA4" s="421"/>
      <c r="AB4" s="421"/>
      <c r="AC4" s="421"/>
      <c r="AD4" s="422"/>
    </row>
    <row r="5" spans="2:30" ht="15.75" thickBot="1" x14ac:dyDescent="0.3">
      <c r="B5" s="107" t="s">
        <v>204</v>
      </c>
      <c r="C5" s="108" t="s">
        <v>102</v>
      </c>
      <c r="D5" s="108" t="s">
        <v>98</v>
      </c>
      <c r="E5" s="108" t="s">
        <v>96</v>
      </c>
      <c r="F5" s="109" t="s">
        <v>95</v>
      </c>
      <c r="H5" s="110" t="s">
        <v>204</v>
      </c>
      <c r="I5" s="111" t="s">
        <v>102</v>
      </c>
      <c r="J5" s="111" t="s">
        <v>98</v>
      </c>
      <c r="K5" s="111" t="s">
        <v>96</v>
      </c>
      <c r="L5" s="112" t="s">
        <v>95</v>
      </c>
      <c r="N5" s="113" t="s">
        <v>204</v>
      </c>
      <c r="O5" s="114" t="s">
        <v>102</v>
      </c>
      <c r="P5" s="114" t="s">
        <v>98</v>
      </c>
      <c r="Q5" s="114" t="s">
        <v>96</v>
      </c>
      <c r="R5" s="115" t="s">
        <v>95</v>
      </c>
      <c r="T5" s="116" t="s">
        <v>204</v>
      </c>
      <c r="U5" s="117" t="s">
        <v>102</v>
      </c>
      <c r="V5" s="117" t="s">
        <v>98</v>
      </c>
      <c r="W5" s="117" t="s">
        <v>96</v>
      </c>
      <c r="X5" s="118" t="s">
        <v>95</v>
      </c>
      <c r="Z5" s="116" t="s">
        <v>204</v>
      </c>
      <c r="AA5" s="117" t="s">
        <v>102</v>
      </c>
      <c r="AB5" s="117" t="s">
        <v>98</v>
      </c>
      <c r="AC5" s="117" t="s">
        <v>96</v>
      </c>
      <c r="AD5" s="118" t="s">
        <v>95</v>
      </c>
    </row>
    <row r="6" spans="2:30" ht="15.75" thickTop="1" x14ac:dyDescent="0.25">
      <c r="B6" s="119" t="str">
        <f ca="1">INDIRECT("'"&amp;$B$4&amp;"'!"&amp;Settings!O5)</f>
        <v>AerE 160</v>
      </c>
      <c r="C6" s="120">
        <f ca="1">INDIRECT("'"&amp;$B$4&amp;"'!"&amp;Settings!P5)</f>
        <v>3</v>
      </c>
      <c r="D6" s="120" t="str">
        <f ca="1">INDIRECT("'"&amp;$B$4&amp;"'!"&amp;Settings!Q5)</f>
        <v>B+</v>
      </c>
      <c r="E6" s="337">
        <f ca="1">INDIRECT("'"&amp;$B$4&amp;"'!"&amp;Settings!R5)</f>
        <v>3.33</v>
      </c>
      <c r="F6" s="338">
        <f ca="1">INDIRECT("'"&amp;$B$4&amp;"'!"&amp;Settings!S5)</f>
        <v>9.99</v>
      </c>
      <c r="H6" s="121" t="str">
        <f ca="1">INDIRECT("'"&amp;$H$4&amp;"'!"&amp;Settings!O5)</f>
        <v>AerE 261</v>
      </c>
      <c r="I6" s="122">
        <f ca="1">INDIRECT("'"&amp;$H$4&amp;"'!"&amp;Settings!P5)</f>
        <v>3</v>
      </c>
      <c r="J6" s="122" t="str">
        <f ca="1">INDIRECT("'"&amp;$H$4&amp;"'!"&amp;Settings!Q5)</f>
        <v>B-</v>
      </c>
      <c r="K6" s="122">
        <f ca="1">INDIRECT("'"&amp;$H$4&amp;"'!"&amp;Settings!R5)</f>
        <v>2.67</v>
      </c>
      <c r="L6" s="123">
        <f ca="1">INDIRECT("'"&amp;$H$4&amp;"'!"&amp;Settings!S5)</f>
        <v>8.01</v>
      </c>
      <c r="N6" s="121" t="str">
        <f ca="1">INDIRECT("'"&amp;$N$4&amp;"'!"&amp;Settings!O5)</f>
        <v>AerE 310</v>
      </c>
      <c r="O6" s="122">
        <f ca="1">INDIRECT("'"&amp;$N$4&amp;"'!"&amp;Settings!P5)</f>
        <v>3</v>
      </c>
      <c r="P6" s="122" t="str">
        <f ca="1">INDIRECT("'"&amp;$N$4&amp;"'!"&amp;Settings!Q5)</f>
        <v>C</v>
      </c>
      <c r="Q6" s="122">
        <f ca="1">INDIRECT("'"&amp;$N$4&amp;"'!"&amp;Settings!R5)</f>
        <v>2</v>
      </c>
      <c r="R6" s="123">
        <f ca="1">INDIRECT("'"&amp;$N$4&amp;"'!"&amp;Settings!S5)</f>
        <v>6</v>
      </c>
      <c r="T6" s="121" t="str">
        <f ca="1">INDIRECT("'"&amp;$T$4&amp;"'!"&amp;Settings!O5)</f>
        <v>AerE 331</v>
      </c>
      <c r="U6" s="122">
        <f ca="1">INDIRECT("'"&amp;$T$4&amp;"'!"&amp;Settings!P5)</f>
        <v>3</v>
      </c>
      <c r="V6" s="122" t="str">
        <f ca="1">INDIRECT("'"&amp;$T$4&amp;"'!"&amp;Settings!Q5)</f>
        <v>B+</v>
      </c>
      <c r="W6" s="122">
        <f ca="1">INDIRECT("'"&amp;$T$4&amp;"'!"&amp;Settings!R5)</f>
        <v>3.33</v>
      </c>
      <c r="X6" s="123">
        <f ca="1">INDIRECT("'"&amp;$T$4&amp;"'!"&amp;Settings!S5)</f>
        <v>9.99</v>
      </c>
      <c r="Z6" s="155" t="str">
        <f ca="1">INDIRECT("'"&amp;$Z$4&amp;"'!"&amp;Settings!O5)</f>
        <v>AerE 462</v>
      </c>
      <c r="AA6" s="156">
        <f ca="1">INDIRECT("'"&amp;$Z$4&amp;"'!"&amp;Settings!P5)</f>
        <v>3</v>
      </c>
      <c r="AB6" s="156" t="str">
        <f ca="1">INDIRECT("'"&amp;$Z$4&amp;"'!"&amp;Settings!Q5)</f>
        <v>B</v>
      </c>
      <c r="AC6" s="156">
        <f ca="1">INDIRECT("'"&amp;$Z$4&amp;"'!"&amp;Settings!R5)</f>
        <v>3</v>
      </c>
      <c r="AD6" s="157">
        <f ca="1">INDIRECT("'"&amp;$Z$4&amp;"'!"&amp;Settings!S5)</f>
        <v>9</v>
      </c>
    </row>
    <row r="7" spans="2:30" x14ac:dyDescent="0.25">
      <c r="B7" s="124" t="str">
        <f ca="1">INDIRECT("'"&amp;$B$4&amp;"'!"&amp;Settings!O6)</f>
        <v>Chem 167</v>
      </c>
      <c r="C7" s="125">
        <f ca="1">INDIRECT("'"&amp;$B$4&amp;"'!"&amp;Settings!P6)</f>
        <v>4</v>
      </c>
      <c r="D7" s="125" t="str">
        <f ca="1">INDIRECT("'"&amp;$B$4&amp;"'!"&amp;Settings!Q6)</f>
        <v>A-</v>
      </c>
      <c r="E7" s="340">
        <f ca="1">INDIRECT("'"&amp;$B$4&amp;"'!"&amp;Settings!R6)</f>
        <v>3.67</v>
      </c>
      <c r="F7" s="339">
        <f ca="1">INDIRECT("'"&amp;$B$4&amp;"'!"&amp;Settings!S6)</f>
        <v>14.68</v>
      </c>
      <c r="H7" s="124" t="str">
        <f ca="1">INDIRECT("'"&amp;$H$4&amp;"'!"&amp;Settings!O6)</f>
        <v>ARCH 321  (GenEd)</v>
      </c>
      <c r="I7" s="125">
        <f ca="1">INDIRECT("'"&amp;$H$4&amp;"'!"&amp;Settings!P6)</f>
        <v>3</v>
      </c>
      <c r="J7" s="125" t="str">
        <f ca="1">INDIRECT("'"&amp;$H$4&amp;"'!"&amp;Settings!Q6)</f>
        <v>B</v>
      </c>
      <c r="K7" s="125">
        <f ca="1">INDIRECT("'"&amp;$H$4&amp;"'!"&amp;Settings!R6)</f>
        <v>3</v>
      </c>
      <c r="L7" s="126">
        <f ca="1">INDIRECT("'"&amp;$H$4&amp;"'!"&amp;Settings!S6)</f>
        <v>9</v>
      </c>
      <c r="N7" s="124" t="str">
        <f ca="1">INDIRECT("'"&amp;$N$4&amp;"'!"&amp;Settings!O6)</f>
        <v>AerE 321</v>
      </c>
      <c r="O7" s="125">
        <f ca="1">INDIRECT("'"&amp;$N$4&amp;"'!"&amp;Settings!P6)</f>
        <v>3</v>
      </c>
      <c r="P7" s="125" t="str">
        <f ca="1">INDIRECT("'"&amp;$N$4&amp;"'!"&amp;Settings!Q6)</f>
        <v>A-</v>
      </c>
      <c r="Q7" s="125">
        <f ca="1">INDIRECT("'"&amp;$N$4&amp;"'!"&amp;Settings!R6)</f>
        <v>3.67</v>
      </c>
      <c r="R7" s="126">
        <f ca="1">INDIRECT("'"&amp;$N$4&amp;"'!"&amp;Settings!S6)</f>
        <v>11.01</v>
      </c>
      <c r="T7" s="124" t="str">
        <f ca="1">INDIRECT("'"&amp;$T$4&amp;"'!"&amp;Settings!O6)</f>
        <v>AerE 362</v>
      </c>
      <c r="U7" s="125">
        <f ca="1">INDIRECT("'"&amp;$T$4&amp;"'!"&amp;Settings!P6)</f>
        <v>3</v>
      </c>
      <c r="V7" s="125" t="str">
        <f ca="1">INDIRECT("'"&amp;$T$4&amp;"'!"&amp;Settings!Q6)</f>
        <v>Pass</v>
      </c>
      <c r="W7" s="125" t="str">
        <f ca="1">INDIRECT("'"&amp;$T$4&amp;"'!"&amp;Settings!R6)</f>
        <v>NA</v>
      </c>
      <c r="X7" s="126" t="str">
        <f ca="1">INDIRECT("'"&amp;$T$4&amp;"'!"&amp;Settings!S6)</f>
        <v>NA</v>
      </c>
      <c r="Z7" s="155" t="str">
        <f ca="1">INDIRECT("'"&amp;$Z$4&amp;"'!"&amp;Settings!O6)</f>
        <v>AERE 551 (TechE)</v>
      </c>
      <c r="AA7" s="156">
        <f ca="1">INDIRECT("'"&amp;$Z$4&amp;"'!"&amp;Settings!P6)</f>
        <v>3</v>
      </c>
      <c r="AB7" s="156" t="str">
        <f ca="1">INDIRECT("'"&amp;$Z$4&amp;"'!"&amp;Settings!Q6)</f>
        <v>B-</v>
      </c>
      <c r="AC7" s="156">
        <f ca="1">INDIRECT("'"&amp;$Z$4&amp;"'!"&amp;Settings!R6)</f>
        <v>2.67</v>
      </c>
      <c r="AD7" s="157">
        <f ca="1">INDIRECT("'"&amp;$Z$4&amp;"'!"&amp;Settings!S6)</f>
        <v>8.01</v>
      </c>
    </row>
    <row r="8" spans="2:30" x14ac:dyDescent="0.25">
      <c r="B8" s="124" t="str">
        <f ca="1">INDIRECT("'"&amp;$B$4&amp;"'!"&amp;Settings!O7)</f>
        <v>Econ 101 (GenEd)</v>
      </c>
      <c r="C8" s="125">
        <f ca="1">INDIRECT("'"&amp;$B$4&amp;"'!"&amp;Settings!P7)</f>
        <v>3</v>
      </c>
      <c r="D8" s="125" t="str">
        <f ca="1">INDIRECT("'"&amp;$B$4&amp;"'!"&amp;Settings!Q7)</f>
        <v>A</v>
      </c>
      <c r="E8" s="340">
        <f ca="1">INDIRECT("'"&amp;$B$4&amp;"'!"&amp;Settings!R7)</f>
        <v>4</v>
      </c>
      <c r="F8" s="339">
        <f ca="1">INDIRECT("'"&amp;$B$4&amp;"'!"&amp;Settings!S7)</f>
        <v>12</v>
      </c>
      <c r="H8" s="124" t="str">
        <f ca="1">INDIRECT("'"&amp;$H$4&amp;"'!"&amp;Settings!O7)</f>
        <v>EM 274</v>
      </c>
      <c r="I8" s="125">
        <f ca="1">INDIRECT("'"&amp;$H$4&amp;"'!"&amp;Settings!P7)</f>
        <v>3</v>
      </c>
      <c r="J8" s="125" t="str">
        <f ca="1">INDIRECT("'"&amp;$H$4&amp;"'!"&amp;Settings!Q7)</f>
        <v>B</v>
      </c>
      <c r="K8" s="125">
        <f ca="1">INDIRECT("'"&amp;$H$4&amp;"'!"&amp;Settings!R7)</f>
        <v>3</v>
      </c>
      <c r="L8" s="126">
        <f ca="1">INDIRECT("'"&amp;$H$4&amp;"'!"&amp;Settings!S7)</f>
        <v>9</v>
      </c>
      <c r="N8" s="124" t="str">
        <f ca="1">INDIRECT("'"&amp;$N$4&amp;"'!"&amp;Settings!O7)</f>
        <v>AerE 322</v>
      </c>
      <c r="O8" s="125">
        <f ca="1">INDIRECT("'"&amp;$N$4&amp;"'!"&amp;Settings!P7)</f>
        <v>2</v>
      </c>
      <c r="P8" s="125" t="str">
        <f ca="1">INDIRECT("'"&amp;$N$4&amp;"'!"&amp;Settings!Q7)</f>
        <v>C+</v>
      </c>
      <c r="Q8" s="125">
        <f ca="1">INDIRECT("'"&amp;$N$4&amp;"'!"&amp;Settings!R7)</f>
        <v>2.33</v>
      </c>
      <c r="R8" s="126">
        <f ca="1">INDIRECT("'"&amp;$N$4&amp;"'!"&amp;Settings!S7)</f>
        <v>4.66</v>
      </c>
      <c r="T8" s="124" t="str">
        <f ca="1">INDIRECT("'"&amp;$T$4&amp;"'!"&amp;Settings!O7)</f>
        <v>AerE 411</v>
      </c>
      <c r="U8" s="125">
        <f ca="1">INDIRECT("'"&amp;$T$4&amp;"'!"&amp;Settings!P7)</f>
        <v>3</v>
      </c>
      <c r="V8" s="125" t="str">
        <f ca="1">INDIRECT("'"&amp;$T$4&amp;"'!"&amp;Settings!Q7)</f>
        <v>B</v>
      </c>
      <c r="W8" s="125">
        <f ca="1">INDIRECT("'"&amp;$T$4&amp;"'!"&amp;Settings!R7)</f>
        <v>3</v>
      </c>
      <c r="X8" s="126">
        <f ca="1">INDIRECT("'"&amp;$T$4&amp;"'!"&amp;Settings!S7)</f>
        <v>9</v>
      </c>
      <c r="Z8" s="155" t="str">
        <f ca="1">INDIRECT("'"&amp;$Z$4&amp;"'!"&amp;Settings!O7)</f>
        <v>Ind D 260</v>
      </c>
      <c r="AA8" s="156">
        <f ca="1">INDIRECT("'"&amp;$Z$4&amp;"'!"&amp;Settings!P7)</f>
        <v>3</v>
      </c>
      <c r="AB8" s="156" t="str">
        <f ca="1">INDIRECT("'"&amp;$Z$4&amp;"'!"&amp;Settings!Q7)</f>
        <v>A</v>
      </c>
      <c r="AC8" s="156">
        <f ca="1">INDIRECT("'"&amp;$Z$4&amp;"'!"&amp;Settings!R7)</f>
        <v>4</v>
      </c>
      <c r="AD8" s="157">
        <f ca="1">INDIRECT("'"&amp;$Z$4&amp;"'!"&amp;Settings!S7)</f>
        <v>12</v>
      </c>
    </row>
    <row r="9" spans="2:30" x14ac:dyDescent="0.25">
      <c r="B9" s="124" t="str">
        <f ca="1">INDIRECT("'"&amp;$B$4&amp;"'!"&amp;Settings!O8)</f>
        <v>Math 165</v>
      </c>
      <c r="C9" s="125">
        <f ca="1">INDIRECT("'"&amp;$B$4&amp;"'!"&amp;Settings!P8)</f>
        <v>4</v>
      </c>
      <c r="D9" s="125" t="str">
        <f ca="1">INDIRECT("'"&amp;$B$4&amp;"'!"&amp;Settings!Q8)</f>
        <v>B-</v>
      </c>
      <c r="E9" s="340">
        <f ca="1">INDIRECT("'"&amp;$B$4&amp;"'!"&amp;Settings!R8)</f>
        <v>2.67</v>
      </c>
      <c r="F9" s="339">
        <f ca="1">INDIRECT("'"&amp;$B$4&amp;"'!"&amp;Settings!S8)</f>
        <v>10.68</v>
      </c>
      <c r="H9" s="124" t="str">
        <f ca="1">INDIRECT("'"&amp;$H$4&amp;"'!"&amp;Settings!O8)</f>
        <v>MatE 273</v>
      </c>
      <c r="I9" s="125">
        <f ca="1">INDIRECT("'"&amp;$H$4&amp;"'!"&amp;Settings!P8)</f>
        <v>3</v>
      </c>
      <c r="J9" s="125" t="str">
        <f ca="1">INDIRECT("'"&amp;$H$4&amp;"'!"&amp;Settings!Q8)</f>
        <v>C-</v>
      </c>
      <c r="K9" s="125">
        <f ca="1">INDIRECT("'"&amp;$H$4&amp;"'!"&amp;Settings!R8)</f>
        <v>1.67</v>
      </c>
      <c r="L9" s="126">
        <f ca="1">INDIRECT("'"&amp;$H$4&amp;"'!"&amp;Settings!S8)</f>
        <v>5.01</v>
      </c>
      <c r="N9" s="124" t="str">
        <f ca="1">INDIRECT("'"&amp;$N$4&amp;"'!"&amp;Settings!O8)</f>
        <v>AerE 351</v>
      </c>
      <c r="O9" s="125">
        <f ca="1">INDIRECT("'"&amp;$N$4&amp;"'!"&amp;Settings!P8)</f>
        <v>3</v>
      </c>
      <c r="P9" s="125" t="str">
        <f ca="1">INDIRECT("'"&amp;$N$4&amp;"'!"&amp;Settings!Q8)</f>
        <v>C</v>
      </c>
      <c r="Q9" s="125">
        <f ca="1">INDIRECT("'"&amp;$N$4&amp;"'!"&amp;Settings!R8)</f>
        <v>2</v>
      </c>
      <c r="R9" s="126">
        <f ca="1">INDIRECT("'"&amp;$N$4&amp;"'!"&amp;Settings!S8)</f>
        <v>6</v>
      </c>
      <c r="T9" s="124" t="str">
        <f ca="1">INDIRECT("'"&amp;$T$4&amp;"'!"&amp;Settings!O8)</f>
        <v>AerE 461</v>
      </c>
      <c r="U9" s="125">
        <f ca="1">INDIRECT("'"&amp;$T$4&amp;"'!"&amp;Settings!P8)</f>
        <v>3</v>
      </c>
      <c r="V9" s="125" t="str">
        <f ca="1">INDIRECT("'"&amp;$T$4&amp;"'!"&amp;Settings!Q8)</f>
        <v>A-</v>
      </c>
      <c r="W9" s="125">
        <f ca="1">INDIRECT("'"&amp;$T$4&amp;"'!"&amp;Settings!R8)</f>
        <v>3.67</v>
      </c>
      <c r="X9" s="126">
        <f ca="1">INDIRECT("'"&amp;$T$4&amp;"'!"&amp;Settings!S8)</f>
        <v>11.01</v>
      </c>
      <c r="Z9" s="155" t="str">
        <f ca="1">INDIRECT("'"&amp;$Z$4&amp;"'!"&amp;Settings!O8)</f>
        <v>Ind D 341</v>
      </c>
      <c r="AA9" s="156">
        <f ca="1">INDIRECT("'"&amp;$Z$4&amp;"'!"&amp;Settings!P8)</f>
        <v>3</v>
      </c>
      <c r="AB9" s="156" t="str">
        <f ca="1">INDIRECT("'"&amp;$Z$4&amp;"'!"&amp;Settings!Q8)</f>
        <v>A</v>
      </c>
      <c r="AC9" s="156">
        <f ca="1">INDIRECT("'"&amp;$Z$4&amp;"'!"&amp;Settings!R8)</f>
        <v>4</v>
      </c>
      <c r="AD9" s="157">
        <f ca="1">INDIRECT("'"&amp;$Z$4&amp;"'!"&amp;Settings!S8)</f>
        <v>12</v>
      </c>
    </row>
    <row r="10" spans="2:30" ht="15.75" thickBot="1" x14ac:dyDescent="0.3">
      <c r="B10" s="127" t="str">
        <f ca="1">INDIRECT("'"&amp;$B$4&amp;"'!"&amp;Settings!O9)</f>
        <v>Engr 101</v>
      </c>
      <c r="C10" s="128" t="str">
        <f ca="1">INDIRECT("'"&amp;$B$4&amp;"'!"&amp;Settings!P9)</f>
        <v>NA</v>
      </c>
      <c r="D10" s="128" t="str">
        <f ca="1">INDIRECT("'"&amp;$B$4&amp;"'!"&amp;Settings!Q9)</f>
        <v>Pass</v>
      </c>
      <c r="E10" s="341" t="str">
        <f ca="1">INDIRECT("'"&amp;$B$4&amp;"'!"&amp;Settings!R9)</f>
        <v>NA</v>
      </c>
      <c r="F10" s="343" t="str">
        <f ca="1">INDIRECT("'"&amp;$B$4&amp;"'!"&amp;Settings!S9)</f>
        <v>NA</v>
      </c>
      <c r="H10" s="124" t="str">
        <f ca="1">INDIRECT("'"&amp;$H$4&amp;"'!"&amp;Settings!O9)</f>
        <v>MATH 265</v>
      </c>
      <c r="I10" s="125">
        <f ca="1">INDIRECT("'"&amp;$H$4&amp;"'!"&amp;Settings!P9)</f>
        <v>4</v>
      </c>
      <c r="J10" s="125" t="str">
        <f ca="1">INDIRECT("'"&amp;$H$4&amp;"'!"&amp;Settings!Q9)</f>
        <v>C+</v>
      </c>
      <c r="K10" s="125">
        <f ca="1">INDIRECT("'"&amp;$H$4&amp;"'!"&amp;Settings!R9)</f>
        <v>2.33</v>
      </c>
      <c r="L10" s="126">
        <f ca="1">INDIRECT("'"&amp;$H$4&amp;"'!"&amp;Settings!S9)</f>
        <v>9.32</v>
      </c>
      <c r="N10" s="124" t="str">
        <f ca="1">INDIRECT("'"&amp;$N$4&amp;"'!"&amp;Settings!O9)</f>
        <v>AerE 355</v>
      </c>
      <c r="O10" s="125">
        <f ca="1">INDIRECT("'"&amp;$N$4&amp;"'!"&amp;Settings!P9)</f>
        <v>3</v>
      </c>
      <c r="P10" s="125" t="str">
        <f ca="1">INDIRECT("'"&amp;$N$4&amp;"'!"&amp;Settings!Q9)</f>
        <v>D</v>
      </c>
      <c r="Q10" s="125">
        <f ca="1">INDIRECT("'"&amp;$N$4&amp;"'!"&amp;Settings!R9)</f>
        <v>1</v>
      </c>
      <c r="R10" s="126">
        <f ca="1">INDIRECT("'"&amp;$N$4&amp;"'!"&amp;Settings!S9)</f>
        <v>3</v>
      </c>
      <c r="T10" s="124" t="str">
        <f ca="1">INDIRECT("'"&amp;$T$4&amp;"'!"&amp;Settings!O9)</f>
        <v>Engl 314</v>
      </c>
      <c r="U10" s="125">
        <f ca="1">INDIRECT("'"&amp;$T$4&amp;"'!"&amp;Settings!P9)</f>
        <v>3</v>
      </c>
      <c r="V10" s="125" t="str">
        <f ca="1">INDIRECT("'"&amp;$T$4&amp;"'!"&amp;Settings!Q9)</f>
        <v>A-</v>
      </c>
      <c r="W10" s="125">
        <f ca="1">INDIRECT("'"&amp;$T$4&amp;"'!"&amp;Settings!R9)</f>
        <v>3.67</v>
      </c>
      <c r="X10" s="126">
        <f ca="1">INDIRECT("'"&amp;$T$4&amp;"'!"&amp;Settings!S9)</f>
        <v>11.01</v>
      </c>
      <c r="Z10" s="155" t="str">
        <f ca="1">INDIRECT("'"&amp;$Z$4&amp;"'!"&amp;Settings!O9)</f>
        <v>DES 230</v>
      </c>
      <c r="AA10" s="156">
        <f ca="1">INDIRECT("'"&amp;$Z$4&amp;"'!"&amp;Settings!P9)</f>
        <v>3</v>
      </c>
      <c r="AB10" s="156" t="str">
        <f ca="1">INDIRECT("'"&amp;$Z$4&amp;"'!"&amp;Settings!Q9)</f>
        <v>A</v>
      </c>
      <c r="AC10" s="156">
        <f ca="1">INDIRECT("'"&amp;$Z$4&amp;"'!"&amp;Settings!R9)</f>
        <v>4</v>
      </c>
      <c r="AD10" s="157">
        <f ca="1">INDIRECT("'"&amp;$Z$4&amp;"'!"&amp;Settings!S9)</f>
        <v>12</v>
      </c>
    </row>
    <row r="11" spans="2:30" ht="15.75" thickBot="1" x14ac:dyDescent="0.3">
      <c r="B11" s="132" t="s">
        <v>208</v>
      </c>
      <c r="C11" s="133">
        <f ca="1">INDIRECT("'"&amp;$B$4&amp;"'!"&amp;Settings!P15)</f>
        <v>14</v>
      </c>
      <c r="D11" s="133" t="str">
        <f ca="1">IF(E11&gt;=4,"A",IF(E11&gt;=3.67,"A-",IF(E11&gt;=3.33,"B+",IF(E11&gt;=3,"B",IF(E11&gt;=2.67,"B-",IF(E11&gt;=2.33,"C+",IF(E11&gt;=2,"C",IF(E11&gt;=1.67,"C-",IF(E11&gt;=1.33,"D+",IF(E11&gt;=0.7,"D","F"))))))))))</f>
        <v>B+</v>
      </c>
      <c r="E11" s="133">
        <f ca="1">INDIRECT("'"&amp;$B$4&amp;"'!"&amp;Settings!$P$14)</f>
        <v>3.3821428571428571</v>
      </c>
      <c r="F11" s="134">
        <f ca="1">INDIRECT("'"&amp;$B$4&amp;"'!"&amp;Settings!$P$16)</f>
        <v>47.35</v>
      </c>
      <c r="H11" s="129" t="str">
        <f ca="1">INDIRECT("'"&amp;$H$4&amp;"'!"&amp;Settings!O10)</f>
        <v>AerE 294x M:2:I</v>
      </c>
      <c r="I11" s="130">
        <f ca="1">INDIRECT("'"&amp;$H$4&amp;"'!"&amp;Settings!P10)</f>
        <v>1</v>
      </c>
      <c r="J11" s="130" t="str">
        <f ca="1">INDIRECT("'"&amp;$H$4&amp;"'!"&amp;Settings!Q10)</f>
        <v>B-</v>
      </c>
      <c r="K11" s="130">
        <f ca="1">INDIRECT("'"&amp;$H$4&amp;"'!"&amp;Settings!R10)</f>
        <v>2.67</v>
      </c>
      <c r="L11" s="131">
        <f ca="1">INDIRECT("'"&amp;$H$4&amp;"'!"&amp;Settings!S10)</f>
        <v>2.67</v>
      </c>
      <c r="N11" s="124" t="str">
        <f ca="1">INDIRECT("'"&amp;$N$4&amp;"'!"&amp;Settings!O10)</f>
        <v>AerE 494x M:2:I (TechE)</v>
      </c>
      <c r="O11" s="125">
        <f ca="1">INDIRECT("'"&amp;$N$4&amp;"'!"&amp;Settings!P10)</f>
        <v>3</v>
      </c>
      <c r="P11" s="125" t="str">
        <f ca="1">INDIRECT("'"&amp;$N$4&amp;"'!"&amp;Settings!Q10)</f>
        <v>A-</v>
      </c>
      <c r="Q11" s="125">
        <f ca="1">INDIRECT("'"&amp;$N$4&amp;"'!"&amp;Settings!R10)</f>
        <v>3.67</v>
      </c>
      <c r="R11" s="126">
        <f ca="1">INDIRECT("'"&amp;$N$4&amp;"'!"&amp;Settings!S10)</f>
        <v>11.01</v>
      </c>
      <c r="T11" s="129" t="str">
        <f ca="1">INDIRECT("'"&amp;$T$4&amp;"'!"&amp;Settings!O10)</f>
        <v>HSMP 385x</v>
      </c>
      <c r="U11" s="130">
        <f ca="1">INDIRECT("'"&amp;$T$4&amp;"'!"&amp;Settings!P10)</f>
        <v>1</v>
      </c>
      <c r="V11" s="130" t="str">
        <f ca="1">INDIRECT("'"&amp;$T$4&amp;"'!"&amp;Settings!Q10)</f>
        <v>Pass</v>
      </c>
      <c r="W11" s="130" t="str">
        <f ca="1">INDIRECT("'"&amp;$T$4&amp;"'!"&amp;Settings!R10)</f>
        <v>NA</v>
      </c>
      <c r="X11" s="131" t="str">
        <f ca="1">INDIRECT("'"&amp;$T$4&amp;"'!"&amp;Settings!S10)</f>
        <v>NA</v>
      </c>
      <c r="Z11" s="158" t="str">
        <f ca="1">INDIRECT("'"&amp;$Z$4&amp;"'!"&amp;Settings!O10)</f>
        <v>Class 6</v>
      </c>
      <c r="AA11" s="159" t="str">
        <f ca="1">INDIRECT("'"&amp;$Z$4&amp;"'!"&amp;Settings!P10)</f>
        <v>NA</v>
      </c>
      <c r="AB11" s="159" t="str">
        <f ca="1">INDIRECT("'"&amp;$Z$4&amp;"'!"&amp;Settings!Q10)</f>
        <v>NA</v>
      </c>
      <c r="AC11" s="159" t="str">
        <f ca="1">INDIRECT("'"&amp;$Z$4&amp;"'!"&amp;Settings!R10)</f>
        <v>NA</v>
      </c>
      <c r="AD11" s="160" t="str">
        <f ca="1">INDIRECT("'"&amp;$Z$4&amp;"'!"&amp;Settings!S10)</f>
        <v>NA</v>
      </c>
    </row>
    <row r="12" spans="2:30" ht="15.75" thickBot="1" x14ac:dyDescent="0.3">
      <c r="B12" s="141"/>
      <c r="C12" s="136"/>
      <c r="D12" s="136"/>
      <c r="E12" s="136"/>
      <c r="F12" s="137"/>
      <c r="H12" s="135" t="s">
        <v>208</v>
      </c>
      <c r="I12" s="136">
        <f ca="1">INDIRECT("'"&amp;$H$4&amp;"'!"&amp;Settings!P15)</f>
        <v>17</v>
      </c>
      <c r="J12" s="136" t="str">
        <f ca="1">IF(K12&gt;=4,"A",IF(K12&gt;=3.67,"A-",IF(K12&gt;=3.33,"B+",IF(K12&gt;=3,"B",IF(K12&gt;=2.67,"B-",IF(K12&gt;=2.33,"C+",IF(K12&gt;=2,"C",IF(K12&gt;=1.67,"C-",IF(K12&gt;=1.33,"D+",IF(K12&gt;=0.7,"D","F"))))))))))</f>
        <v>C+</v>
      </c>
      <c r="K12" s="133">
        <f ca="1">INDIRECT("'"&amp;$H$4&amp;"'!"&amp;Settings!$P$14)</f>
        <v>2.5299999999999998</v>
      </c>
      <c r="L12" s="134">
        <f ca="1">INDIRECT("'"&amp;$H$4&amp;"'!"&amp;Settings!$P$16)</f>
        <v>43.01</v>
      </c>
      <c r="N12" s="138" t="str">
        <f ca="1">INDIRECT("'"&amp;$N$4&amp;"'!"&amp;Settings!O11)</f>
        <v>AerE 301</v>
      </c>
      <c r="O12" s="139" t="str">
        <f ca="1">INDIRECT("'"&amp;$N$4&amp;"'!"&amp;Settings!P11)</f>
        <v>NA</v>
      </c>
      <c r="P12" s="139" t="str">
        <f ca="1">INDIRECT("'"&amp;$N$4&amp;"'!"&amp;Settings!Q11)</f>
        <v>Pass</v>
      </c>
      <c r="Q12" s="139" t="str">
        <f ca="1">INDIRECT("'"&amp;$N$4&amp;"'!"&amp;Settings!R11)</f>
        <v>NA</v>
      </c>
      <c r="R12" s="140" t="str">
        <f ca="1">INDIRECT("'"&amp;$N$4&amp;"'!"&amp;Settings!S11)</f>
        <v>NA</v>
      </c>
      <c r="T12" s="135" t="s">
        <v>208</v>
      </c>
      <c r="U12" s="136">
        <f ca="1">SUM(U6:U11)</f>
        <v>16</v>
      </c>
      <c r="V12" s="136" t="str">
        <f ca="1">IF(W12&gt;=4,"A",IF(W12&gt;=3.67,"A-",IF(W12&gt;=3.33,"B+",IF(W12&gt;=3,"B",IF(W12&gt;=2.67,"B-",IF(W12&gt;=2.33,"C+",IF(W12&gt;=2,"C",IF(W12&gt;=1.67,"C-",IF(W12&gt;=1.33,"D+",IF(W12&gt;=0.7,"D","F"))))))))))</f>
        <v>B+</v>
      </c>
      <c r="W12" s="136">
        <f ca="1">INDIRECT("'"&amp;$T$4&amp;"'!"&amp;Settings!$P$14)</f>
        <v>3.4175</v>
      </c>
      <c r="X12" s="137">
        <f ca="1">INDIRECT("'"&amp;$T$4&amp;"'!"&amp;Settings!$P$16)</f>
        <v>41.01</v>
      </c>
      <c r="Z12" s="161" t="s">
        <v>208</v>
      </c>
      <c r="AA12" s="162">
        <f ca="1">SUM(AA6:AA11)</f>
        <v>15</v>
      </c>
      <c r="AB12" s="136" t="str">
        <f ca="1">IF(AC12&gt;=4,"A",IF(AC12&gt;=3.67,"A-",IF(AC12&gt;=3.33,"B+",IF(AC12&gt;=3,"B",IF(AC12&gt;=2.67,"B-",IF(AC12&gt;=2.33,"C+",IF(AC12&gt;=2,"C",IF(AC12&gt;=1.67,"C-",IF(AC12&gt;=1.33,"D+",IF(AC12&gt;=0.7,"D","F"))))))))))</f>
        <v>B+</v>
      </c>
      <c r="AC12" s="162">
        <f ca="1">INDIRECT("'"&amp;$Z$4&amp;"'!"&amp;Settings!$P$14)</f>
        <v>3.5339999999999998</v>
      </c>
      <c r="AD12" s="163">
        <f ca="1">INDIRECT("'"&amp;$Z$4&amp;"'!"&amp;Settings!$P$16)</f>
        <v>53.01</v>
      </c>
    </row>
    <row r="13" spans="2:30" ht="15.75" customHeight="1" x14ac:dyDescent="0.25">
      <c r="B13" s="141"/>
      <c r="C13" s="136"/>
      <c r="D13" s="136"/>
      <c r="E13" s="136"/>
      <c r="F13" s="137"/>
      <c r="H13" s="141"/>
      <c r="I13" s="136"/>
      <c r="J13" s="136"/>
      <c r="K13" s="136"/>
      <c r="L13" s="137"/>
      <c r="N13" s="135" t="s">
        <v>208</v>
      </c>
      <c r="O13" s="136">
        <f ca="1">INDIRECT("'"&amp;$N$4&amp;"'!"&amp;Settings!P15)</f>
        <v>17</v>
      </c>
      <c r="P13" s="136" t="str">
        <f ca="1">IF(Q13&gt;=4,"A",IF(Q13&gt;=3.67,"A-",IF(Q13&gt;=3.33,"B+",IF(Q13&gt;=3,"B",IF(Q13&gt;=2.67,"B-",IF(Q13&gt;=2.33,"C+",IF(Q13&gt;=2,"C",IF(Q13&gt;=1.67,"C-",IF(Q13&gt;=1.33,"D+",IF(Q13&gt;=0.7,"D","F"))))))))))</f>
        <v>C+</v>
      </c>
      <c r="Q13" s="168">
        <f ca="1">INDIRECT("'"&amp;$N$4&amp;"'!"&amp;Settings!$P$14)</f>
        <v>2.4517647058823528</v>
      </c>
      <c r="R13" s="137">
        <f ca="1">INDIRECT("'"&amp;$N$4&amp;"'!"&amp;Settings!$P$16)</f>
        <v>41.68</v>
      </c>
      <c r="T13" s="141"/>
      <c r="U13" s="136"/>
      <c r="V13" s="136"/>
      <c r="W13" s="136"/>
      <c r="X13" s="137"/>
      <c r="Z13" s="164"/>
      <c r="AA13" s="162"/>
      <c r="AB13" s="162"/>
      <c r="AC13" s="162"/>
      <c r="AD13" s="163"/>
    </row>
    <row r="14" spans="2:30" ht="15.75" thickBot="1" x14ac:dyDescent="0.3">
      <c r="B14" s="138" t="s">
        <v>209</v>
      </c>
      <c r="C14" s="139">
        <f ca="1">SUM(C11,C41)</f>
        <v>25</v>
      </c>
      <c r="D14" s="139" t="str">
        <f ca="1">IF(E14&gt;=4,"A",IF(E14&gt;=3.67,"A-",IF(E14&gt;=3.33,"B+",IF(E14&gt;=3,"B",IF(E14&gt;=2.67,"B-",IF(E14&gt;=2.33,"C+",IF(E14&gt;=2,"C",IF(E14&gt;=1.67,"C-",IF(E14&gt;=1.33,"D+",IF(E14&gt;=0.7,"D","F"))))))))))</f>
        <v>B+</v>
      </c>
      <c r="E14" s="139">
        <f ca="1">F14/(C14-C41)</f>
        <v>3.3821428571428571</v>
      </c>
      <c r="F14" s="140">
        <f ca="1">SUM(F11)</f>
        <v>47.35</v>
      </c>
      <c r="H14" s="138" t="s">
        <v>209</v>
      </c>
      <c r="I14" s="139">
        <f ca="1">SUM(C26,I12,C33)</f>
        <v>66</v>
      </c>
      <c r="J14" s="139" t="str">
        <f ca="1">IF(K14&gt;=4,"A",IF(K14&gt;=3.67,"A-",IF(K14&gt;=3.33,"B+",IF(K14&gt;=3,"B",IF(K14&gt;=2.67,"B-",IF(K14&gt;=2.33,"C+",IF(K14&gt;=2,"C",IF(K14&gt;=1.67,"C-",IF(K14&gt;=1.33,"D+",IF(K14&gt;=0.7,"D","F"))))))))))</f>
        <v>B-</v>
      </c>
      <c r="K14" s="139">
        <f ca="1">L14/(I14-SUM(C41,C33,C24,C21))</f>
        <v>2.8126086956521736</v>
      </c>
      <c r="L14" s="140">
        <f ca="1">SUM(F26,L12)</f>
        <v>129.38</v>
      </c>
      <c r="N14" s="138" t="s">
        <v>209</v>
      </c>
      <c r="O14" s="139">
        <f ca="1">SUM(I26,O13,I33)</f>
        <v>101</v>
      </c>
      <c r="P14" s="139" t="str">
        <f ca="1">IF(Q14&gt;=4,"A",IF(Q14&gt;=3.67,"A-",IF(Q14&gt;=3.33,"B+",IF(Q14&gt;=3,"B",IF(Q14&gt;=2.67,"B-",IF(Q14&gt;=2.33,"C+",IF(Q14&gt;=2,"C",IF(Q14&gt;=1.67,"C-",IF(Q14&gt;=1.33,"D+",IF(Q14&gt;=0.7,"D","F"))))))))))</f>
        <v>B-</v>
      </c>
      <c r="Q14" s="169">
        <f ca="1">(R14)/(O14-SUM(C41,C33,I33,C24,C21))</f>
        <v>2.7368831168831171</v>
      </c>
      <c r="R14" s="140">
        <f ca="1">SUM(R13,L26)</f>
        <v>210.74</v>
      </c>
      <c r="T14" s="138" t="s">
        <v>209</v>
      </c>
      <c r="U14" s="139">
        <f ca="1">SUM(U12,O26,O33)</f>
        <v>135</v>
      </c>
      <c r="V14" s="139" t="str">
        <f ca="1">IF(W14&gt;=4,"A",IF(W14&gt;=3.67,"A-",IF(W14&gt;=3.33,"B+",IF(W14&gt;=3,"B",IF(W14&gt;=2.67,"B-",IF(W14&gt;=2.33,"C+",IF(W14&gt;=2,"C",IF(W14&gt;=1.67,"C-",IF(W14&gt;=1.33,"D+",IF(W14&gt;=0.7,"D","F"))))))))))</f>
        <v>B-</v>
      </c>
      <c r="W14" s="139">
        <f ca="1">X14/(U14-SUM(C41,C33,I33,C21,C24,4))</f>
        <v>2.8670093457943921</v>
      </c>
      <c r="X14" s="140">
        <f ca="1">SUM(R26,X12)</f>
        <v>306.77</v>
      </c>
      <c r="Z14" s="165" t="s">
        <v>209</v>
      </c>
      <c r="AA14" s="166">
        <f ca="1">SUM(AA12,U26)</f>
        <v>153</v>
      </c>
      <c r="AB14" s="139" t="str">
        <f ca="1">IF(AC14&gt;=4,"A",IF(AC14&gt;=3.67,"A-",IF(AC14&gt;=3.33,"B+",IF(AC14&gt;=3,"B",IF(AC14&gt;=2.67,"B-",IF(AC14&gt;=2.33,"C+",IF(AC14&gt;=2,"C",IF(AC14&gt;=1.67,"C-",IF(AC14&gt;=1.33,"D+",IF(AC14&gt;=0.7,"D","F"))))))))))</f>
        <v>B-</v>
      </c>
      <c r="AC14" s="166">
        <f ca="1">AD14/(AA14-SUM(C41,C33,I33,C21,C24,4))</f>
        <v>2.9581599999999999</v>
      </c>
      <c r="AD14" s="167">
        <f ca="1">SUM(AD12,X26)</f>
        <v>369.77</v>
      </c>
    </row>
    <row r="15" spans="2:30" ht="15" customHeight="1" thickBot="1" x14ac:dyDescent="0.3"/>
    <row r="16" spans="2:30" ht="15" customHeight="1" x14ac:dyDescent="0.25">
      <c r="B16" s="428" t="s">
        <v>129</v>
      </c>
      <c r="C16" s="429"/>
      <c r="D16" s="429"/>
      <c r="E16" s="429"/>
      <c r="F16" s="430"/>
      <c r="H16" s="423" t="s">
        <v>146</v>
      </c>
      <c r="I16" s="424"/>
      <c r="J16" s="424"/>
      <c r="K16" s="424"/>
      <c r="L16" s="425"/>
      <c r="N16" s="434" t="s">
        <v>119</v>
      </c>
      <c r="O16" s="435"/>
      <c r="P16" s="435"/>
      <c r="Q16" s="435"/>
      <c r="R16" s="436"/>
      <c r="T16" s="420" t="s">
        <v>436</v>
      </c>
      <c r="U16" s="421"/>
      <c r="V16" s="421"/>
      <c r="W16" s="421"/>
      <c r="X16" s="422"/>
    </row>
    <row r="17" spans="2:24" ht="15.75" thickBot="1" x14ac:dyDescent="0.3">
      <c r="B17" s="107" t="s">
        <v>204</v>
      </c>
      <c r="C17" s="108" t="s">
        <v>102</v>
      </c>
      <c r="D17" s="108" t="s">
        <v>98</v>
      </c>
      <c r="E17" s="108" t="s">
        <v>96</v>
      </c>
      <c r="F17" s="109" t="s">
        <v>95</v>
      </c>
      <c r="H17" s="142" t="s">
        <v>204</v>
      </c>
      <c r="I17" s="143" t="s">
        <v>102</v>
      </c>
      <c r="J17" s="143" t="s">
        <v>98</v>
      </c>
      <c r="K17" s="143" t="s">
        <v>96</v>
      </c>
      <c r="L17" s="144" t="s">
        <v>95</v>
      </c>
      <c r="N17" s="113" t="s">
        <v>204</v>
      </c>
      <c r="O17" s="114" t="s">
        <v>102</v>
      </c>
      <c r="P17" s="114" t="s">
        <v>98</v>
      </c>
      <c r="Q17" s="114" t="s">
        <v>96</v>
      </c>
      <c r="R17" s="115" t="s">
        <v>95</v>
      </c>
      <c r="T17" s="358" t="s">
        <v>211</v>
      </c>
      <c r="U17" s="359" t="s">
        <v>102</v>
      </c>
      <c r="V17" s="359" t="s">
        <v>98</v>
      </c>
      <c r="W17" s="359" t="s">
        <v>96</v>
      </c>
      <c r="X17" s="360" t="s">
        <v>95</v>
      </c>
    </row>
    <row r="18" spans="2:24" ht="16.5" thickTop="1" thickBot="1" x14ac:dyDescent="0.3">
      <c r="B18" s="119" t="str">
        <f ca="1">INDIRECT("'"&amp;$B$16&amp;"'!"&amp;Settings!O5)</f>
        <v>AerE 161</v>
      </c>
      <c r="C18" s="120">
        <f ca="1">INDIRECT("'"&amp;$B$16&amp;"'!"&amp;Settings!P5)</f>
        <v>3</v>
      </c>
      <c r="D18" s="120" t="str">
        <f ca="1">INDIRECT("'"&amp;$B$16&amp;"'!"&amp;Settings!Q5)</f>
        <v>B</v>
      </c>
      <c r="E18" s="337">
        <f ca="1">INDIRECT("'"&amp;$B$16&amp;"'!"&amp;Settings!R5)</f>
        <v>3</v>
      </c>
      <c r="F18" s="338">
        <f ca="1">INDIRECT("'"&amp;$B$16&amp;"'!"&amp;Settings!S5)</f>
        <v>9</v>
      </c>
      <c r="H18" s="119" t="str">
        <f ca="1">INDIRECT("'"&amp;$H$16&amp;"'!"&amp;Settings!O5)</f>
        <v>MATH 267</v>
      </c>
      <c r="I18" s="120">
        <f ca="1">INDIRECT("'"&amp;$H$16&amp;"'!"&amp;Settings!P5)</f>
        <v>0</v>
      </c>
      <c r="J18" s="120" t="str">
        <f ca="1">INDIRECT("'"&amp;$H$16&amp;"'!"&amp;Settings!Q5)</f>
        <v>NA</v>
      </c>
      <c r="K18" s="120" t="str">
        <f ca="1">INDIRECT("'"&amp;$H$16&amp;"'!"&amp;Settings!R5)</f>
        <v>NA</v>
      </c>
      <c r="L18" s="123" t="str">
        <f ca="1">INDIRECT("'"&amp;$H$16&amp;"'!"&amp;Settings!S5)</f>
        <v>NA</v>
      </c>
      <c r="N18" s="121" t="str">
        <f ca="1">INDIRECT("'"&amp;$N$16&amp;"'!"&amp;ADDRESS(6,3))</f>
        <v>AerE 421</v>
      </c>
      <c r="O18" s="122">
        <f ca="1">INDIRECT("'"&amp;$N$16&amp;"'!"&amp;ADDRESS(8,5))</f>
        <v>3</v>
      </c>
      <c r="P18" s="122" t="str">
        <f ca="1">INDIRECT("'"&amp;$N$16&amp;"'!"&amp;ADDRESS(10,4))</f>
        <v>C</v>
      </c>
      <c r="Q18" s="122">
        <f ca="1">INDIRECT("'"&amp;$N$16&amp;"'!"&amp;ADDRESS(11,4))</f>
        <v>2</v>
      </c>
      <c r="R18" s="123">
        <f ca="1">INDIRECT("'"&amp;$N$16&amp;"'!"&amp;ADDRESS(11,4))</f>
        <v>2</v>
      </c>
      <c r="T18" s="361" t="str">
        <f ca="1">INDIRECT("'"&amp;$T$16&amp;"'!"&amp;Settings!O5)</f>
        <v>CL ST 273  (GenEd)</v>
      </c>
      <c r="U18" s="362">
        <f ca="1">INDIRECT("'"&amp;$T$16&amp;"'!"&amp;Settings!P5)</f>
        <v>3</v>
      </c>
      <c r="V18" s="362" t="str">
        <f ca="1">INDIRECT("'"&amp;$T$16&amp;"'!"&amp;Settings!Q5)</f>
        <v>B+</v>
      </c>
      <c r="W18" s="362">
        <f ca="1">INDIRECT("'"&amp;$T$16&amp;"'!"&amp;Settings!R5)</f>
        <v>3.33</v>
      </c>
      <c r="X18" s="363">
        <f ca="1">INDIRECT("'"&amp;$T$16&amp;"'!"&amp;Settings!S5)</f>
        <v>9.99</v>
      </c>
    </row>
    <row r="19" spans="2:24" x14ac:dyDescent="0.25">
      <c r="B19" s="124" t="str">
        <f ca="1">INDIRECT("'"&amp;$B$16&amp;"'!"&amp;Settings!O6)</f>
        <v>AerE 192</v>
      </c>
      <c r="C19" s="125">
        <f ca="1">INDIRECT("'"&amp;$B$16&amp;"'!"&amp;Settings!P6)</f>
        <v>0</v>
      </c>
      <c r="D19" s="125" t="str">
        <f ca="1">INDIRECT("'"&amp;$B$16&amp;"'!"&amp;Settings!Q6)</f>
        <v>Pass</v>
      </c>
      <c r="E19" s="337" t="str">
        <f ca="1">INDIRECT("'"&amp;$B$16&amp;"'!"&amp;Settings!R6)</f>
        <v>NA</v>
      </c>
      <c r="F19" s="339" t="str">
        <f ca="1">INDIRECT("'"&amp;$B$16&amp;"'!"&amp;Settings!S6)</f>
        <v>NA</v>
      </c>
      <c r="H19" s="124" t="str">
        <f ca="1">INDIRECT("'"&amp;$H$16&amp;"'!"&amp;Settings!O6)</f>
        <v>ME 231</v>
      </c>
      <c r="I19" s="125">
        <f ca="1">INDIRECT("'"&amp;$H$16&amp;"'!"&amp;Settings!P6)</f>
        <v>3</v>
      </c>
      <c r="J19" s="125" t="str">
        <f ca="1">INDIRECT("'"&amp;$H$16&amp;"'!"&amp;Settings!Q6)</f>
        <v>B</v>
      </c>
      <c r="K19" s="125">
        <f ca="1">INDIRECT("'"&amp;$H$16&amp;"'!"&amp;Settings!R6)</f>
        <v>3</v>
      </c>
      <c r="L19" s="126">
        <f ca="1">INDIRECT("'"&amp;$H$16&amp;"'!"&amp;Settings!S6)</f>
        <v>9</v>
      </c>
      <c r="N19" s="124" t="str">
        <f ca="1">INDIRECT("'"&amp;$N$16&amp;"'!"&amp;ADDRESS(6,9))</f>
        <v>AerE 311</v>
      </c>
      <c r="O19" s="125">
        <f ca="1">INDIRECT("'"&amp;$N$16&amp;"'!"&amp;ADDRESS(8,11))</f>
        <v>3</v>
      </c>
      <c r="P19" s="125" t="str">
        <f ca="1">INDIRECT("'"&amp;$N$16&amp;"'!"&amp;ADDRESS(10,10))</f>
        <v>C</v>
      </c>
      <c r="Q19" s="125">
        <f ca="1">INDIRECT("'"&amp;$N$16&amp;"'!"&amp;ADDRESS(11,10))</f>
        <v>2</v>
      </c>
      <c r="R19" s="126">
        <f ca="1">INDIRECT("'"&amp;$N$16&amp;"'!"&amp;ADDRESS(11,10))</f>
        <v>2</v>
      </c>
      <c r="T19" s="161" t="s">
        <v>208</v>
      </c>
      <c r="U19" s="162">
        <f ca="1">SUM(U18:U18)</f>
        <v>3</v>
      </c>
      <c r="V19" s="136" t="str">
        <f ca="1">IF(W19&gt;=4,"A",IF(W19&gt;=3.67,"A-",IF(W19&gt;=3.33,"B+",IF(W19&gt;=3,"B",IF(W19&gt;=2.67,"B-",IF(W19&gt;=2.33,"C+",IF(W19&gt;=2,"C",IF(W19&gt;=1.67,"C-",IF(W19&gt;=1.33,"D+",IF(W19&gt;=0.7,"D","F"))))))))))</f>
        <v>B+</v>
      </c>
      <c r="W19" s="162">
        <f ca="1">INDIRECT("'"&amp;$T$16&amp;"'!"&amp;Settings!$P$14)</f>
        <v>3.33</v>
      </c>
      <c r="X19" s="163">
        <f ca="1">INDIRECT("'"&amp;$T$16&amp;"'!"&amp;Settings!$P$16)</f>
        <v>9.99</v>
      </c>
    </row>
    <row r="20" spans="2:24" x14ac:dyDescent="0.25">
      <c r="B20" s="124" t="str">
        <f ca="1">INDIRECT("'"&amp;$B$16&amp;"'!"&amp;Settings!O7)</f>
        <v>Engl 250</v>
      </c>
      <c r="C20" s="125">
        <f ca="1">INDIRECT("'"&amp;$B$16&amp;"'!"&amp;Settings!P7)</f>
        <v>3</v>
      </c>
      <c r="D20" s="125" t="str">
        <f ca="1">INDIRECT("'"&amp;$B$16&amp;"'!"&amp;Settings!Q7)</f>
        <v>B+</v>
      </c>
      <c r="E20" s="340">
        <f ca="1">INDIRECT("'"&amp;$B$16&amp;"'!"&amp;Settings!R7)</f>
        <v>3.33</v>
      </c>
      <c r="F20" s="339">
        <f ca="1">INDIRECT("'"&amp;$B$16&amp;"'!"&amp;Settings!S7)</f>
        <v>9.99</v>
      </c>
      <c r="H20" s="124" t="str">
        <f ca="1">INDIRECT("'"&amp;$H$16&amp;"'!"&amp;Settings!O7)</f>
        <v>EM 345</v>
      </c>
      <c r="I20" s="125">
        <f ca="1">INDIRECT("'"&amp;$H$16&amp;"'!"&amp;Settings!P7)</f>
        <v>3</v>
      </c>
      <c r="J20" s="125" t="str">
        <f ca="1">INDIRECT("'"&amp;$H$16&amp;"'!"&amp;Settings!Q7)</f>
        <v>C-</v>
      </c>
      <c r="K20" s="125">
        <f ca="1">INDIRECT("'"&amp;$H$16&amp;"'!"&amp;Settings!R7)</f>
        <v>1.67</v>
      </c>
      <c r="L20" s="126">
        <f ca="1">INDIRECT("'"&amp;$H$16&amp;"'!"&amp;Settings!S7)</f>
        <v>5.01</v>
      </c>
      <c r="N20" s="124" t="str">
        <f ca="1">INDIRECT("'"&amp;$N$16&amp;"'!"&amp;ADDRESS(6,15))</f>
        <v>AerE 344</v>
      </c>
      <c r="O20" s="125">
        <f ca="1">INDIRECT("'"&amp;$N$16&amp;"'!"&amp;ADDRESS(8,17))</f>
        <v>3</v>
      </c>
      <c r="P20" s="125" t="str">
        <f ca="1">INDIRECT("'"&amp;$N$16&amp;"'!"&amp;ADDRESS(10,16))</f>
        <v>A</v>
      </c>
      <c r="Q20" s="125">
        <f ca="1">INDIRECT("'"&amp;$N$16&amp;"'!"&amp;ADDRESS(11,16))</f>
        <v>4</v>
      </c>
      <c r="R20" s="126">
        <f ca="1">INDIRECT("'"&amp;$N$16&amp;"'!"&amp;ADDRESS(11,16))</f>
        <v>4</v>
      </c>
      <c r="T20" s="164"/>
      <c r="U20" s="162"/>
      <c r="V20" s="162"/>
      <c r="W20" s="162"/>
      <c r="X20" s="163"/>
    </row>
    <row r="21" spans="2:24" x14ac:dyDescent="0.25">
      <c r="B21" s="124" t="str">
        <f ca="1">INDIRECT("'"&amp;$B$16&amp;"'!"&amp;Settings!O8)</f>
        <v>Libr 160</v>
      </c>
      <c r="C21" s="125">
        <f ca="1">INDIRECT("'"&amp;$B$16&amp;"'!"&amp;Settings!P8)</f>
        <v>1</v>
      </c>
      <c r="D21" s="125" t="str">
        <f ca="1">INDIRECT("'"&amp;$B$16&amp;"'!"&amp;Settings!Q8)</f>
        <v>Pass</v>
      </c>
      <c r="E21" s="340" t="str">
        <f ca="1">INDIRECT("'"&amp;$B$16&amp;"'!"&amp;Settings!R8)</f>
        <v>NA</v>
      </c>
      <c r="F21" s="339" t="str">
        <f ca="1">INDIRECT("'"&amp;$B$16&amp;"'!"&amp;Settings!S8)</f>
        <v>NA</v>
      </c>
      <c r="H21" s="124" t="str">
        <f ca="1">INDIRECT("'"&amp;$H$16&amp;"'!"&amp;Settings!O8)</f>
        <v>EM 324</v>
      </c>
      <c r="I21" s="125">
        <f ca="1">INDIRECT("'"&amp;$H$16&amp;"'!"&amp;Settings!P8)</f>
        <v>3</v>
      </c>
      <c r="J21" s="125" t="str">
        <f ca="1">INDIRECT("'"&amp;$H$16&amp;"'!"&amp;Settings!Q8)</f>
        <v>C</v>
      </c>
      <c r="K21" s="125">
        <f ca="1">INDIRECT("'"&amp;$H$16&amp;"'!"&amp;Settings!R8)</f>
        <v>2</v>
      </c>
      <c r="L21" s="126">
        <f ca="1">INDIRECT("'"&amp;$H$16&amp;"'!"&amp;Settings!S8)</f>
        <v>6</v>
      </c>
      <c r="N21" s="124" t="str">
        <f ca="1">INDIRECT("'"&amp;$N$16&amp;"'!"&amp;ADDRESS(6,21))</f>
        <v>AerE 361</v>
      </c>
      <c r="O21" s="125">
        <f ca="1">INDIRECT("'"&amp;$N$16&amp;"'!"&amp;ADDRESS(8,23))</f>
        <v>3</v>
      </c>
      <c r="P21" s="125" t="str">
        <f ca="1">INDIRECT("'"&amp;$N$16&amp;"'!"&amp;ADDRESS(10,22))</f>
        <v>B-</v>
      </c>
      <c r="Q21" s="125">
        <f ca="1">INDIRECT("'"&amp;$N$16&amp;"'!"&amp;ADDRESS(11,22))</f>
        <v>2.67</v>
      </c>
      <c r="R21" s="126">
        <f ca="1">INDIRECT("'"&amp;$N$16&amp;"'!"&amp;ADDRESS(11,22))</f>
        <v>2.67</v>
      </c>
      <c r="T21" s="164"/>
      <c r="U21" s="162"/>
      <c r="V21" s="162"/>
      <c r="W21" s="162"/>
      <c r="X21" s="163"/>
    </row>
    <row r="22" spans="2:24" x14ac:dyDescent="0.25">
      <c r="B22" s="124" t="str">
        <f ca="1">INDIRECT("'"&amp;$B$16&amp;"'!"&amp;Settings!O9)</f>
        <v>Math 166</v>
      </c>
      <c r="C22" s="125">
        <f ca="1">INDIRECT("'"&amp;$B$16&amp;"'!"&amp;Settings!P9)</f>
        <v>4</v>
      </c>
      <c r="D22" s="125" t="str">
        <f ca="1">INDIRECT("'"&amp;$B$16&amp;"'!"&amp;Settings!Q9)</f>
        <v>C-</v>
      </c>
      <c r="E22" s="340">
        <f ca="1">INDIRECT("'"&amp;$B$16&amp;"'!"&amp;Settings!R9)</f>
        <v>1.67</v>
      </c>
      <c r="F22" s="339">
        <f ca="1">INDIRECT("'"&amp;$B$16&amp;"'!"&amp;Settings!S9)</f>
        <v>6.68</v>
      </c>
      <c r="H22" s="124" t="str">
        <f ca="1">INDIRECT("'"&amp;$H$16&amp;"'!"&amp;Settings!O9)</f>
        <v>DES 242X</v>
      </c>
      <c r="I22" s="125">
        <f ca="1">INDIRECT("'"&amp;$H$16&amp;"'!"&amp;Settings!P9)</f>
        <v>4</v>
      </c>
      <c r="J22" s="125" t="str">
        <f ca="1">INDIRECT("'"&amp;$H$16&amp;"'!"&amp;Settings!Q9)</f>
        <v>A</v>
      </c>
      <c r="K22" s="125">
        <f ca="1">INDIRECT("'"&amp;$H$16&amp;"'!"&amp;Settings!R9)</f>
        <v>4</v>
      </c>
      <c r="L22" s="126">
        <f ca="1">INDIRECT("'"&amp;$H$16&amp;"'!"&amp;Settings!S9)</f>
        <v>16</v>
      </c>
      <c r="N22" s="124" t="str">
        <f ca="1">INDIRECT("'"&amp;$N$16&amp;"'!"&amp;ADDRESS(6,27))</f>
        <v>C E 490 (TechE)</v>
      </c>
      <c r="O22" s="125">
        <f ca="1">INDIRECT("'"&amp;$N$16&amp;"'!"&amp;ADDRESS(8,5))</f>
        <v>3</v>
      </c>
      <c r="P22" s="125" t="str">
        <f ca="1">INDIRECT("'"&amp;$N$16&amp;"'!"&amp;ADDRESS(10,28))</f>
        <v>A</v>
      </c>
      <c r="Q22" s="125">
        <f ca="1">INDIRECT("'"&amp;$N$16&amp;"'!"&amp;ADDRESS(11,28))</f>
        <v>4</v>
      </c>
      <c r="R22" s="126">
        <f ca="1">INDIRECT("'"&amp;$N$16&amp;"'!"&amp;ADDRESS(11,28))</f>
        <v>4</v>
      </c>
      <c r="T22" s="164"/>
      <c r="U22" s="162"/>
      <c r="V22" s="162"/>
      <c r="W22" s="162"/>
      <c r="X22" s="163"/>
    </row>
    <row r="23" spans="2:24" ht="15.75" thickBot="1" x14ac:dyDescent="0.3">
      <c r="B23" s="124" t="str">
        <f ca="1">INDIRECT("'"&amp;$B$16&amp;"'!"&amp;Settings!O10)</f>
        <v>PHYS 221</v>
      </c>
      <c r="C23" s="125">
        <f ca="1">INDIRECT("'"&amp;$B$16&amp;"'!"&amp;Settings!P10)</f>
        <v>5</v>
      </c>
      <c r="D23" s="125" t="str">
        <f ca="1">INDIRECT("'"&amp;$B$16&amp;"'!"&amp;Settings!Q10)</f>
        <v>B-</v>
      </c>
      <c r="E23" s="340">
        <f ca="1">INDIRECT("'"&amp;$B$16&amp;"'!"&amp;Settings!R10)</f>
        <v>2.67</v>
      </c>
      <c r="F23" s="339">
        <f ca="1">INDIRECT("'"&amp;$B$16&amp;"'!"&amp;Settings!S10)</f>
        <v>13.35</v>
      </c>
      <c r="H23" s="129" t="str">
        <f ca="1">INDIRECT("'"&amp;$H$16&amp;"'!"&amp;Settings!O10)</f>
        <v>AerE 294x M:2:I</v>
      </c>
      <c r="I23" s="130">
        <f ca="1">INDIRECT("'"&amp;$H$16&amp;"'!"&amp;Settings!P10)</f>
        <v>1</v>
      </c>
      <c r="J23" s="130" t="str">
        <f ca="1">INDIRECT("'"&amp;$H$16&amp;"'!"&amp;Settings!Q10)</f>
        <v>A-</v>
      </c>
      <c r="K23" s="130">
        <f ca="1">INDIRECT("'"&amp;$H$16&amp;"'!"&amp;Settings!R10)</f>
        <v>3.67</v>
      </c>
      <c r="L23" s="131">
        <f ca="1">INDIRECT("'"&amp;$H$16&amp;"'!"&amp;Settings!S10)</f>
        <v>3.67</v>
      </c>
      <c r="N23" s="129" t="str">
        <f ca="1">INDIRECT("'"&amp;$N$16&amp;"'!"&amp;ADDRESS(6,33))</f>
        <v>AerE 494x M:2:I (TechE)</v>
      </c>
      <c r="O23" s="130">
        <f ca="1">INDIRECT("'"&amp;$N$16&amp;"'!"&amp;ADDRESS(8,29))</f>
        <v>3</v>
      </c>
      <c r="P23" s="130" t="str">
        <f ca="1">INDIRECT("'"&amp;$N$16&amp;"'!"&amp;ADDRESS(10,34))</f>
        <v>A-</v>
      </c>
      <c r="Q23" s="130">
        <f ca="1">INDIRECT("'"&amp;$N$16&amp;"'!"&amp;ADDRESS(11,34))</f>
        <v>3.67</v>
      </c>
      <c r="R23" s="131">
        <f ca="1">INDIRECT("'"&amp;$N$16&amp;"'!"&amp;ADDRESS(11,34))</f>
        <v>3.67</v>
      </c>
      <c r="T23" s="164"/>
      <c r="U23" s="162"/>
      <c r="V23" s="162"/>
      <c r="W23" s="162"/>
      <c r="X23" s="163"/>
    </row>
    <row r="24" spans="2:24" ht="15.75" thickBot="1" x14ac:dyDescent="0.3">
      <c r="B24" s="127" t="str">
        <f ca="1">INDIRECT("'"&amp;$B$16&amp;"'!"&amp;Settings!O11)</f>
        <v>Engl 150</v>
      </c>
      <c r="C24" s="128">
        <f ca="1">INDIRECT("'"&amp;$B$16&amp;"'!"&amp;Settings!P11)</f>
        <v>3</v>
      </c>
      <c r="D24" s="128" t="str">
        <f ca="1">INDIRECT("'"&amp;$B$16&amp;"'!"&amp;Settings!Q11)</f>
        <v>Pass</v>
      </c>
      <c r="E24" s="341" t="str">
        <f ca="1">INDIRECT("'"&amp;$B$16&amp;"'!"&amp;Settings!R11)</f>
        <v>NA</v>
      </c>
      <c r="F24" s="342" t="str">
        <f ca="1">INDIRECT("'"&amp;$B$16&amp;"'!"&amp;Settings!S11)</f>
        <v>NA</v>
      </c>
      <c r="H24" s="135" t="s">
        <v>208</v>
      </c>
      <c r="I24" s="136">
        <f ca="1">INDIRECT("'"&amp;$H$16&amp;"'!"&amp;Settings!P15)</f>
        <v>14</v>
      </c>
      <c r="J24" s="136" t="str">
        <f ca="1">IF(K24&gt;=4,"A",IF(K24&gt;=3.67,"A-",IF(K24&gt;=3.33,"B+",IF(K24&gt;=3,"B",IF(K24&gt;=2.67,"B-",IF(K24&gt;=2.33,"C+",IF(K24&gt;=2,"C",IF(K24&gt;=1.67,"C-",IF(K24&gt;=1.33,"D+",IF(K24&gt;=0.7,"D","F"))))))))))</f>
        <v>B-</v>
      </c>
      <c r="K24" s="133">
        <f ca="1">INDIRECT("'"&amp;$H$16&amp;"'!"&amp;Settings!$P$14)</f>
        <v>2.8342857142857141</v>
      </c>
      <c r="L24" s="134">
        <f ca="1">INDIRECT("'"&amp;$H$16&amp;"'!"&amp;Settings!$P$16)</f>
        <v>39.68</v>
      </c>
      <c r="N24" s="132" t="s">
        <v>208</v>
      </c>
      <c r="O24" s="136">
        <f ca="1">INDIRECT("'"&amp;$N$16&amp;"'!"&amp;Settings!P15)</f>
        <v>18</v>
      </c>
      <c r="P24" s="136" t="str">
        <f ca="1">IF(Q24&gt;=4,"A",IF(Q24&gt;=3.67,"A-",IF(Q24&gt;=3.33,"B+",IF(Q24&gt;=3,"B",IF(Q24&gt;=2.67,"B-",IF(Q24&gt;=2.33,"C+",IF(Q24&gt;=2,"C",IF(Q24&gt;=1.67,"C-",IF(Q24&gt;=1.33,"D+",IF(Q24&gt;=0.7,"D","F"))))))))))</f>
        <v>B</v>
      </c>
      <c r="Q24" s="168">
        <f ca="1">INDIRECT("'"&amp;$N$16&amp;"'!"&amp;ADDRESS(3,7))</f>
        <v>3.0566666666666666</v>
      </c>
      <c r="R24" s="137">
        <f ca="1">INDIRECT("'"&amp;$N$16&amp;"'!"&amp;ADDRESS(4,7))</f>
        <v>55.019999999999996</v>
      </c>
      <c r="T24" s="164"/>
      <c r="U24" s="162"/>
      <c r="V24" s="162"/>
      <c r="W24" s="162"/>
      <c r="X24" s="163"/>
    </row>
    <row r="25" spans="2:24" ht="15" customHeight="1" x14ac:dyDescent="0.25">
      <c r="B25" s="132" t="s">
        <v>208</v>
      </c>
      <c r="C25" s="133">
        <f ca="1">INDIRECT("'"&amp;$B$16&amp;"'!"&amp;Settings!P15)</f>
        <v>19</v>
      </c>
      <c r="D25" s="133" t="str">
        <f ca="1">IF(E25&gt;=4,"A",IF(E25&gt;=3.67,"A-",IF(E25&gt;=3.33,"B+",IF(E25&gt;=3,"B",IF(E25&gt;=2.67,"B-",IF(E25&gt;=2.33,"C+",IF(E25&gt;=2,"C",IF(E25&gt;=1.67,"C-",IF(E25&gt;=1.33,"D+",IF(E25&gt;=0.7,"D","F"))))))))))</f>
        <v>C+</v>
      </c>
      <c r="E25" s="133">
        <f ca="1">INDIRECT("'"&amp;$B$16&amp;"'!"&amp;Settings!$P$14)</f>
        <v>2.6013333333333337</v>
      </c>
      <c r="F25" s="134">
        <f ca="1">INDIRECT("'"&amp;$B$16&amp;"'!"&amp;Settings!$P$16)</f>
        <v>39.020000000000003</v>
      </c>
      <c r="H25" s="141"/>
      <c r="I25" s="136"/>
      <c r="J25" s="136"/>
      <c r="K25" s="136"/>
      <c r="L25" s="137"/>
      <c r="N25" s="141"/>
      <c r="O25" s="136"/>
      <c r="P25" s="136"/>
      <c r="Q25" s="136"/>
      <c r="R25" s="137"/>
      <c r="T25" s="164"/>
      <c r="U25" s="162"/>
      <c r="V25" s="162"/>
      <c r="W25" s="162"/>
      <c r="X25" s="163"/>
    </row>
    <row r="26" spans="2:24" ht="15.75" thickBot="1" x14ac:dyDescent="0.3">
      <c r="B26" s="138" t="s">
        <v>209</v>
      </c>
      <c r="C26" s="139">
        <f ca="1">SUM(C14,C25)</f>
        <v>44</v>
      </c>
      <c r="D26" s="139" t="str">
        <f ca="1">IF(E26&gt;=4,"A",IF(E26&gt;=3.67,"A-",IF(E26&gt;=3.33,"B+",IF(E26&gt;=3,"B",IF(E26&gt;=2.67,"B-",IF(E26&gt;=2.33,"C+",IF(E26&gt;=2,"C",IF(E26&gt;=1.67,"C-",IF(E26&gt;=1.33,"D+",IF(E26&gt;=0.7,"D","F"))))))))))</f>
        <v>B-</v>
      </c>
      <c r="E26" s="139">
        <f ca="1">F26/(C26-SUM(C41,C24,C21))</f>
        <v>2.9782758620689656</v>
      </c>
      <c r="F26" s="140">
        <f ca="1">SUM(F14,F25)</f>
        <v>86.37</v>
      </c>
      <c r="H26" s="138" t="s">
        <v>209</v>
      </c>
      <c r="I26" s="139">
        <f ca="1">SUM(I14,I24)</f>
        <v>80</v>
      </c>
      <c r="J26" s="139" t="str">
        <f ca="1">IF(K26&gt;=4,"A",IF(K26&gt;=3.67,"A-",IF(K26&gt;=3.33,"B+",IF(K26&gt;=3,"B",IF(K26&gt;=2.67,"B-",IF(K26&gt;=2.33,"C+",IF(K26&gt;=2,"C",IF(K26&gt;=1.67,"C-",IF(K26&gt;=1.33,"D+",IF(K26&gt;=0.7,"D","F"))))))))))</f>
        <v>B-</v>
      </c>
      <c r="K26" s="139">
        <f ca="1">L26/(I26-SUM(C41,C33,C24,C21))</f>
        <v>2.8176666666666668</v>
      </c>
      <c r="L26" s="140">
        <f ca="1">SUM(L14,L24)</f>
        <v>169.06</v>
      </c>
      <c r="N26" s="138" t="s">
        <v>209</v>
      </c>
      <c r="O26" s="139">
        <f ca="1">SUM(O24,O14)</f>
        <v>119</v>
      </c>
      <c r="P26" s="139" t="str">
        <f ca="1">IF(Q26&gt;=4,"A",IF(Q26&gt;=3.67,"A-",IF(Q26&gt;=3.33,"B+",IF(Q26&gt;=3,"B",IF(Q26&gt;=2.67,"B-",IF(Q26&gt;=2.33,"C+",IF(Q26&gt;=2,"C",IF(Q26&gt;=1.67,"C-",IF(Q26&gt;=1.33,"D+",IF(Q26&gt;=0.7,"D","F"))))))))))</f>
        <v>B-</v>
      </c>
      <c r="Q26" s="169">
        <f ca="1">R26/(O26-SUM(C41,C33,I33,C21,C24))</f>
        <v>2.7974736842105261</v>
      </c>
      <c r="R26" s="140">
        <f ca="1">SUM(R14,R24)</f>
        <v>265.76</v>
      </c>
      <c r="T26" s="165" t="s">
        <v>209</v>
      </c>
      <c r="U26" s="166">
        <f ca="1">SUM(U19,U14)</f>
        <v>138</v>
      </c>
      <c r="V26" s="139" t="str">
        <f ca="1">IF(W26&gt;=4,"A",IF(W26&gt;=3.67,"A-",IF(W26&gt;=3.33,"B+",IF(W26&gt;=3,"B",IF(W26&gt;=2.67,"B-",IF(W26&gt;=2.33,"C+",IF(W26&gt;=2,"C",IF(W26&gt;=1.67,"C-",IF(W26&gt;=1.33,"D+",IF(W26&gt;=0.7,"D","F"))))))))))</f>
        <v>B-</v>
      </c>
      <c r="W26" s="166">
        <f ca="1">X26/(U26-SUM(C41,C33,I33,C21,C24,4))</f>
        <v>2.8796363636363638</v>
      </c>
      <c r="X26" s="167">
        <f ca="1">SUM(X19,X14)</f>
        <v>316.76</v>
      </c>
    </row>
    <row r="28" spans="2:24" ht="15" customHeight="1" x14ac:dyDescent="0.25">
      <c r="B28" s="426" t="s">
        <v>212</v>
      </c>
    </row>
    <row r="29" spans="2:24" ht="15" customHeight="1" thickBot="1" x14ac:dyDescent="0.3">
      <c r="B29" s="427"/>
    </row>
    <row r="30" spans="2:24" x14ac:dyDescent="0.25">
      <c r="B30" s="428" t="s">
        <v>215</v>
      </c>
      <c r="C30" s="429"/>
      <c r="D30" s="430"/>
      <c r="H30" s="423" t="s">
        <v>213</v>
      </c>
      <c r="I30" s="424"/>
      <c r="J30" s="425"/>
      <c r="N30" s="434" t="s">
        <v>278</v>
      </c>
      <c r="O30" s="435"/>
      <c r="P30" s="436"/>
    </row>
    <row r="31" spans="2:24" ht="15.75" thickBot="1" x14ac:dyDescent="0.3">
      <c r="B31" s="107" t="s">
        <v>204</v>
      </c>
      <c r="C31" s="108" t="s">
        <v>102</v>
      </c>
      <c r="D31" s="109" t="s">
        <v>98</v>
      </c>
      <c r="H31" s="142" t="s">
        <v>204</v>
      </c>
      <c r="I31" s="143" t="s">
        <v>102</v>
      </c>
      <c r="J31" s="144" t="s">
        <v>98</v>
      </c>
      <c r="N31" s="113" t="s">
        <v>204</v>
      </c>
      <c r="O31" s="114" t="s">
        <v>102</v>
      </c>
      <c r="P31" s="115" t="s">
        <v>98</v>
      </c>
    </row>
    <row r="32" spans="2:24" ht="16.5" thickTop="1" thickBot="1" x14ac:dyDescent="0.3">
      <c r="B32" s="119" t="str">
        <f ca="1">INDIRECT("'"&amp;$B$30&amp;"'!"&amp;Settings!O5)</f>
        <v>PHYS 222</v>
      </c>
      <c r="C32" s="120">
        <f ca="1">INDIRECT("'"&amp;$B$30&amp;"'!"&amp;Settings!P5)</f>
        <v>5</v>
      </c>
      <c r="D32" s="182" t="str">
        <f ca="1">INDIRECT("'"&amp;$B$30&amp;"'!"&amp;Settings!Q5)</f>
        <v>B</v>
      </c>
      <c r="H32" s="148" t="str">
        <f ca="1">INDIRECT("'"&amp;$H$30&amp;"'!"&amp;Settings!O5)</f>
        <v>MATH 267</v>
      </c>
      <c r="I32" s="149">
        <f ca="1">INDIRECT("'"&amp;$H$30&amp;"'!"&amp;Settings!P5)</f>
        <v>4</v>
      </c>
      <c r="J32" s="182" t="str">
        <f ca="1">INDIRECT("'"&amp;$H$30&amp;"'!"&amp;Settings!Q5)</f>
        <v>Pass</v>
      </c>
      <c r="N32" s="150" t="str">
        <f ca="1">INDIRECT("'"&amp;$N$30&amp;"'!"&amp;Settings!O5)</f>
        <v>AerE 398</v>
      </c>
      <c r="O32" s="150">
        <f ca="1">INDIRECT("'"&amp;$N$30&amp;"'!"&amp;Settings!P5)</f>
        <v>0</v>
      </c>
      <c r="P32" s="150" t="str">
        <f ca="1">INDIRECT("'"&amp;$N$30&amp;"'!"&amp;Settings!Q5)</f>
        <v>Pass</v>
      </c>
    </row>
    <row r="33" spans="2:15" ht="15.75" thickBot="1" x14ac:dyDescent="0.3">
      <c r="B33" s="180" t="s">
        <v>214</v>
      </c>
      <c r="C33" s="179">
        <f ca="1">SUM(C32)</f>
        <v>5</v>
      </c>
      <c r="H33" s="129" t="s">
        <v>214</v>
      </c>
      <c r="I33" s="181">
        <f ca="1">SUM(I32)</f>
        <v>4</v>
      </c>
      <c r="N33" s="151" t="s">
        <v>214</v>
      </c>
      <c r="O33" s="151">
        <f ca="1">SUM(O32)</f>
        <v>0</v>
      </c>
    </row>
    <row r="34" spans="2:15" ht="15.75" thickBot="1" x14ac:dyDescent="0.3"/>
    <row r="35" spans="2:15" x14ac:dyDescent="0.25">
      <c r="B35" s="437" t="s">
        <v>266</v>
      </c>
      <c r="C35" s="438"/>
      <c r="D35" s="438"/>
      <c r="E35" s="438"/>
      <c r="F35" s="439"/>
    </row>
    <row r="36" spans="2:15" ht="15.75" thickBot="1" x14ac:dyDescent="0.3">
      <c r="B36" s="145" t="s">
        <v>204</v>
      </c>
      <c r="C36" s="146" t="s">
        <v>102</v>
      </c>
      <c r="D36" s="146" t="s">
        <v>98</v>
      </c>
      <c r="E36" s="146" t="s">
        <v>96</v>
      </c>
      <c r="F36" s="147" t="s">
        <v>95</v>
      </c>
    </row>
    <row r="37" spans="2:15" ht="15.75" thickTop="1" x14ac:dyDescent="0.25">
      <c r="B37" s="321" t="str">
        <f ca="1">INDIRECT("'"&amp;$B$35&amp;"'!"&amp;Settings!O5)</f>
        <v>CHEM 177</v>
      </c>
      <c r="C37" s="322">
        <f ca="1">INDIRECT("'"&amp;$B$35&amp;"'!"&amp;Settings!P5)</f>
        <v>3</v>
      </c>
      <c r="D37" s="322" t="str">
        <f ca="1">INDIRECT("'"&amp;$B$35&amp;"'!"&amp;Settings!Q5)</f>
        <v>Pass</v>
      </c>
      <c r="E37" s="322" t="str">
        <f ca="1">INDIRECT("'"&amp;$B$35&amp;"'!"&amp;Settings!R5)</f>
        <v>NA</v>
      </c>
      <c r="F37" s="323" t="e">
        <f ca="1">E37*C37</f>
        <v>#VALUE!</v>
      </c>
    </row>
    <row r="38" spans="2:15" x14ac:dyDescent="0.25">
      <c r="B38" s="324" t="str">
        <f ca="1">INDIRECT("'"&amp;$B$35&amp;"'!"&amp;Settings!O6)</f>
        <v>CHEM 177 L</v>
      </c>
      <c r="C38" s="226">
        <f ca="1">INDIRECT("'"&amp;$B$35&amp;"'!"&amp;Settings!P6)</f>
        <v>1</v>
      </c>
      <c r="D38" s="226" t="str">
        <f ca="1">INDIRECT("'"&amp;$B$35&amp;"'!"&amp;Settings!Q6)</f>
        <v>Pass</v>
      </c>
      <c r="E38" s="226" t="str">
        <f ca="1">INDIRECT("'"&amp;$B$35&amp;"'!"&amp;Settings!R6)</f>
        <v>NA</v>
      </c>
      <c r="F38" s="157" t="e">
        <f ca="1">E38*C38</f>
        <v>#VALUE!</v>
      </c>
    </row>
    <row r="39" spans="2:15" x14ac:dyDescent="0.25">
      <c r="B39" s="324" t="str">
        <f ca="1">INDIRECT("'"&amp;$B$35&amp;"'!"&amp;Settings!O7)</f>
        <v>ENGL 201 (GenEd)</v>
      </c>
      <c r="C39" s="226">
        <f ca="1">INDIRECT("'"&amp;$B$35&amp;"'!"&amp;Settings!P7)</f>
        <v>3</v>
      </c>
      <c r="D39" s="226" t="str">
        <f ca="1">INDIRECT("'"&amp;$B$35&amp;"'!"&amp;Settings!Q7)</f>
        <v>Pass</v>
      </c>
      <c r="E39" s="226" t="str">
        <f ca="1">INDIRECT("'"&amp;$B$35&amp;"'!"&amp;Settings!R7)</f>
        <v>NA</v>
      </c>
      <c r="F39" s="157" t="e">
        <f ca="1">E39*C39</f>
        <v>#VALUE!</v>
      </c>
    </row>
    <row r="40" spans="2:15" ht="15.75" thickBot="1" x14ac:dyDescent="0.3">
      <c r="B40" s="164" t="str">
        <f ca="1">INDIRECT("'"&amp;$B$35&amp;"'!"&amp;Settings!O8)</f>
        <v>PHYS 101</v>
      </c>
      <c r="C40" s="162">
        <f ca="1">INDIRECT("'"&amp;$B$35&amp;"'!"&amp;Settings!P8)</f>
        <v>4</v>
      </c>
      <c r="D40" s="162" t="str">
        <f ca="1">INDIRECT("'"&amp;$B$35&amp;"'!"&amp;Settings!Q8)</f>
        <v>Pass</v>
      </c>
      <c r="E40" s="162" t="str">
        <f ca="1">INDIRECT("'"&amp;$B$35&amp;"'!"&amp;Settings!R8)</f>
        <v>NA</v>
      </c>
      <c r="F40" s="325" t="e">
        <f ca="1">E40*C40</f>
        <v>#VALUE!</v>
      </c>
    </row>
    <row r="41" spans="2:15" ht="15.75" thickBot="1" x14ac:dyDescent="0.3">
      <c r="B41" s="326" t="s">
        <v>525</v>
      </c>
      <c r="C41" s="327">
        <f ca="1">SUM(C37:C40)</f>
        <v>11</v>
      </c>
      <c r="D41" s="327"/>
      <c r="E41" s="327" t="e">
        <f ca="1">F41/C41</f>
        <v>#VALUE!</v>
      </c>
      <c r="F41" s="328" t="e">
        <f ca="1">SUM(F37:F40)</f>
        <v>#VALUE!</v>
      </c>
    </row>
    <row r="97" spans="1:8" ht="12.75" customHeight="1" x14ac:dyDescent="0.25"/>
    <row r="98" spans="1:8" ht="22.5" customHeight="1" x14ac:dyDescent="0.4">
      <c r="A98" s="265"/>
      <c r="B98" s="172"/>
      <c r="C98" s="172"/>
      <c r="D98" s="172"/>
      <c r="E98" s="172"/>
      <c r="F98" s="172"/>
      <c r="G98" s="172"/>
      <c r="H98" s="172"/>
    </row>
    <row r="99" spans="1:8" s="172" customFormat="1" ht="33" customHeight="1" x14ac:dyDescent="0.25"/>
    <row r="100" spans="1:8" s="172" customFormat="1" x14ac:dyDescent="0.25"/>
    <row r="101" spans="1:8" s="172" customFormat="1" x14ac:dyDescent="0.25"/>
    <row r="102" spans="1:8" s="172" customFormat="1" x14ac:dyDescent="0.25"/>
    <row r="103" spans="1:8" s="172" customFormat="1" x14ac:dyDescent="0.25"/>
    <row r="104" spans="1:8" s="172" customFormat="1" x14ac:dyDescent="0.25"/>
    <row r="105" spans="1:8" s="172" customFormat="1" x14ac:dyDescent="0.25"/>
    <row r="106" spans="1:8" s="172" customFormat="1" x14ac:dyDescent="0.25"/>
    <row r="107" spans="1:8" s="172" customFormat="1" x14ac:dyDescent="0.25"/>
    <row r="108" spans="1:8" s="172" customFormat="1" x14ac:dyDescent="0.25"/>
    <row r="109" spans="1:8" s="172" customFormat="1" x14ac:dyDescent="0.25"/>
    <row r="110" spans="1:8" s="172" customFormat="1" x14ac:dyDescent="0.25"/>
    <row r="111" spans="1:8" s="172" customFormat="1" x14ac:dyDescent="0.25"/>
    <row r="112" spans="1:8" s="172" customFormat="1" x14ac:dyDescent="0.25"/>
  </sheetData>
  <mergeCells count="14">
    <mergeCell ref="B35:F35"/>
    <mergeCell ref="B30:D30"/>
    <mergeCell ref="H30:J30"/>
    <mergeCell ref="N16:R16"/>
    <mergeCell ref="N30:P30"/>
    <mergeCell ref="Z4:AD4"/>
    <mergeCell ref="H16:L16"/>
    <mergeCell ref="T16:X16"/>
    <mergeCell ref="B28:B29"/>
    <mergeCell ref="B4:F4"/>
    <mergeCell ref="H4:L4"/>
    <mergeCell ref="N4:R4"/>
    <mergeCell ref="T4:X4"/>
    <mergeCell ref="B16:F16"/>
  </mergeCells>
  <phoneticPr fontId="6" type="noConversion"/>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68A1A-D196-4192-8706-F2528D24FA9D}">
  <sheetPr>
    <tabColor rgb="FF00B0F0"/>
  </sheetPr>
  <dimension ref="A1:W55"/>
  <sheetViews>
    <sheetView topLeftCell="A13" zoomScaleNormal="100" workbookViewId="0">
      <selection activeCell="AI24" sqref="AI24"/>
    </sheetView>
  </sheetViews>
  <sheetFormatPr defaultRowHeight="15" x14ac:dyDescent="0.25"/>
  <cols>
    <col min="1" max="1" width="2.85546875" style="172" customWidth="1"/>
    <col min="2" max="2" width="4.140625" style="334" customWidth="1"/>
    <col min="3" max="4" width="2.85546875" style="172" customWidth="1"/>
    <col min="5" max="5" width="12.140625" style="172" customWidth="1"/>
    <col min="6" max="6" width="2.85546875" style="172" customWidth="1"/>
    <col min="7" max="7" width="12.140625" style="172" customWidth="1"/>
    <col min="8" max="8" width="2.85546875" style="172" customWidth="1"/>
    <col min="9" max="9" width="12.28515625" style="172" customWidth="1"/>
    <col min="10" max="10" width="2.85546875" style="172" customWidth="1"/>
    <col min="11" max="11" width="12.140625" style="172" customWidth="1"/>
    <col min="12" max="12" width="2.85546875" style="172" customWidth="1"/>
    <col min="13" max="13" width="12.140625" style="172" customWidth="1"/>
    <col min="14" max="14" width="2.85546875" style="172" customWidth="1"/>
    <col min="15" max="15" width="12.140625" style="172" customWidth="1"/>
    <col min="16" max="16" width="2.85546875" style="172" customWidth="1"/>
    <col min="17" max="17" width="12.140625" style="172" customWidth="1"/>
    <col min="18" max="18" width="2.85546875" style="172" customWidth="1"/>
    <col min="19" max="19" width="6.5703125" style="172" customWidth="1"/>
    <col min="20" max="20" width="2.85546875" style="172" customWidth="1"/>
    <col min="21" max="22" width="9.140625" style="172"/>
    <col min="23" max="23" width="9" style="172" customWidth="1"/>
    <col min="24" max="16384" width="9.140625" style="172"/>
  </cols>
  <sheetData>
    <row r="1" spans="1:19" s="289" customFormat="1" ht="42" customHeight="1" x14ac:dyDescent="0.75">
      <c r="A1" s="296"/>
      <c r="B1" s="331"/>
      <c r="C1" s="310"/>
      <c r="D1" s="445" t="s">
        <v>505</v>
      </c>
      <c r="E1" s="445"/>
      <c r="F1" s="445"/>
      <c r="G1" s="445"/>
      <c r="H1" s="445"/>
      <c r="I1" s="310"/>
      <c r="J1" s="443" t="s">
        <v>507</v>
      </c>
      <c r="K1" s="443"/>
      <c r="L1" s="443"/>
      <c r="M1" s="443"/>
      <c r="N1" s="443"/>
      <c r="O1" s="443"/>
      <c r="P1" s="443"/>
      <c r="Q1" s="443"/>
      <c r="R1" s="296"/>
      <c r="S1" s="296"/>
    </row>
    <row r="2" spans="1:19" ht="20.25" customHeight="1" x14ac:dyDescent="0.25">
      <c r="A2" s="295"/>
      <c r="B2" s="331"/>
      <c r="C2" s="309"/>
      <c r="D2" s="446" t="s">
        <v>506</v>
      </c>
      <c r="E2" s="446"/>
      <c r="F2" s="446"/>
      <c r="G2" s="446"/>
      <c r="H2" s="446"/>
      <c r="I2" s="309"/>
      <c r="J2" s="444" t="s">
        <v>508</v>
      </c>
      <c r="K2" s="444"/>
      <c r="L2" s="444"/>
      <c r="M2" s="444"/>
      <c r="N2" s="444"/>
      <c r="O2" s="444"/>
      <c r="P2" s="444"/>
      <c r="Q2" s="444"/>
      <c r="R2" s="295"/>
      <c r="S2" s="295"/>
    </row>
    <row r="3" spans="1:19" ht="15" customHeight="1" x14ac:dyDescent="0.25">
      <c r="A3" s="295"/>
      <c r="B3" s="332"/>
      <c r="C3" s="173"/>
      <c r="D3" s="173"/>
      <c r="E3" s="173"/>
      <c r="F3" s="173"/>
      <c r="G3" s="173"/>
      <c r="H3" s="173"/>
      <c r="I3" s="173"/>
      <c r="J3" s="173"/>
      <c r="K3" s="173"/>
      <c r="L3" s="173"/>
      <c r="M3" s="173"/>
      <c r="N3" s="173"/>
      <c r="O3" s="173"/>
      <c r="P3" s="173"/>
      <c r="Q3" s="173"/>
      <c r="R3" s="173"/>
      <c r="S3" s="295"/>
    </row>
    <row r="4" spans="1:19" s="289" customFormat="1" ht="30" customHeight="1" x14ac:dyDescent="0.25">
      <c r="A4" s="296"/>
      <c r="B4" s="447" t="s">
        <v>477</v>
      </c>
      <c r="C4" s="449">
        <f>SUM(E6:Q6)</f>
        <v>15</v>
      </c>
      <c r="D4" s="173"/>
      <c r="E4" s="351" t="s">
        <v>437</v>
      </c>
      <c r="F4" s="173"/>
      <c r="G4" s="312" t="s">
        <v>438</v>
      </c>
      <c r="H4" s="173"/>
      <c r="I4" s="294" t="s">
        <v>439</v>
      </c>
      <c r="J4" s="173"/>
      <c r="K4" s="318" t="s">
        <v>440</v>
      </c>
      <c r="L4" s="173"/>
      <c r="M4" s="174" t="s">
        <v>526</v>
      </c>
      <c r="N4" s="173"/>
      <c r="O4" s="175" t="s">
        <v>441</v>
      </c>
      <c r="P4" s="173"/>
      <c r="Q4" s="329"/>
      <c r="R4" s="440" t="s">
        <v>509</v>
      </c>
      <c r="S4" s="440"/>
    </row>
    <row r="5" spans="1:19" ht="15" customHeight="1" x14ac:dyDescent="0.25">
      <c r="A5" s="295"/>
      <c r="B5" s="448"/>
      <c r="C5" s="450"/>
      <c r="D5" s="272"/>
      <c r="E5" s="352" t="s">
        <v>124</v>
      </c>
      <c r="F5" s="272"/>
      <c r="G5" s="276" t="s">
        <v>122</v>
      </c>
      <c r="H5" s="272"/>
      <c r="I5" s="277" t="s">
        <v>121</v>
      </c>
      <c r="J5" s="272"/>
      <c r="K5" s="273" t="s">
        <v>493</v>
      </c>
      <c r="L5" s="272"/>
      <c r="M5" s="273" t="s">
        <v>478</v>
      </c>
      <c r="N5" s="272"/>
      <c r="O5" s="274" t="s">
        <v>126</v>
      </c>
      <c r="P5" s="272"/>
      <c r="Q5" s="330"/>
      <c r="R5" s="440"/>
      <c r="S5" s="440"/>
    </row>
    <row r="6" spans="1:19" ht="15" customHeight="1" x14ac:dyDescent="0.25">
      <c r="A6" s="295"/>
      <c r="B6" s="448"/>
      <c r="C6" s="450"/>
      <c r="D6" s="272"/>
      <c r="E6" s="279">
        <v>4</v>
      </c>
      <c r="F6" s="272"/>
      <c r="G6" s="280">
        <v>4</v>
      </c>
      <c r="H6" s="272"/>
      <c r="I6" s="281">
        <v>3</v>
      </c>
      <c r="J6" s="272"/>
      <c r="K6" s="282">
        <v>1</v>
      </c>
      <c r="L6" s="272"/>
      <c r="M6" s="282">
        <v>3</v>
      </c>
      <c r="N6" s="272"/>
      <c r="O6" s="283">
        <v>0</v>
      </c>
      <c r="P6" s="272"/>
      <c r="Q6" s="330"/>
      <c r="R6" s="440"/>
      <c r="S6" s="440"/>
    </row>
    <row r="7" spans="1:19" ht="15" customHeight="1" x14ac:dyDescent="0.25">
      <c r="A7" s="295"/>
      <c r="B7" s="333"/>
      <c r="C7" s="297"/>
      <c r="D7" s="173"/>
      <c r="E7" s="298" t="str" cm="1">
        <f t="array" aca="1" ref="E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F7" s="173"/>
      <c r="G7" s="298" t="str" cm="1">
        <f t="array" aca="1" ref="G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H7" s="173"/>
      <c r="I7" s="298" t="str" cm="1">
        <f t="array" aca="1" ref="I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J7" s="173"/>
      <c r="K7" s="298" t="str" cm="1">
        <f t="array" aca="1" ref="K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L7" s="173"/>
      <c r="M7" s="298" t="str" cm="1">
        <f t="array" aca="1" ref="M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N7" s="173"/>
      <c r="O7" s="298" t="str" cm="1">
        <f t="array" aca="1" ref="O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P7" s="173"/>
      <c r="Q7" s="329"/>
      <c r="R7" s="440"/>
      <c r="S7" s="440"/>
    </row>
    <row r="8" spans="1:19" s="289" customFormat="1" ht="30" customHeight="1" x14ac:dyDescent="0.25">
      <c r="A8" s="296"/>
      <c r="B8" s="447" t="s">
        <v>519</v>
      </c>
      <c r="C8" s="449">
        <f>SUM(E10:Q10)</f>
        <v>15</v>
      </c>
      <c r="D8" s="173"/>
      <c r="E8" s="335" t="s">
        <v>442</v>
      </c>
      <c r="F8" s="173"/>
      <c r="G8" s="176" t="s">
        <v>444</v>
      </c>
      <c r="H8" s="173"/>
      <c r="I8" s="183" t="s">
        <v>446</v>
      </c>
      <c r="J8" s="173"/>
      <c r="K8" s="174" t="s">
        <v>447</v>
      </c>
      <c r="L8" s="173"/>
      <c r="M8" s="175" t="s">
        <v>448</v>
      </c>
      <c r="N8" s="173"/>
      <c r="O8" s="329"/>
      <c r="P8" s="173"/>
      <c r="Q8" s="329"/>
      <c r="R8" s="440"/>
      <c r="S8" s="440"/>
    </row>
    <row r="9" spans="1:19" ht="15" customHeight="1" x14ac:dyDescent="0.25">
      <c r="A9" s="295"/>
      <c r="B9" s="448"/>
      <c r="C9" s="450"/>
      <c r="D9" s="272"/>
      <c r="E9" s="307" t="s">
        <v>443</v>
      </c>
      <c r="F9" s="272"/>
      <c r="G9" s="276" t="s">
        <v>445</v>
      </c>
      <c r="H9" s="272"/>
      <c r="I9" s="277" t="s">
        <v>130</v>
      </c>
      <c r="J9" s="272"/>
      <c r="K9" s="273" t="s">
        <v>495</v>
      </c>
      <c r="L9" s="272"/>
      <c r="M9" s="274" t="s">
        <v>131</v>
      </c>
      <c r="N9" s="272"/>
      <c r="O9" s="330"/>
      <c r="P9" s="272"/>
      <c r="Q9" s="330"/>
      <c r="R9" s="440"/>
      <c r="S9" s="440"/>
    </row>
    <row r="10" spans="1:19" ht="15" customHeight="1" x14ac:dyDescent="0.25">
      <c r="A10" s="295"/>
      <c r="B10" s="448"/>
      <c r="C10" s="450"/>
      <c r="D10" s="272"/>
      <c r="E10" s="284">
        <v>4</v>
      </c>
      <c r="F10" s="272"/>
      <c r="G10" s="280">
        <v>5</v>
      </c>
      <c r="H10" s="272"/>
      <c r="I10" s="281">
        <v>3</v>
      </c>
      <c r="J10" s="272"/>
      <c r="K10" s="282">
        <v>3</v>
      </c>
      <c r="L10" s="272"/>
      <c r="M10" s="283">
        <v>0</v>
      </c>
      <c r="N10" s="272"/>
      <c r="O10" s="330"/>
      <c r="P10" s="272"/>
      <c r="Q10" s="330"/>
      <c r="R10" s="440"/>
      <c r="S10" s="440"/>
    </row>
    <row r="11" spans="1:19" s="305" customFormat="1" ht="15" customHeight="1" x14ac:dyDescent="0.25">
      <c r="A11" s="304"/>
      <c r="B11" s="333"/>
      <c r="C11" s="297"/>
      <c r="D11" s="272"/>
      <c r="E11" s="298" t="str" cm="1">
        <f t="array" aca="1" ref="E11"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F11" s="272"/>
      <c r="G11" s="298" t="str" cm="1">
        <f t="array" aca="1" ref="G11"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H11" s="272"/>
      <c r="I11" s="298" t="str" cm="1">
        <f t="array" aca="1" ref="I11"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J11" s="272"/>
      <c r="K11" s="298" t="str" cm="1">
        <f t="array" aca="1" ref="K11"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L11" s="272"/>
      <c r="M11" s="298" t="str" cm="1">
        <f t="array" aca="1" ref="M11"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N11" s="272"/>
      <c r="O11" s="330"/>
      <c r="P11" s="272"/>
      <c r="Q11" s="330"/>
      <c r="R11" s="440"/>
      <c r="S11" s="440"/>
    </row>
    <row r="12" spans="1:19" s="289" customFormat="1" ht="29.25" customHeight="1" x14ac:dyDescent="0.25">
      <c r="A12" s="296"/>
      <c r="B12" s="447" t="s">
        <v>477</v>
      </c>
      <c r="C12" s="449">
        <f>SUM(E14:Q14)</f>
        <v>18</v>
      </c>
      <c r="D12" s="173"/>
      <c r="E12" s="293" t="s">
        <v>449</v>
      </c>
      <c r="F12" s="173"/>
      <c r="G12" s="176" t="s">
        <v>450</v>
      </c>
      <c r="H12" s="173"/>
      <c r="I12" s="294" t="s">
        <v>451</v>
      </c>
      <c r="J12" s="173"/>
      <c r="K12" s="178" t="s">
        <v>452</v>
      </c>
      <c r="L12" s="173"/>
      <c r="M12" s="174" t="s">
        <v>476</v>
      </c>
      <c r="N12" s="173"/>
      <c r="O12" s="329"/>
      <c r="P12" s="173"/>
      <c r="Q12" s="329"/>
      <c r="R12" s="440" t="s">
        <v>510</v>
      </c>
      <c r="S12" s="440"/>
    </row>
    <row r="13" spans="1:19" ht="15" customHeight="1" x14ac:dyDescent="0.25">
      <c r="A13" s="295"/>
      <c r="B13" s="448"/>
      <c r="C13" s="450"/>
      <c r="D13" s="272"/>
      <c r="E13" s="275" t="s">
        <v>124</v>
      </c>
      <c r="F13" s="272"/>
      <c r="G13" s="276" t="s">
        <v>140</v>
      </c>
      <c r="H13" s="272"/>
      <c r="I13" s="277" t="s">
        <v>135</v>
      </c>
      <c r="J13" s="272"/>
      <c r="K13" s="278" t="s">
        <v>276</v>
      </c>
      <c r="L13" s="272"/>
      <c r="M13" s="273" t="s">
        <v>132</v>
      </c>
      <c r="N13" s="272"/>
      <c r="O13" s="330"/>
      <c r="P13" s="272"/>
      <c r="Q13" s="330"/>
      <c r="R13" s="440"/>
      <c r="S13" s="440"/>
    </row>
    <row r="14" spans="1:19" ht="15" customHeight="1" x14ac:dyDescent="0.25">
      <c r="A14" s="295"/>
      <c r="B14" s="448"/>
      <c r="C14" s="450"/>
      <c r="D14" s="272"/>
      <c r="E14" s="284">
        <v>4</v>
      </c>
      <c r="F14" s="272"/>
      <c r="G14" s="280">
        <v>5</v>
      </c>
      <c r="H14" s="272"/>
      <c r="I14" s="281">
        <v>3</v>
      </c>
      <c r="J14" s="272"/>
      <c r="K14" s="285">
        <v>3</v>
      </c>
      <c r="L14" s="272"/>
      <c r="M14" s="282">
        <v>3</v>
      </c>
      <c r="N14" s="272"/>
      <c r="O14" s="330"/>
      <c r="P14" s="272"/>
      <c r="Q14" s="330"/>
      <c r="R14" s="440"/>
      <c r="S14" s="440"/>
    </row>
    <row r="15" spans="1:19" ht="15" customHeight="1" x14ac:dyDescent="0.25">
      <c r="A15" s="295"/>
      <c r="B15" s="333"/>
      <c r="C15" s="297"/>
      <c r="D15" s="173"/>
      <c r="E15" s="298" t="str" cm="1">
        <f t="array" aca="1" ref="E15"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F15" s="173"/>
      <c r="G15" s="298" t="str" cm="1">
        <f t="array" aca="1" ref="G15"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H15" s="173"/>
      <c r="I15" s="298" t="str" cm="1">
        <f t="array" aca="1" ref="I15"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J15" s="173"/>
      <c r="K15" s="298" t="str" cm="1">
        <f t="array" aca="1" ref="K15"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L15" s="173"/>
      <c r="M15" s="298" t="str" cm="1">
        <f t="array" aca="1" ref="M15"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N15" s="173"/>
      <c r="O15" s="329"/>
      <c r="P15" s="173"/>
      <c r="Q15" s="329"/>
      <c r="R15" s="440"/>
      <c r="S15" s="440"/>
    </row>
    <row r="16" spans="1:19" s="289" customFormat="1" ht="30" customHeight="1" x14ac:dyDescent="0.25">
      <c r="A16" s="296"/>
      <c r="B16" s="447" t="s">
        <v>519</v>
      </c>
      <c r="C16" s="449">
        <f>SUM(E18:Q18)</f>
        <v>16</v>
      </c>
      <c r="D16" s="173"/>
      <c r="E16" s="287" t="s">
        <v>453</v>
      </c>
      <c r="F16" s="173"/>
      <c r="G16" s="178" t="s">
        <v>455</v>
      </c>
      <c r="H16" s="173"/>
      <c r="I16" s="290" t="s">
        <v>457</v>
      </c>
      <c r="J16" s="173"/>
      <c r="K16" s="291" t="s">
        <v>458</v>
      </c>
      <c r="L16" s="173"/>
      <c r="M16" s="174" t="s">
        <v>447</v>
      </c>
      <c r="N16" s="173"/>
      <c r="O16" s="329"/>
      <c r="P16" s="173"/>
      <c r="Q16" s="329"/>
      <c r="R16" s="440"/>
      <c r="S16" s="440"/>
    </row>
    <row r="17" spans="1:19" ht="15.75" customHeight="1" x14ac:dyDescent="0.25">
      <c r="A17" s="295"/>
      <c r="B17" s="448"/>
      <c r="C17" s="450"/>
      <c r="D17" s="272"/>
      <c r="E17" s="275" t="s">
        <v>454</v>
      </c>
      <c r="F17" s="272"/>
      <c r="G17" s="336" t="s">
        <v>272</v>
      </c>
      <c r="H17" s="272"/>
      <c r="I17" s="278" t="s">
        <v>456</v>
      </c>
      <c r="J17" s="272"/>
      <c r="K17" s="278" t="s">
        <v>273</v>
      </c>
      <c r="L17" s="272"/>
      <c r="M17" s="273" t="s">
        <v>495</v>
      </c>
      <c r="N17" s="272"/>
      <c r="O17" s="330"/>
      <c r="P17" s="272"/>
      <c r="Q17" s="330"/>
      <c r="R17" s="440"/>
      <c r="S17" s="440"/>
    </row>
    <row r="18" spans="1:19" ht="15.75" customHeight="1" x14ac:dyDescent="0.25">
      <c r="A18" s="295"/>
      <c r="B18" s="448"/>
      <c r="C18" s="450"/>
      <c r="D18" s="272"/>
      <c r="E18" s="284">
        <v>4</v>
      </c>
      <c r="F18" s="272"/>
      <c r="G18" s="285">
        <v>3</v>
      </c>
      <c r="H18" s="272"/>
      <c r="I18" s="285">
        <v>3</v>
      </c>
      <c r="J18" s="272"/>
      <c r="K18" s="285">
        <v>3</v>
      </c>
      <c r="L18" s="272"/>
      <c r="M18" s="282">
        <v>3</v>
      </c>
      <c r="N18" s="272"/>
      <c r="O18" s="330"/>
      <c r="P18" s="272"/>
      <c r="Q18" s="330"/>
      <c r="R18" s="440"/>
      <c r="S18" s="440"/>
    </row>
    <row r="19" spans="1:19" ht="15" customHeight="1" x14ac:dyDescent="0.25">
      <c r="A19" s="295"/>
      <c r="B19" s="333"/>
      <c r="C19" s="297"/>
      <c r="D19" s="173"/>
      <c r="E19" s="298" t="str" cm="1">
        <f t="array" aca="1" ref="E19"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F19" s="173"/>
      <c r="G19" s="298" t="str" cm="1">
        <f t="array" aca="1" ref="G19"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H19" s="173"/>
      <c r="I19" s="298" t="str" cm="1">
        <f t="array" aca="1" ref="I19"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J19" s="173"/>
      <c r="K19" s="298" t="str" cm="1">
        <f t="array" aca="1" ref="K19"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L19" s="173"/>
      <c r="M19" s="298" t="str" cm="1">
        <f t="array" aca="1" ref="M19"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N19" s="173"/>
      <c r="O19" s="173"/>
      <c r="P19" s="173"/>
      <c r="Q19" s="173"/>
      <c r="R19" s="440"/>
      <c r="S19" s="440"/>
    </row>
    <row r="20" spans="1:19" s="289" customFormat="1" ht="30" customHeight="1" x14ac:dyDescent="0.25">
      <c r="A20" s="296"/>
      <c r="B20" s="447" t="s">
        <v>477</v>
      </c>
      <c r="C20" s="449">
        <f>SUM(E22:Q22)</f>
        <v>17</v>
      </c>
      <c r="D20" s="173"/>
      <c r="E20" s="177" t="s">
        <v>459</v>
      </c>
      <c r="F20" s="173"/>
      <c r="G20" s="177" t="s">
        <v>460</v>
      </c>
      <c r="H20" s="173"/>
      <c r="I20" s="178" t="s">
        <v>461</v>
      </c>
      <c r="J20" s="173"/>
      <c r="K20" s="177" t="s">
        <v>462</v>
      </c>
      <c r="L20" s="173"/>
      <c r="M20" s="177" t="s">
        <v>463</v>
      </c>
      <c r="N20" s="173"/>
      <c r="O20" s="294" t="s">
        <v>464</v>
      </c>
      <c r="P20" s="173"/>
      <c r="Q20" s="175" t="s">
        <v>465</v>
      </c>
      <c r="R20" s="440" t="s">
        <v>511</v>
      </c>
      <c r="S20" s="440"/>
    </row>
    <row r="21" spans="1:19" ht="15.75" customHeight="1" x14ac:dyDescent="0.25">
      <c r="A21" s="295"/>
      <c r="B21" s="448"/>
      <c r="C21" s="450"/>
      <c r="D21" s="272"/>
      <c r="E21" s="277" t="s">
        <v>136</v>
      </c>
      <c r="F21" s="272"/>
      <c r="G21" s="277" t="s">
        <v>169</v>
      </c>
      <c r="H21" s="272"/>
      <c r="I21" s="278" t="s">
        <v>271</v>
      </c>
      <c r="J21" s="272"/>
      <c r="K21" s="277" t="s">
        <v>148</v>
      </c>
      <c r="L21" s="272"/>
      <c r="M21" s="277" t="s">
        <v>174</v>
      </c>
      <c r="N21" s="272"/>
      <c r="O21" s="277" t="s">
        <v>188</v>
      </c>
      <c r="P21" s="272"/>
      <c r="Q21" s="274" t="s">
        <v>198</v>
      </c>
      <c r="R21" s="440"/>
      <c r="S21" s="440"/>
    </row>
    <row r="22" spans="1:19" ht="15.75" customHeight="1" x14ac:dyDescent="0.25">
      <c r="A22" s="295"/>
      <c r="B22" s="448"/>
      <c r="C22" s="450"/>
      <c r="D22" s="272"/>
      <c r="E22" s="281">
        <v>3</v>
      </c>
      <c r="F22" s="272"/>
      <c r="G22" s="281">
        <v>2</v>
      </c>
      <c r="H22" s="272"/>
      <c r="I22" s="285">
        <v>3</v>
      </c>
      <c r="J22" s="272"/>
      <c r="K22" s="281">
        <v>3</v>
      </c>
      <c r="L22" s="272"/>
      <c r="M22" s="281">
        <v>3</v>
      </c>
      <c r="N22" s="272"/>
      <c r="O22" s="281">
        <v>3</v>
      </c>
      <c r="P22" s="272"/>
      <c r="Q22" s="283">
        <v>0</v>
      </c>
      <c r="R22" s="440"/>
      <c r="S22" s="440"/>
    </row>
    <row r="23" spans="1:19" ht="15" customHeight="1" x14ac:dyDescent="0.25">
      <c r="A23" s="295"/>
      <c r="B23" s="333"/>
      <c r="C23" s="297"/>
      <c r="D23" s="173"/>
      <c r="E23" s="298" t="str" cm="1">
        <f t="array" aca="1" ref="E23"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F23" s="173"/>
      <c r="G23" s="298" t="str" cm="1">
        <f t="array" aca="1" ref="G23"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H23" s="173"/>
      <c r="I23" s="298" t="str" cm="1">
        <f t="array" aca="1" ref="I23"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J23" s="173"/>
      <c r="K23" s="298" t="str" cm="1">
        <f t="array" aca="1" ref="K23"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L23" s="173"/>
      <c r="M23" s="298" t="str" cm="1">
        <f t="array" aca="1" ref="M23"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N23" s="173"/>
      <c r="O23" s="298" t="str" cm="1">
        <f t="array" aca="1" ref="O23"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P23" s="173"/>
      <c r="Q23" s="298" t="str" cm="1">
        <f t="array" aca="1" ref="Q23"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R23" s="440"/>
      <c r="S23" s="440"/>
    </row>
    <row r="24" spans="1:19" s="289" customFormat="1" ht="29.25" customHeight="1" x14ac:dyDescent="0.25">
      <c r="A24" s="296"/>
      <c r="B24" s="447" t="s">
        <v>519</v>
      </c>
      <c r="C24" s="449">
        <f>SUM(E26:Q26)</f>
        <v>18</v>
      </c>
      <c r="D24" s="173"/>
      <c r="E24" s="183" t="s">
        <v>466</v>
      </c>
      <c r="F24" s="173"/>
      <c r="G24" s="183" t="s">
        <v>467</v>
      </c>
      <c r="H24" s="173"/>
      <c r="I24" s="177" t="s">
        <v>468</v>
      </c>
      <c r="J24" s="173"/>
      <c r="K24" s="183" t="s">
        <v>469</v>
      </c>
      <c r="L24" s="173"/>
      <c r="M24" s="177" t="s">
        <v>471</v>
      </c>
      <c r="N24" s="173"/>
      <c r="O24" s="177" t="s">
        <v>470</v>
      </c>
      <c r="P24" s="173"/>
      <c r="Q24" s="173"/>
      <c r="R24" s="440"/>
      <c r="S24" s="440"/>
    </row>
    <row r="25" spans="1:19" ht="15.75" customHeight="1" x14ac:dyDescent="0.25">
      <c r="A25" s="295"/>
      <c r="B25" s="448"/>
      <c r="C25" s="450"/>
      <c r="D25" s="272"/>
      <c r="E25" s="277" t="s">
        <v>112</v>
      </c>
      <c r="F25" s="272"/>
      <c r="G25" s="277" t="s">
        <v>109</v>
      </c>
      <c r="H25" s="272"/>
      <c r="I25" s="277" t="s">
        <v>280</v>
      </c>
      <c r="J25" s="272"/>
      <c r="K25" s="277" t="s">
        <v>110</v>
      </c>
      <c r="L25" s="272"/>
      <c r="M25" s="277" t="s">
        <v>111</v>
      </c>
      <c r="N25" s="272"/>
      <c r="O25" s="277" t="s">
        <v>279</v>
      </c>
      <c r="P25" s="272"/>
      <c r="Q25" s="272"/>
      <c r="R25" s="440"/>
      <c r="S25" s="440"/>
    </row>
    <row r="26" spans="1:19" ht="15.75" customHeight="1" x14ac:dyDescent="0.25">
      <c r="A26" s="295"/>
      <c r="B26" s="448"/>
      <c r="C26" s="450"/>
      <c r="D26" s="272"/>
      <c r="E26" s="281">
        <v>3</v>
      </c>
      <c r="F26" s="272"/>
      <c r="G26" s="281">
        <v>3</v>
      </c>
      <c r="H26" s="272"/>
      <c r="I26" s="281">
        <v>3</v>
      </c>
      <c r="J26" s="272"/>
      <c r="K26" s="281">
        <v>3</v>
      </c>
      <c r="L26" s="272"/>
      <c r="M26" s="281">
        <v>3</v>
      </c>
      <c r="N26" s="272"/>
      <c r="O26" s="281">
        <v>3</v>
      </c>
      <c r="P26" s="272"/>
      <c r="Q26" s="272"/>
      <c r="R26" s="440"/>
      <c r="S26" s="440"/>
    </row>
    <row r="27" spans="1:19" ht="15" customHeight="1" x14ac:dyDescent="0.25">
      <c r="A27" s="295"/>
      <c r="B27" s="333"/>
      <c r="C27" s="297"/>
      <c r="D27" s="173"/>
      <c r="E27" s="298" t="str" cm="1">
        <f t="array" aca="1" ref="E2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F27" s="173"/>
      <c r="G27" s="298" t="str" cm="1">
        <f t="array" aca="1" ref="G2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H27" s="173"/>
      <c r="I27" s="298" t="str" cm="1">
        <f t="array" aca="1" ref="I2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J27" s="173"/>
      <c r="K27" s="298" t="str" cm="1">
        <f t="array" aca="1" ref="K2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L27" s="173"/>
      <c r="M27" s="298" t="str" cm="1">
        <f t="array" aca="1" ref="M2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N27" s="173"/>
      <c r="O27" s="298" t="str" cm="1">
        <f t="array" aca="1" ref="O27"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P27" s="173"/>
      <c r="Q27" s="173"/>
      <c r="R27" s="440"/>
      <c r="S27" s="440"/>
    </row>
    <row r="28" spans="1:19" s="289" customFormat="1" ht="30" customHeight="1" x14ac:dyDescent="0.25">
      <c r="A28" s="296"/>
      <c r="B28" s="447" t="s">
        <v>477</v>
      </c>
      <c r="C28" s="449">
        <f>SUM(E30:Q30)</f>
        <v>15</v>
      </c>
      <c r="D28" s="173"/>
      <c r="E28" s="292" t="s">
        <v>472</v>
      </c>
      <c r="F28" s="173"/>
      <c r="G28" s="292" t="s">
        <v>472</v>
      </c>
      <c r="H28" s="173"/>
      <c r="I28" s="306" t="s">
        <v>473</v>
      </c>
      <c r="J28" s="173"/>
      <c r="K28" s="306" t="s">
        <v>494</v>
      </c>
      <c r="L28" s="173"/>
      <c r="M28" s="174" t="s">
        <v>475</v>
      </c>
      <c r="N28" s="173"/>
      <c r="O28" s="173"/>
      <c r="P28" s="173"/>
      <c r="Q28" s="173"/>
      <c r="R28" s="440" t="s">
        <v>512</v>
      </c>
      <c r="S28" s="440"/>
    </row>
    <row r="29" spans="1:19" ht="15.75" customHeight="1" x14ac:dyDescent="0.25">
      <c r="A29" s="295"/>
      <c r="B29" s="448"/>
      <c r="C29" s="450"/>
      <c r="D29" s="272"/>
      <c r="E29" s="288" t="s">
        <v>496</v>
      </c>
      <c r="F29" s="272"/>
      <c r="G29" s="288" t="s">
        <v>496</v>
      </c>
      <c r="H29" s="272"/>
      <c r="I29" s="277" t="s">
        <v>282</v>
      </c>
      <c r="J29" s="272"/>
      <c r="K29" s="277" t="s">
        <v>281</v>
      </c>
      <c r="L29" s="272"/>
      <c r="M29" s="273" t="s">
        <v>283</v>
      </c>
      <c r="N29" s="272"/>
      <c r="O29" s="272"/>
      <c r="P29" s="272"/>
      <c r="Q29" s="272"/>
      <c r="R29" s="440"/>
      <c r="S29" s="440"/>
    </row>
    <row r="30" spans="1:19" ht="15.75" customHeight="1" x14ac:dyDescent="0.25">
      <c r="A30" s="295"/>
      <c r="B30" s="448"/>
      <c r="C30" s="450"/>
      <c r="D30" s="272"/>
      <c r="E30" s="286">
        <v>3</v>
      </c>
      <c r="F30" s="272"/>
      <c r="G30" s="286">
        <v>3</v>
      </c>
      <c r="H30" s="272"/>
      <c r="I30" s="281">
        <v>3</v>
      </c>
      <c r="J30" s="272"/>
      <c r="K30" s="281">
        <v>3</v>
      </c>
      <c r="L30" s="272"/>
      <c r="M30" s="282">
        <v>3</v>
      </c>
      <c r="N30" s="272"/>
      <c r="O30" s="272"/>
      <c r="P30" s="272"/>
      <c r="Q30" s="272"/>
      <c r="R30" s="440"/>
      <c r="S30" s="440"/>
    </row>
    <row r="31" spans="1:19" ht="15" customHeight="1" x14ac:dyDescent="0.25">
      <c r="A31" s="295"/>
      <c r="B31" s="333"/>
      <c r="C31" s="297"/>
      <c r="D31" s="173"/>
      <c r="E31" s="298" t="str" cm="1">
        <f t="array" aca="1" ref="E31"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F31" s="173"/>
      <c r="G31" s="298" t="str" cm="1">
        <f t="array" aca="1" ref="G31"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8'!$6:$6,uptwo))&gt;=2,"✔","O")</f>
        <v>✔</v>
      </c>
      <c r="H31" s="173"/>
      <c r="I31" s="298" t="str" cm="1">
        <f t="array" aca="1" ref="I31"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J31" s="173"/>
      <c r="K31" s="298" t="str" cm="1">
        <f t="array" aca="1" ref="K31"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L31" s="173"/>
      <c r="M31" s="298" t="str" cm="1">
        <f t="array" aca="1" ref="M31"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N31" s="173"/>
      <c r="O31" s="173"/>
      <c r="P31" s="173"/>
      <c r="Q31" s="173"/>
      <c r="R31" s="440"/>
      <c r="S31" s="440"/>
    </row>
    <row r="32" spans="1:19" s="289" customFormat="1" ht="30" customHeight="1" x14ac:dyDescent="0.25">
      <c r="A32" s="296"/>
      <c r="B32" s="447" t="s">
        <v>519</v>
      </c>
      <c r="C32" s="449">
        <f>SUM(E34:Q34)</f>
        <v>15</v>
      </c>
      <c r="D32" s="173"/>
      <c r="E32" s="292" t="s">
        <v>472</v>
      </c>
      <c r="F32" s="173"/>
      <c r="G32" s="292" t="s">
        <v>472</v>
      </c>
      <c r="H32" s="173"/>
      <c r="I32" s="306" t="s">
        <v>503</v>
      </c>
      <c r="J32" s="173"/>
      <c r="K32" s="174" t="s">
        <v>447</v>
      </c>
      <c r="L32" s="173"/>
      <c r="M32" s="174" t="s">
        <v>447</v>
      </c>
      <c r="N32" s="173"/>
      <c r="O32" s="173"/>
      <c r="P32" s="173"/>
      <c r="Q32" s="173"/>
      <c r="R32" s="440"/>
      <c r="S32" s="440"/>
    </row>
    <row r="33" spans="1:19" ht="15.75" customHeight="1" x14ac:dyDescent="0.25">
      <c r="A33" s="295"/>
      <c r="B33" s="448"/>
      <c r="C33" s="450"/>
      <c r="D33" s="272"/>
      <c r="E33" s="288" t="s">
        <v>496</v>
      </c>
      <c r="F33" s="272"/>
      <c r="G33" s="288" t="s">
        <v>496</v>
      </c>
      <c r="H33" s="272"/>
      <c r="I33" s="277" t="s">
        <v>474</v>
      </c>
      <c r="J33" s="272"/>
      <c r="K33" s="273" t="s">
        <v>495</v>
      </c>
      <c r="L33" s="272"/>
      <c r="M33" s="273" t="s">
        <v>495</v>
      </c>
      <c r="N33" s="272"/>
      <c r="O33" s="272"/>
      <c r="P33" s="272"/>
      <c r="Q33" s="272"/>
      <c r="R33" s="440"/>
      <c r="S33" s="440"/>
    </row>
    <row r="34" spans="1:19" ht="15.75" customHeight="1" x14ac:dyDescent="0.25">
      <c r="A34" s="295"/>
      <c r="B34" s="448"/>
      <c r="C34" s="450"/>
      <c r="D34" s="272"/>
      <c r="E34" s="286">
        <v>3</v>
      </c>
      <c r="F34" s="272"/>
      <c r="G34" s="286">
        <v>3</v>
      </c>
      <c r="H34" s="272"/>
      <c r="I34" s="281">
        <v>3</v>
      </c>
      <c r="J34" s="272"/>
      <c r="K34" s="282">
        <v>3</v>
      </c>
      <c r="L34" s="272"/>
      <c r="M34" s="282">
        <v>3</v>
      </c>
      <c r="N34" s="272"/>
      <c r="O34" s="272"/>
      <c r="P34" s="272"/>
      <c r="Q34" s="272"/>
      <c r="R34" s="440"/>
      <c r="S34" s="440"/>
    </row>
    <row r="35" spans="1:19" x14ac:dyDescent="0.25">
      <c r="A35" s="295"/>
      <c r="B35" s="332"/>
      <c r="C35" s="173"/>
      <c r="D35" s="272"/>
      <c r="E35" s="298" t="str" cm="1">
        <f t="array" aca="1" ref="E35"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8'!$6:$6,uptwo))&gt;=3,"✔","O")</f>
        <v>✔</v>
      </c>
      <c r="F35" s="272"/>
      <c r="G35" s="298" t="str" cm="1">
        <f t="array" aca="1" ref="G35"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8'!$6:$6,uptwo))&gt;=4,"✔","O")</f>
        <v>✔</v>
      </c>
      <c r="H35" s="272"/>
      <c r="I35" s="298" t="str" cm="1">
        <f t="array" aca="1" ref="I35"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8'!$6:$6,uptwo))&gt;=1,"✔","O")</f>
        <v>✔</v>
      </c>
      <c r="J35" s="272"/>
      <c r="K35" s="298" t="str" cm="1">
        <f t="array" aca="1" ref="K35" ca="1">IF((COUNTIF(Highschool!$6:$6,uptwo)+COUNTIF('Semester 1'!$6:$6,uptwo)+COUNTIF('Semester 2'!$6:$6,uptwo)+COUNTIF('Summer 2017'!$6:$6,uptwo)+COUNTIF('Semester 3'!$6:$6,uptwo)+COUNTIF('Semester 4'!$6:$6,uptwo)+COUNTIF('Summer 2018'!$6:$6,uptwo)+COUNTIF('Semester 5'!$6:$6,uptwo)+COUNTIF('Semester 6'!$6:$6,uptwo)+COUNTIF('Summer-Fall 2019'!$6:$6,uptwo)+COUNTIF('Semester 7'!$6:$6,uptwo)+COUNTIF('Summer 2020'!$6:$6,uptwo)+COUNTIF('Semester 8'!$6:$6,uptwo))&gt;=3,"✔","O")</f>
        <v>✔</v>
      </c>
      <c r="L35" s="272"/>
      <c r="M35" s="298" t="str" cm="1">
        <f t="array" aca="1" ref="M35" ca="1">IF(COUNTIF(Transcript!1:1048576,uptwo)&gt;=4,"✔","O")</f>
        <v>✔</v>
      </c>
      <c r="N35" s="272"/>
      <c r="O35" s="272"/>
      <c r="P35" s="272"/>
      <c r="Q35" s="272"/>
      <c r="R35" s="440"/>
      <c r="S35" s="440"/>
    </row>
    <row r="36" spans="1:19" x14ac:dyDescent="0.25">
      <c r="A36" s="332"/>
      <c r="B36" s="332"/>
      <c r="C36" s="295"/>
      <c r="D36" s="295"/>
      <c r="E36" s="295"/>
      <c r="F36" s="295"/>
      <c r="G36" s="295"/>
      <c r="H36" s="295"/>
      <c r="I36" s="295"/>
      <c r="J36" s="295"/>
      <c r="K36" s="295"/>
      <c r="L36" s="295"/>
      <c r="M36" s="295"/>
      <c r="N36" s="295"/>
      <c r="O36" s="295"/>
      <c r="P36" s="295"/>
      <c r="Q36" s="295"/>
      <c r="R36" s="295"/>
      <c r="S36" s="295"/>
    </row>
    <row r="37" spans="1:19" ht="30" customHeight="1" x14ac:dyDescent="0.25">
      <c r="A37" s="332"/>
      <c r="B37" s="332"/>
      <c r="C37" s="295"/>
      <c r="D37" s="441" t="s">
        <v>520</v>
      </c>
      <c r="E37" s="442"/>
      <c r="F37" s="442"/>
      <c r="G37" s="442"/>
      <c r="H37" s="442"/>
      <c r="I37" s="442"/>
      <c r="J37" s="295"/>
      <c r="K37" s="317" t="s">
        <v>513</v>
      </c>
      <c r="L37" s="295"/>
      <c r="M37" s="313" t="s">
        <v>514</v>
      </c>
      <c r="N37" s="295"/>
      <c r="O37" s="314" t="s">
        <v>472</v>
      </c>
      <c r="P37" s="272"/>
      <c r="Q37" s="315" t="s">
        <v>515</v>
      </c>
      <c r="R37" s="295"/>
      <c r="S37" s="295"/>
    </row>
    <row r="38" spans="1:19" ht="15" customHeight="1" x14ac:dyDescent="0.25">
      <c r="A38" s="332"/>
      <c r="B38" s="332"/>
      <c r="C38" s="295"/>
      <c r="D38" s="442"/>
      <c r="E38" s="442"/>
      <c r="F38" s="442"/>
      <c r="G38" s="442"/>
      <c r="H38" s="442"/>
      <c r="I38" s="442"/>
      <c r="J38" s="295"/>
      <c r="K38" s="295"/>
      <c r="L38" s="295"/>
      <c r="M38" s="295"/>
      <c r="N38" s="295"/>
      <c r="O38" s="295"/>
      <c r="P38" s="295"/>
      <c r="Q38" s="295"/>
      <c r="R38" s="295"/>
      <c r="S38" s="295"/>
    </row>
    <row r="39" spans="1:19" ht="30" customHeight="1" x14ac:dyDescent="0.25">
      <c r="A39" s="332"/>
      <c r="B39" s="332"/>
      <c r="C39" s="295"/>
      <c r="D39" s="442"/>
      <c r="E39" s="442"/>
      <c r="F39" s="442"/>
      <c r="G39" s="442"/>
      <c r="H39" s="442"/>
      <c r="I39" s="442"/>
      <c r="J39" s="295"/>
      <c r="K39" s="311" t="s">
        <v>516</v>
      </c>
      <c r="L39" s="295"/>
      <c r="M39" s="316" t="s">
        <v>517</v>
      </c>
      <c r="N39" s="295"/>
      <c r="O39" s="273" t="s">
        <v>447</v>
      </c>
      <c r="P39" s="295"/>
      <c r="Q39" s="274" t="s">
        <v>518</v>
      </c>
      <c r="R39" s="295"/>
      <c r="S39" s="295"/>
    </row>
    <row r="40" spans="1:19" ht="7.5" customHeight="1" x14ac:dyDescent="0.25">
      <c r="A40" s="332"/>
      <c r="B40" s="332"/>
      <c r="C40" s="295"/>
      <c r="D40" s="295"/>
      <c r="E40" s="295"/>
      <c r="F40" s="295"/>
      <c r="G40" s="295"/>
      <c r="H40" s="295"/>
      <c r="I40" s="295"/>
      <c r="J40" s="295"/>
      <c r="K40" s="295"/>
      <c r="L40" s="295"/>
      <c r="M40" s="295"/>
      <c r="N40" s="295"/>
      <c r="O40" s="295"/>
      <c r="P40" s="295"/>
      <c r="Q40" s="295"/>
      <c r="R40" s="295"/>
      <c r="S40" s="295"/>
    </row>
    <row r="41" spans="1:19" x14ac:dyDescent="0.25">
      <c r="A41" s="332"/>
      <c r="B41" s="332"/>
      <c r="C41" s="295"/>
      <c r="D41" s="295"/>
      <c r="E41" s="295"/>
      <c r="F41" s="295"/>
      <c r="G41" s="295"/>
      <c r="H41" s="295"/>
      <c r="I41" s="295"/>
      <c r="J41" s="295"/>
      <c r="K41" s="295"/>
      <c r="L41" s="295"/>
      <c r="M41" s="295"/>
      <c r="N41" s="295"/>
      <c r="O41" s="295"/>
      <c r="P41" s="295"/>
      <c r="Q41" s="295"/>
      <c r="R41" s="295"/>
      <c r="S41" s="295"/>
    </row>
    <row r="42" spans="1:19" x14ac:dyDescent="0.25">
      <c r="A42" s="332"/>
      <c r="B42" s="332"/>
      <c r="C42" s="295"/>
      <c r="D42" s="295"/>
      <c r="E42" s="295"/>
      <c r="F42" s="295"/>
      <c r="G42" s="295"/>
      <c r="H42" s="295"/>
      <c r="I42" s="295"/>
      <c r="J42" s="295"/>
      <c r="K42" s="295"/>
      <c r="L42" s="295"/>
      <c r="M42" s="295"/>
      <c r="N42" s="295"/>
      <c r="O42" s="295"/>
      <c r="P42" s="295"/>
      <c r="Q42" s="295"/>
      <c r="R42" s="295"/>
      <c r="S42" s="295"/>
    </row>
    <row r="55" spans="23:23" x14ac:dyDescent="0.25">
      <c r="W55" s="308"/>
    </row>
  </sheetData>
  <mergeCells count="25">
    <mergeCell ref="B32:B34"/>
    <mergeCell ref="C4:C6"/>
    <mergeCell ref="C8:C10"/>
    <mergeCell ref="C12:C14"/>
    <mergeCell ref="C16:C18"/>
    <mergeCell ref="C20:C22"/>
    <mergeCell ref="C24:C26"/>
    <mergeCell ref="C28:C30"/>
    <mergeCell ref="C32:C34"/>
    <mergeCell ref="B4:B6"/>
    <mergeCell ref="B8:B10"/>
    <mergeCell ref="B12:B14"/>
    <mergeCell ref="B16:B18"/>
    <mergeCell ref="B20:B22"/>
    <mergeCell ref="B24:B26"/>
    <mergeCell ref="J1:Q1"/>
    <mergeCell ref="J2:Q2"/>
    <mergeCell ref="D1:H1"/>
    <mergeCell ref="D2:H2"/>
    <mergeCell ref="B28:B30"/>
    <mergeCell ref="R4:S11"/>
    <mergeCell ref="R12:S19"/>
    <mergeCell ref="R20:S27"/>
    <mergeCell ref="R28:S35"/>
    <mergeCell ref="D37:I39"/>
  </mergeCells>
  <pageMargins left="0.7" right="0.7" top="0.75" bottom="0.75" header="0.3" footer="0.3"/>
  <pageSetup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8AA55-15C8-43BA-9460-0353B2AB0DD0}">
  <sheetPr>
    <tabColor theme="0" tint="-0.499984740745262"/>
  </sheetPr>
  <dimension ref="A1:T60"/>
  <sheetViews>
    <sheetView workbookViewId="0">
      <selection activeCell="K11" sqref="K11"/>
    </sheetView>
  </sheetViews>
  <sheetFormatPr defaultRowHeight="15" x14ac:dyDescent="0.25"/>
  <cols>
    <col min="1" max="3" width="9.140625" style="1"/>
    <col min="4" max="4" width="2.85546875" style="1" customWidth="1"/>
    <col min="5" max="5" width="9.140625" style="1"/>
    <col min="6" max="6" width="11" style="1" customWidth="1"/>
    <col min="7" max="16384" width="9.140625" style="1"/>
  </cols>
  <sheetData>
    <row r="1" spans="1:19" ht="28.5" x14ac:dyDescent="0.45">
      <c r="A1" s="195" t="s">
        <v>417</v>
      </c>
    </row>
    <row r="2" spans="1:19" ht="15.75" thickBot="1" x14ac:dyDescent="0.3"/>
    <row r="3" spans="1:19" ht="16.5" thickTop="1" thickBot="1" x14ac:dyDescent="0.3">
      <c r="B3" s="456" t="s">
        <v>418</v>
      </c>
      <c r="C3" s="457"/>
      <c r="L3" s="264" t="s">
        <v>432</v>
      </c>
      <c r="N3" s="459" t="s">
        <v>427</v>
      </c>
      <c r="O3" s="460"/>
      <c r="P3" s="460"/>
      <c r="Q3" s="460"/>
      <c r="R3" s="460"/>
      <c r="S3" s="461"/>
    </row>
    <row r="4" spans="1:19" ht="16.5" thickTop="1" thickBot="1" x14ac:dyDescent="0.3">
      <c r="B4" s="202" t="s">
        <v>13</v>
      </c>
      <c r="C4" s="203">
        <v>4</v>
      </c>
      <c r="L4" s="263">
        <v>0</v>
      </c>
      <c r="N4" s="228" t="s">
        <v>217</v>
      </c>
      <c r="O4" s="229" t="s">
        <v>218</v>
      </c>
      <c r="P4" s="229" t="s">
        <v>219</v>
      </c>
      <c r="Q4" s="229" t="s">
        <v>220</v>
      </c>
      <c r="R4" s="229" t="s">
        <v>221</v>
      </c>
      <c r="S4" s="230" t="s">
        <v>221</v>
      </c>
    </row>
    <row r="5" spans="1:19" ht="15.75" thickTop="1" x14ac:dyDescent="0.25">
      <c r="B5" s="198" t="s">
        <v>12</v>
      </c>
      <c r="C5" s="199">
        <v>3.67</v>
      </c>
      <c r="L5" s="261">
        <v>1</v>
      </c>
      <c r="N5" s="225" t="s">
        <v>222</v>
      </c>
      <c r="O5" s="226" t="s">
        <v>232</v>
      </c>
      <c r="P5" s="226" t="s">
        <v>241</v>
      </c>
      <c r="Q5" s="226" t="s">
        <v>250</v>
      </c>
      <c r="R5" s="226" t="s">
        <v>258</v>
      </c>
      <c r="S5" s="227" t="s">
        <v>373</v>
      </c>
    </row>
    <row r="6" spans="1:19" x14ac:dyDescent="0.25">
      <c r="B6" s="198" t="s">
        <v>11</v>
      </c>
      <c r="C6" s="199">
        <v>3.33</v>
      </c>
      <c r="L6" s="261">
        <v>2</v>
      </c>
      <c r="N6" s="204" t="s">
        <v>223</v>
      </c>
      <c r="O6" s="156" t="s">
        <v>233</v>
      </c>
      <c r="P6" s="156" t="s">
        <v>242</v>
      </c>
      <c r="Q6" s="156" t="s">
        <v>251</v>
      </c>
      <c r="R6" s="156" t="s">
        <v>259</v>
      </c>
      <c r="S6" s="205" t="s">
        <v>374</v>
      </c>
    </row>
    <row r="7" spans="1:19" x14ac:dyDescent="0.25">
      <c r="B7" s="198" t="s">
        <v>10</v>
      </c>
      <c r="C7" s="199">
        <v>3</v>
      </c>
      <c r="L7" s="261">
        <v>3</v>
      </c>
      <c r="N7" s="204" t="s">
        <v>224</v>
      </c>
      <c r="O7" s="156" t="s">
        <v>234</v>
      </c>
      <c r="P7" s="156" t="s">
        <v>243</v>
      </c>
      <c r="Q7" s="156" t="s">
        <v>252</v>
      </c>
      <c r="R7" s="156" t="s">
        <v>260</v>
      </c>
      <c r="S7" s="205" t="s">
        <v>375</v>
      </c>
    </row>
    <row r="8" spans="1:19" x14ac:dyDescent="0.25">
      <c r="B8" s="198" t="s">
        <v>9</v>
      </c>
      <c r="C8" s="199">
        <v>2.67</v>
      </c>
      <c r="L8" s="261">
        <v>4</v>
      </c>
      <c r="N8" s="204" t="s">
        <v>226</v>
      </c>
      <c r="O8" s="156" t="s">
        <v>235</v>
      </c>
      <c r="P8" s="156" t="s">
        <v>244</v>
      </c>
      <c r="Q8" s="156" t="s">
        <v>253</v>
      </c>
      <c r="R8" s="156" t="s">
        <v>261</v>
      </c>
      <c r="S8" s="205" t="s">
        <v>376</v>
      </c>
    </row>
    <row r="9" spans="1:19" x14ac:dyDescent="0.25">
      <c r="B9" s="198" t="s">
        <v>8</v>
      </c>
      <c r="C9" s="199">
        <v>2.33</v>
      </c>
      <c r="L9" s="261">
        <v>5</v>
      </c>
      <c r="N9" s="204" t="s">
        <v>227</v>
      </c>
      <c r="O9" s="156" t="s">
        <v>236</v>
      </c>
      <c r="P9" s="156" t="s">
        <v>245</v>
      </c>
      <c r="Q9" s="156" t="s">
        <v>254</v>
      </c>
      <c r="R9" s="156" t="s">
        <v>262</v>
      </c>
      <c r="S9" s="205" t="s">
        <v>377</v>
      </c>
    </row>
    <row r="10" spans="1:19" x14ac:dyDescent="0.25">
      <c r="B10" s="198" t="s">
        <v>7</v>
      </c>
      <c r="C10" s="199">
        <v>2</v>
      </c>
      <c r="L10" s="261">
        <v>6</v>
      </c>
      <c r="N10" s="204" t="s">
        <v>228</v>
      </c>
      <c r="O10" s="156" t="s">
        <v>237</v>
      </c>
      <c r="P10" s="156" t="s">
        <v>246</v>
      </c>
      <c r="Q10" s="156" t="s">
        <v>255</v>
      </c>
      <c r="R10" s="156" t="s">
        <v>263</v>
      </c>
      <c r="S10" s="205" t="s">
        <v>378</v>
      </c>
    </row>
    <row r="11" spans="1:19" x14ac:dyDescent="0.25">
      <c r="B11" s="198" t="s">
        <v>6</v>
      </c>
      <c r="C11" s="199">
        <v>1.67</v>
      </c>
      <c r="L11" s="261">
        <v>7</v>
      </c>
      <c r="N11" s="204" t="s">
        <v>229</v>
      </c>
      <c r="O11" s="156" t="s">
        <v>238</v>
      </c>
      <c r="P11" s="156" t="s">
        <v>247</v>
      </c>
      <c r="Q11" s="156" t="s">
        <v>256</v>
      </c>
      <c r="R11" s="156" t="s">
        <v>264</v>
      </c>
      <c r="S11" s="205" t="s">
        <v>379</v>
      </c>
    </row>
    <row r="12" spans="1:19" x14ac:dyDescent="0.25">
      <c r="B12" s="198" t="s">
        <v>5</v>
      </c>
      <c r="C12" s="199">
        <v>1.33</v>
      </c>
      <c r="L12" s="261">
        <v>8</v>
      </c>
      <c r="N12" s="204" t="s">
        <v>230</v>
      </c>
      <c r="O12" s="156" t="s">
        <v>239</v>
      </c>
      <c r="P12" s="156" t="s">
        <v>248</v>
      </c>
      <c r="Q12" s="156" t="s">
        <v>257</v>
      </c>
      <c r="R12" s="156" t="s">
        <v>265</v>
      </c>
      <c r="S12" s="205" t="s">
        <v>380</v>
      </c>
    </row>
    <row r="13" spans="1:19" x14ac:dyDescent="0.25">
      <c r="B13" s="198" t="s">
        <v>4</v>
      </c>
      <c r="C13" s="199">
        <v>1</v>
      </c>
      <c r="L13" s="261">
        <v>9</v>
      </c>
      <c r="N13" s="204" t="s">
        <v>231</v>
      </c>
      <c r="O13" s="156" t="s">
        <v>240</v>
      </c>
      <c r="P13" s="156" t="s">
        <v>249</v>
      </c>
      <c r="Q13" s="156" t="s">
        <v>381</v>
      </c>
      <c r="R13" s="156" t="s">
        <v>382</v>
      </c>
      <c r="S13" s="205" t="s">
        <v>383</v>
      </c>
    </row>
    <row r="14" spans="1:19" x14ac:dyDescent="0.25">
      <c r="B14" s="198" t="s">
        <v>3</v>
      </c>
      <c r="C14" s="199">
        <v>0.67</v>
      </c>
      <c r="L14" s="261">
        <v>10</v>
      </c>
      <c r="N14" s="467" t="s">
        <v>117</v>
      </c>
      <c r="O14" s="468"/>
      <c r="P14" s="156" t="s">
        <v>267</v>
      </c>
      <c r="Q14" s="156"/>
      <c r="R14" s="156"/>
      <c r="S14" s="205"/>
    </row>
    <row r="15" spans="1:19" ht="15.75" thickBot="1" x14ac:dyDescent="0.3">
      <c r="B15" s="200" t="s">
        <v>2</v>
      </c>
      <c r="C15" s="201">
        <v>0</v>
      </c>
      <c r="L15" s="261">
        <v>11</v>
      </c>
      <c r="N15" s="467" t="s">
        <v>422</v>
      </c>
      <c r="O15" s="468"/>
      <c r="P15" s="156" t="s">
        <v>268</v>
      </c>
      <c r="Q15" s="156"/>
      <c r="R15" s="156"/>
      <c r="S15" s="205"/>
    </row>
    <row r="16" spans="1:19" ht="16.5" thickTop="1" thickBot="1" x14ac:dyDescent="0.3">
      <c r="L16" s="261">
        <v>12</v>
      </c>
      <c r="N16" s="469" t="s">
        <v>423</v>
      </c>
      <c r="O16" s="470"/>
      <c r="P16" s="206" t="s">
        <v>269</v>
      </c>
      <c r="Q16" s="206"/>
      <c r="R16" s="206"/>
      <c r="S16" s="207"/>
    </row>
    <row r="17" spans="2:20" ht="15.75" thickTop="1" x14ac:dyDescent="0.25">
      <c r="B17" s="453" t="s">
        <v>420</v>
      </c>
      <c r="C17" s="454"/>
      <c r="D17" s="454"/>
      <c r="E17" s="454"/>
      <c r="F17" s="454"/>
      <c r="G17" s="454"/>
      <c r="H17" s="454"/>
      <c r="I17" s="455"/>
      <c r="L17" s="261">
        <v>13</v>
      </c>
    </row>
    <row r="18" spans="2:20" x14ac:dyDescent="0.25">
      <c r="B18" s="463" t="s">
        <v>421</v>
      </c>
      <c r="C18" s="465" t="s">
        <v>524</v>
      </c>
      <c r="D18" s="465" t="s">
        <v>96</v>
      </c>
      <c r="E18" s="465" t="s">
        <v>205</v>
      </c>
      <c r="F18" s="465" t="s">
        <v>206</v>
      </c>
      <c r="G18" s="465" t="s">
        <v>207</v>
      </c>
      <c r="H18" s="465" t="s">
        <v>523</v>
      </c>
      <c r="I18" s="451" t="s">
        <v>522</v>
      </c>
      <c r="L18" s="261">
        <v>14</v>
      </c>
    </row>
    <row r="19" spans="2:20" ht="15.75" thickBot="1" x14ac:dyDescent="0.3">
      <c r="B19" s="464"/>
      <c r="C19" s="466"/>
      <c r="D19" s="466"/>
      <c r="E19" s="466"/>
      <c r="F19" s="466"/>
      <c r="G19" s="466"/>
      <c r="H19" s="466"/>
      <c r="I19" s="452"/>
      <c r="L19" s="261">
        <v>15</v>
      </c>
      <c r="O19" s="462" t="s">
        <v>419</v>
      </c>
      <c r="P19" s="462"/>
      <c r="Q19" s="462"/>
      <c r="R19" s="462"/>
      <c r="S19" s="462"/>
    </row>
    <row r="20" spans="2:20" ht="15.75" thickTop="1" x14ac:dyDescent="0.25">
      <c r="B20" s="222" t="str">
        <f>Transcript!B4</f>
        <v>Semester 1</v>
      </c>
      <c r="C20" s="120">
        <f ca="1">Transcript!$E$14</f>
        <v>3.3821428571428571</v>
      </c>
      <c r="D20" s="120">
        <f ca="1">Transcript!$E$11</f>
        <v>3.3821428571428571</v>
      </c>
      <c r="E20" s="120">
        <v>2.5</v>
      </c>
      <c r="F20" s="120">
        <v>2.8</v>
      </c>
      <c r="G20" s="120">
        <v>3</v>
      </c>
      <c r="H20" s="120">
        <v>3.2</v>
      </c>
      <c r="I20" s="223">
        <v>3.5</v>
      </c>
      <c r="L20" s="261">
        <v>16</v>
      </c>
      <c r="N20" s="214"/>
      <c r="O20" s="458" t="s">
        <v>372</v>
      </c>
      <c r="P20" s="458"/>
      <c r="Q20" s="458"/>
      <c r="R20" s="458"/>
      <c r="S20" s="458"/>
      <c r="T20" s="220"/>
    </row>
    <row r="21" spans="2:20" ht="15.75" thickBot="1" x14ac:dyDescent="0.3">
      <c r="B21" s="196" t="str">
        <f>Transcript!B16</f>
        <v>Semester 2</v>
      </c>
      <c r="C21" s="125">
        <f ca="1">Transcript!$E$26</f>
        <v>2.9782758620689656</v>
      </c>
      <c r="D21" s="125">
        <f ca="1">Transcript!$E$25</f>
        <v>2.6013333333333337</v>
      </c>
      <c r="E21" s="125">
        <v>2.5</v>
      </c>
      <c r="F21" s="125">
        <v>2.8</v>
      </c>
      <c r="G21" s="125">
        <v>3</v>
      </c>
      <c r="H21" s="125">
        <v>3.2</v>
      </c>
      <c r="I21" s="197">
        <v>3.5</v>
      </c>
      <c r="L21" s="261">
        <v>17</v>
      </c>
      <c r="N21" s="214"/>
      <c r="O21" s="208" t="s">
        <v>204</v>
      </c>
      <c r="P21" s="154" t="s">
        <v>102</v>
      </c>
      <c r="Q21" s="154" t="s">
        <v>98</v>
      </c>
      <c r="R21" s="154" t="s">
        <v>96</v>
      </c>
      <c r="S21" s="215" t="s">
        <v>95</v>
      </c>
      <c r="T21" s="220"/>
    </row>
    <row r="22" spans="2:20" ht="15.75" thickTop="1" x14ac:dyDescent="0.25">
      <c r="B22" s="196" t="str">
        <f>Transcript!H4</f>
        <v>Semester 3</v>
      </c>
      <c r="C22" s="125">
        <f ca="1">Transcript!$K$14</f>
        <v>2.8126086956521736</v>
      </c>
      <c r="D22" s="125">
        <f ca="1">Transcript!$K$12</f>
        <v>2.5299999999999998</v>
      </c>
      <c r="E22" s="125">
        <v>2.5</v>
      </c>
      <c r="F22" s="125">
        <v>2.8</v>
      </c>
      <c r="G22" s="125">
        <v>3</v>
      </c>
      <c r="H22" s="125">
        <v>3.2</v>
      </c>
      <c r="I22" s="197">
        <v>3.5</v>
      </c>
      <c r="L22" s="261">
        <v>18</v>
      </c>
      <c r="N22" s="214"/>
      <c r="O22" s="209" t="str">
        <f ca="1">INDIRECT("'"&amp;$O$20&amp;"'!"&amp;O5)</f>
        <v>Class 1</v>
      </c>
      <c r="P22" s="121">
        <f ca="1">INDIRECT("'"&amp;$O$20&amp;"'!"&amp;P5)</f>
        <v>3</v>
      </c>
      <c r="Q22" s="121" t="str">
        <f ca="1">INDIRECT("'"&amp;$O$20&amp;"'!"&amp;Q5)</f>
        <v>B</v>
      </c>
      <c r="R22" s="121">
        <f ca="1">INDIRECT("'"&amp;$O$20&amp;"'!"&amp;R5)</f>
        <v>3</v>
      </c>
      <c r="S22" s="216">
        <f ca="1">INDIRECT("'"&amp;$O$20&amp;"'!"&amp;S5)</f>
        <v>9</v>
      </c>
      <c r="T22" s="220"/>
    </row>
    <row r="23" spans="2:20" x14ac:dyDescent="0.25">
      <c r="B23" s="196" t="str">
        <f>Transcript!H16</f>
        <v>Semester 4</v>
      </c>
      <c r="C23" s="125">
        <f ca="1">Transcript!$K$26</f>
        <v>2.8176666666666668</v>
      </c>
      <c r="D23" s="125">
        <f ca="1">Transcript!$K$24</f>
        <v>2.8342857142857141</v>
      </c>
      <c r="E23" s="125">
        <v>2.5</v>
      </c>
      <c r="F23" s="125">
        <v>2.8</v>
      </c>
      <c r="G23" s="125">
        <v>3</v>
      </c>
      <c r="H23" s="125">
        <v>3.2</v>
      </c>
      <c r="I23" s="197">
        <v>3.5</v>
      </c>
      <c r="L23" s="261">
        <v>19</v>
      </c>
      <c r="N23" s="214"/>
      <c r="O23" s="210" t="s">
        <v>225</v>
      </c>
      <c r="P23" s="125"/>
      <c r="Q23" s="125"/>
      <c r="R23" s="125"/>
      <c r="S23" s="217"/>
      <c r="T23" s="220"/>
    </row>
    <row r="24" spans="2:20" x14ac:dyDescent="0.25">
      <c r="B24" s="196" t="str">
        <f>Transcript!N4</f>
        <v>Semester 5</v>
      </c>
      <c r="C24" s="125">
        <f ca="1">Transcript!$Q$14</f>
        <v>2.7368831168831171</v>
      </c>
      <c r="D24" s="125">
        <f ca="1">Transcript!$Q$13</f>
        <v>2.4517647058823528</v>
      </c>
      <c r="E24" s="125">
        <v>2.5</v>
      </c>
      <c r="F24" s="125">
        <v>2.8</v>
      </c>
      <c r="G24" s="125">
        <v>3</v>
      </c>
      <c r="H24" s="125">
        <v>3.2</v>
      </c>
      <c r="I24" s="197">
        <v>3.5</v>
      </c>
      <c r="L24" s="261">
        <v>20</v>
      </c>
      <c r="N24" s="214"/>
      <c r="O24" s="210"/>
      <c r="P24" s="125"/>
      <c r="Q24" s="125"/>
      <c r="R24" s="125"/>
      <c r="S24" s="217"/>
      <c r="T24" s="220"/>
    </row>
    <row r="25" spans="2:20" x14ac:dyDescent="0.25">
      <c r="B25" s="196" t="str">
        <f>Transcript!N16</f>
        <v>Semester 6</v>
      </c>
      <c r="C25" s="125">
        <f ca="1">Transcript!$Q$26</f>
        <v>2.7974736842105261</v>
      </c>
      <c r="D25" s="125">
        <f ca="1">Transcript!$Q$24</f>
        <v>3.0566666666666666</v>
      </c>
      <c r="E25" s="125">
        <v>2.5</v>
      </c>
      <c r="F25" s="125">
        <v>2.8</v>
      </c>
      <c r="G25" s="125">
        <v>3</v>
      </c>
      <c r="H25" s="125">
        <v>3.2</v>
      </c>
      <c r="I25" s="197">
        <v>3.5</v>
      </c>
      <c r="L25" s="261">
        <v>21</v>
      </c>
      <c r="N25" s="214"/>
      <c r="O25" s="210"/>
      <c r="P25" s="125"/>
      <c r="Q25" s="125"/>
      <c r="R25" s="125"/>
      <c r="S25" s="217"/>
      <c r="T25" s="220"/>
    </row>
    <row r="26" spans="2:20" x14ac:dyDescent="0.25">
      <c r="B26" s="196" t="str">
        <f>Transcript!T4</f>
        <v>Semester 7</v>
      </c>
      <c r="C26" s="125">
        <f ca="1">Transcript!$W$14</f>
        <v>2.8670093457943921</v>
      </c>
      <c r="D26" s="125">
        <f ca="1">Transcript!$W$12</f>
        <v>3.4175</v>
      </c>
      <c r="E26" s="125">
        <v>2.5</v>
      </c>
      <c r="F26" s="125">
        <v>2.8</v>
      </c>
      <c r="G26" s="125">
        <v>3</v>
      </c>
      <c r="H26" s="125">
        <v>3.2</v>
      </c>
      <c r="I26" s="197">
        <v>3.5</v>
      </c>
      <c r="L26" s="261">
        <v>22</v>
      </c>
      <c r="N26" s="214"/>
      <c r="O26" s="210"/>
      <c r="P26" s="125"/>
      <c r="Q26" s="125"/>
      <c r="R26" s="125"/>
      <c r="S26" s="217"/>
      <c r="T26" s="220"/>
    </row>
    <row r="27" spans="2:20" ht="15.75" thickBot="1" x14ac:dyDescent="0.3">
      <c r="B27" s="224" t="str">
        <f>Transcript!Z4</f>
        <v>Semester 8</v>
      </c>
      <c r="C27" s="128">
        <f ca="1">Transcript!$AC$14</f>
        <v>2.9581599999999999</v>
      </c>
      <c r="D27" s="128">
        <f ca="1">Transcript!$AC$12</f>
        <v>3.5339999999999998</v>
      </c>
      <c r="E27" s="128">
        <v>2.5</v>
      </c>
      <c r="F27" s="128">
        <v>2.8</v>
      </c>
      <c r="G27" s="319">
        <v>3</v>
      </c>
      <c r="H27" s="319">
        <v>3.2</v>
      </c>
      <c r="I27" s="320">
        <v>3.5</v>
      </c>
      <c r="L27" s="261">
        <v>23</v>
      </c>
      <c r="N27" s="214"/>
      <c r="O27" s="211"/>
      <c r="P27" s="130"/>
      <c r="Q27" s="130"/>
      <c r="R27" s="130"/>
      <c r="S27" s="218"/>
      <c r="T27" s="220"/>
    </row>
    <row r="28" spans="2:20" ht="16.5" thickTop="1" thickBot="1" x14ac:dyDescent="0.3">
      <c r="B28" s="403"/>
      <c r="C28" s="404"/>
      <c r="D28" s="404"/>
      <c r="E28" s="404"/>
      <c r="F28" s="404"/>
      <c r="G28" s="404"/>
      <c r="H28" s="404"/>
      <c r="I28" s="405"/>
      <c r="L28" s="261">
        <v>24</v>
      </c>
      <c r="N28" s="214"/>
      <c r="O28" s="212" t="s">
        <v>208</v>
      </c>
      <c r="P28" s="136">
        <f ca="1">SUM(P22:P27)</f>
        <v>3</v>
      </c>
      <c r="Q28" s="136"/>
      <c r="R28" s="136">
        <f ca="1">$S28/$P28</f>
        <v>3</v>
      </c>
      <c r="S28" s="219">
        <f ca="1">SUM(S22:S27)</f>
        <v>9</v>
      </c>
      <c r="T28" s="220"/>
    </row>
    <row r="29" spans="2:20" ht="15.75" thickTop="1" x14ac:dyDescent="0.25">
      <c r="L29" s="261">
        <v>25</v>
      </c>
      <c r="N29" s="214"/>
      <c r="O29" s="213"/>
      <c r="P29" s="136"/>
      <c r="Q29" s="136"/>
      <c r="R29" s="136"/>
      <c r="S29" s="219"/>
      <c r="T29" s="220"/>
    </row>
    <row r="30" spans="2:20" ht="15.75" thickBot="1" x14ac:dyDescent="0.3">
      <c r="L30" s="261">
        <v>26</v>
      </c>
      <c r="N30" s="214"/>
      <c r="O30" s="213" t="s">
        <v>209</v>
      </c>
      <c r="P30" s="136">
        <f ca="1">P28+Transcript!C120</f>
        <v>3</v>
      </c>
      <c r="Q30" s="136"/>
      <c r="R30" s="136">
        <f ca="1">S30/P30</f>
        <v>3</v>
      </c>
      <c r="S30" s="219">
        <f ca="1">S28+Transcript!F120</f>
        <v>9</v>
      </c>
      <c r="T30" s="220"/>
    </row>
    <row r="31" spans="2:20" ht="15.75" thickTop="1" x14ac:dyDescent="0.25">
      <c r="L31" s="261">
        <v>27</v>
      </c>
      <c r="O31" s="221"/>
      <c r="P31" s="221"/>
      <c r="Q31" s="221"/>
      <c r="R31" s="221"/>
      <c r="S31" s="221"/>
    </row>
    <row r="32" spans="2:20" x14ac:dyDescent="0.25">
      <c r="L32" s="261">
        <v>28</v>
      </c>
    </row>
    <row r="33" spans="12:12" x14ac:dyDescent="0.25">
      <c r="L33" s="261">
        <v>29</v>
      </c>
    </row>
    <row r="34" spans="12:12" ht="15.75" thickBot="1" x14ac:dyDescent="0.3">
      <c r="L34" s="262">
        <v>30</v>
      </c>
    </row>
    <row r="35" spans="12:12" ht="15.75" thickTop="1" x14ac:dyDescent="0.25"/>
    <row r="49" spans="1:15" ht="28.5" x14ac:dyDescent="0.45">
      <c r="A49" s="195" t="s">
        <v>216</v>
      </c>
    </row>
    <row r="51" spans="1:15" x14ac:dyDescent="0.25">
      <c r="C51" s="1" t="s">
        <v>328</v>
      </c>
    </row>
    <row r="52" spans="1:15" x14ac:dyDescent="0.25">
      <c r="C52" s="1" t="s">
        <v>329</v>
      </c>
      <c r="E52" s="171" t="s">
        <v>330</v>
      </c>
      <c r="I52" s="1" t="s">
        <v>344</v>
      </c>
      <c r="K52" s="171" t="s">
        <v>345</v>
      </c>
      <c r="O52" s="1" t="s">
        <v>424</v>
      </c>
    </row>
    <row r="53" spans="1:15" x14ac:dyDescent="0.25">
      <c r="C53" s="1" t="s">
        <v>331</v>
      </c>
      <c r="E53" s="171" t="s">
        <v>342</v>
      </c>
      <c r="F53" s="171" t="s">
        <v>343</v>
      </c>
    </row>
    <row r="59" spans="1:15" x14ac:dyDescent="0.25">
      <c r="C59" s="1" t="s">
        <v>116</v>
      </c>
    </row>
    <row r="60" spans="1:15" x14ac:dyDescent="0.25">
      <c r="C60" s="1" t="s">
        <v>113</v>
      </c>
    </row>
  </sheetData>
  <mergeCells count="17">
    <mergeCell ref="H18:H19"/>
    <mergeCell ref="I18:I19"/>
    <mergeCell ref="B28:I28"/>
    <mergeCell ref="B17:I17"/>
    <mergeCell ref="B3:C3"/>
    <mergeCell ref="O20:S20"/>
    <mergeCell ref="N3:S3"/>
    <mergeCell ref="O19:S19"/>
    <mergeCell ref="B18:B19"/>
    <mergeCell ref="C18:C19"/>
    <mergeCell ref="D18:D19"/>
    <mergeCell ref="E18:E19"/>
    <mergeCell ref="F18:F19"/>
    <mergeCell ref="G18:G19"/>
    <mergeCell ref="N14:O14"/>
    <mergeCell ref="N15:O15"/>
    <mergeCell ref="N16:O1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8AFA7-AF36-4B2F-B708-C0CCEB59998C}">
  <sheetPr>
    <tabColor theme="0"/>
  </sheetPr>
  <dimension ref="B1:Q37"/>
  <sheetViews>
    <sheetView showGridLines="0" zoomScale="90" zoomScaleNormal="90" workbookViewId="0">
      <selection activeCell="G4" sqref="G4"/>
    </sheetView>
  </sheetViews>
  <sheetFormatPr defaultRowHeight="15" x14ac:dyDescent="0.25"/>
  <cols>
    <col min="1" max="1" width="4" style="1" customWidth="1"/>
    <col min="2" max="2" width="9.140625" style="1"/>
    <col min="3" max="3" width="7.7109375" style="1" customWidth="1"/>
    <col min="4" max="4" width="6.28515625" style="1" customWidth="1"/>
    <col min="5" max="5" width="8.5703125" style="1" customWidth="1"/>
    <col min="6" max="6" width="10.140625" style="1" bestFit="1" customWidth="1"/>
    <col min="7" max="7" width="11" style="1" bestFit="1" customWidth="1"/>
    <col min="8" max="8" width="2.85546875" style="1" customWidth="1"/>
    <col min="9" max="9" width="11.5703125" style="1" customWidth="1"/>
    <col min="10" max="10" width="5.85546875" style="1" customWidth="1"/>
    <col min="11" max="11" width="7.85546875" style="1" customWidth="1"/>
    <col min="12" max="12" width="10.28515625" style="1" customWidth="1"/>
    <col min="13" max="13" width="9.5703125" style="1" customWidth="1"/>
    <col min="14" max="14" width="3.28515625" style="1" customWidth="1"/>
    <col min="15" max="15" width="8.85546875" style="1" customWidth="1"/>
    <col min="16" max="16" width="6.140625" style="1" customWidth="1"/>
    <col min="17" max="17" width="8" style="1" customWidth="1"/>
    <col min="18" max="18" width="10.28515625" style="1" customWidth="1"/>
    <col min="19" max="19" width="9.140625" style="1"/>
    <col min="20" max="20" width="3.140625" style="1" customWidth="1"/>
    <col min="21" max="21" width="9.140625" style="1"/>
    <col min="22" max="22" width="6.5703125" style="1" customWidth="1"/>
    <col min="23" max="23" width="7.7109375" style="1" customWidth="1"/>
    <col min="24" max="24" width="10.28515625" style="1" customWidth="1"/>
    <col min="25" max="25" width="9.140625" style="1"/>
    <col min="26" max="26" width="3" style="1" customWidth="1"/>
    <col min="27" max="27" width="8.28515625" style="1" customWidth="1"/>
    <col min="28" max="28" width="6.28515625" style="1" customWidth="1"/>
    <col min="29" max="29" width="8.85546875" style="1" customWidth="1"/>
    <col min="30" max="30" width="10.5703125" style="1" customWidth="1"/>
    <col min="31" max="31" width="9.140625" style="1"/>
    <col min="32" max="32" width="2.7109375" style="1" customWidth="1"/>
    <col min="33" max="33" width="9.140625" style="1"/>
    <col min="34" max="34" width="7.140625" style="1" customWidth="1"/>
    <col min="35" max="35" width="9.140625" style="1"/>
    <col min="36" max="36" width="10.5703125" style="1" customWidth="1"/>
    <col min="37" max="16384" width="9.140625" style="1"/>
  </cols>
  <sheetData>
    <row r="1" spans="2:17" ht="15.75" thickBot="1" x14ac:dyDescent="0.3"/>
    <row r="2" spans="2:17" ht="16.5" thickTop="1" thickBot="1" x14ac:dyDescent="0.3">
      <c r="B2" s="394" t="s">
        <v>120</v>
      </c>
      <c r="C2" s="395"/>
      <c r="D2" s="395"/>
      <c r="E2" s="395" t="s">
        <v>119</v>
      </c>
      <c r="F2" s="395"/>
      <c r="G2" s="396"/>
    </row>
    <row r="3" spans="2:17" ht="15.75" thickTop="1" x14ac:dyDescent="0.25">
      <c r="B3" s="397" t="s">
        <v>118</v>
      </c>
      <c r="C3" s="398"/>
      <c r="D3" s="245">
        <f>COUNTIF(6:6,"*")</f>
        <v>1</v>
      </c>
      <c r="E3" s="399" t="s">
        <v>117</v>
      </c>
      <c r="F3" s="398"/>
      <c r="G3" s="101">
        <f ca="1">G4/SUM(IF(OR(G8="P/F",G8="Dropped",G8="Retaken"),0,E8),IF(OR(M8="P/F",M8="Dropped",M8="Retaken"),0,K8),IF(OR(S8="P/F",S8="Dropped",S8="Retaken"),0,Q8),IF(OR(Y8="P/F",Y8="Dropped",Y8="Retaken"),0,W8),IF(OR(AE8="P/F",AE8="Dropped",AE8="Retaken"),0,AC8),IF(OR(AK8="P/F",AK8="Dropped",AK8="Retaken"),0,AI8),IF(OR(AQ8="P/F",AQ8="Dropped",AQ8="Retaken"),0,AO8))</f>
        <v>3</v>
      </c>
      <c r="K3" s="171"/>
      <c r="Q3" s="171"/>
    </row>
    <row r="4" spans="2:17" ht="15.75" thickBot="1" x14ac:dyDescent="0.3">
      <c r="B4" s="400" t="s">
        <v>115</v>
      </c>
      <c r="C4" s="401"/>
      <c r="D4" s="244">
        <f>SUMIF(8:8,"&lt;&gt;#N/A")</f>
        <v>3</v>
      </c>
      <c r="E4" s="402" t="s">
        <v>114</v>
      </c>
      <c r="F4" s="401"/>
      <c r="G4" s="243">
        <f ca="1">SUM(INDIRECT(ADDRESS(11,1+6*(1))),INDIRECT(ADDRESS(11,1+6*(2))),INDIRECT(ADDRESS(11,1+6*(3))),INDIRECT(ADDRESS(11,1+6*(4))),INDIRECT(ADDRESS(11,1+6*(5))),INDIRECT(ADDRESS(11,1+6*(6))),INDIRECT(ADDRESS(11,1+6*(7))),INDIRECT(ADDRESS(11,1+6*(8))),INDIRECT(ADDRESS(11,1+6*(9))),INDIRECT(ADDRESS(11,1+6*(10))),INDIRECT(ADDRESS(11,1+6*(11))))</f>
        <v>9</v>
      </c>
      <c r="K4" s="171"/>
    </row>
    <row r="5" spans="2:17" ht="16.5" thickTop="1" thickBot="1" x14ac:dyDescent="0.3"/>
    <row r="6" spans="2:17" ht="16.5" thickTop="1" thickBot="1" x14ac:dyDescent="0.3">
      <c r="C6" s="382" t="s">
        <v>222</v>
      </c>
      <c r="D6" s="383"/>
      <c r="E6" s="383"/>
      <c r="F6" s="383"/>
      <c r="G6" s="384"/>
    </row>
    <row r="7" spans="2:17" x14ac:dyDescent="0.25">
      <c r="C7" s="385" t="s">
        <v>106</v>
      </c>
      <c r="D7" s="386"/>
      <c r="E7" s="99">
        <f ca="1">COUNTIF(F:F,"Weight*")</f>
        <v>1</v>
      </c>
      <c r="F7" s="98" t="s">
        <v>105</v>
      </c>
      <c r="G7" s="97" t="s">
        <v>425</v>
      </c>
    </row>
    <row r="8" spans="2:17" ht="15.75" thickBot="1" x14ac:dyDescent="0.3">
      <c r="C8" s="377" t="s">
        <v>102</v>
      </c>
      <c r="D8" s="378"/>
      <c r="E8" s="95">
        <v>3</v>
      </c>
      <c r="F8" s="94" t="s">
        <v>101</v>
      </c>
      <c r="G8" s="93" t="s">
        <v>100</v>
      </c>
    </row>
    <row r="9" spans="2:17" ht="15.75" thickTop="1" x14ac:dyDescent="0.25">
      <c r="C9" s="379" t="s">
        <v>99</v>
      </c>
      <c r="D9" s="380"/>
      <c r="E9" s="380"/>
      <c r="F9" s="380"/>
      <c r="G9" s="381"/>
    </row>
    <row r="10" spans="2:17" x14ac:dyDescent="0.25">
      <c r="C10" s="92" t="s">
        <v>98</v>
      </c>
      <c r="D10" s="91" t="str" cm="1">
        <f t="array" aca="1" ref="D10" ca="1">IF(GRDtCT="Dropped","NA",IF(GRDtCT="P/F",IF(GRDtP&gt;=PtNPass,PtLPass,PtLFail),IF(GRDtP&gt;=PtNA,PtLA,IF(GRDtP&gt;=PtNAm,PtLAm,IF(GRDtP&gt;=PtNBp,PtLBp,IF(GRDtP&gt;=PtNB,PtLB,IF(GRDtP&gt;=PtNBm,PtLBm,IF(GRDtP&gt;=PtNCp,PtLCp,IF(GRDtP&gt;=PtNC,PtLC,IF(GRDtP&gt;=PtNCm,PtLCm,IF(GRDtP&gt;=PtNDp,PtLDp,IF(GRDtP&gt;=PtND,PtLD,IF(GRDtP&gt;=PtNDm,PtLDm,PtLF)))))))))))))</f>
        <v>B</v>
      </c>
      <c r="E10" s="90" cm="1">
        <f t="array" aca="1" ref="E10" ca="1">SUM((PtGRDC1*PtWC1),(PtGRDC2*PtWC2)+(PtGRDC3*PtWC3),(PtGRDC4*PtWC4)+(PtGRDC5*PtWC5),(PtGRDC6*PtWC6),(PtGRDC7*PtWC7),(PtGRDC8*PtWC8),(PtGRDC9*PtWC9),(PtGRDC10*PtWC10),(PtGRDC11*PtWC11),(PtGRDC12*PtWC12))/SUM((PtGRDC1&gt;0)*PtWC1,(PtGRDC2&gt;0)*PtWC2,(PtGRDC3&gt;0)*PtWC3,(PtGRDC4&gt;0)*PtWC4,(PtGRDC5&gt;0)*PtWC5,(PtGRDC6&gt;0)*PtWC6,(PtGRDC7&gt;0)*PtWC7,(PtGRDC8&gt;0)*PtWC8,(PtGRDC9&gt;0)*PtWC9,(PtGRDC10&gt;0)*PtWC10,(PtGRDC11&gt;0)*PtWC11,(PtGRDC12&gt;0)*PtWC12)</f>
        <v>0.8571428571428571</v>
      </c>
      <c r="F10" s="12" t="s">
        <v>97</v>
      </c>
      <c r="G10" s="89" cm="1">
        <f t="array" aca="1" ref="G10" ca="1">IF(LtTC1&gt;0,((1-LtGRDC1)*(LtCC1/LtTC1)*(LtWC1)),0)+IF(LtTC2&gt;0,((1-LtGRDC2)*(LtCC2/LtTC2)*(LtWC2)),0)+IF(LtTC3&gt;0,((1-LtGRDC3)*(LtCC3/LtTC3)*(LtWC3)),0)+IF(LtTC4&gt;0,((1-LtGRDC4)*(LtCC4/LtTC4)*(LtWC4)),0)+IF(LtTC5&gt;0,((1-LtGRDC5)*(LtCC5/LtTC5)*(LtWC5)),0)+IF(LtTC6&gt;0,((1-LtGRDC6)*(LtCC6/LtTC6)*(LtWC6)),0)+IF(LtTC7&gt;0,((1-LtGRDC7)*(LtCC7/LtTC7)*(LtWC7)),0)+IF(LtTC8&gt;0,((1-LtGRDC8)*(LtCC8/LtTC8)*(LtWC8)),0)+IF(LtTC9&gt;0,((1-LtGRDC9)*(LtCC9/LtTC9)*(LtWC9)),0)+IF(LtTC10&gt;0,((1-LtGRDC10)*(LtCC1/LtTC10)*(LtWC10)),0)+IF(LtTC11&gt;0,((1-LtGRDC11)*(LtCC1/LtTC11)*(LtWC11)),0)+IF(LtTC12&gt;0,((1-LtGRDC12)*(LtCC12/LtTC12)*(LtWC12)),0)</f>
        <v>0.12500000000000006</v>
      </c>
    </row>
    <row r="11" spans="2:17" ht="15.75" thickBot="1" x14ac:dyDescent="0.3">
      <c r="C11" s="88" t="s">
        <v>96</v>
      </c>
      <c r="D11" s="87" cm="1">
        <f t="array" aca="1" ref="D11" ca="1">IF(OR(GPAtCT="Dropped",GPAtCT="P/F"),"NA",IF(GPAtGRD=Settings!$B$4,Settings!$C$4,IF(GPAtGRD=Settings!$B$5,Settings!$C$5,IF(GPAtGRD=Settings!$B$6,Settings!$C$6,IF(GPAtGRD=Settings!$B$7,Settings!$C$7,IF(GPAtGRD=Settings!$B$8,Settings!$C$8,IF(GPAtGRD=Settings!$B$9,Settings!$C$9,IF(GPAtGRD=Settings!$B$10,Settings!$C$10,IF(GPAtGRD=Settings!$B$11,Settings!$C$11,IF(GPAtGRD=Settings!$B$12,Settings!$C$12,IF(GPAtGRD=Settings!$B$13,Settings!$C$13,IF(GPAtGRD=Settings!$B$14,Settings!$C$14,Settings!$C$15))))))))))))</f>
        <v>3</v>
      </c>
      <c r="E11" s="86"/>
      <c r="F11" s="86" t="s">
        <v>95</v>
      </c>
      <c r="G11" s="242" cm="1">
        <f t="array" aca="1" ref="G11" ca="1">IF(OR(QPtCT="Dropped",QPtCT="P/F"),"NA",QPtGPA*QPtCR)</f>
        <v>9</v>
      </c>
    </row>
    <row r="12" spans="2:17" ht="15" customHeight="1" thickTop="1" thickBot="1" x14ac:dyDescent="0.3"/>
    <row r="13" spans="2:17" ht="16.5" thickTop="1" thickBot="1" x14ac:dyDescent="0.3">
      <c r="C13" s="389" t="s">
        <v>327</v>
      </c>
      <c r="D13" s="390"/>
      <c r="E13" s="390"/>
      <c r="F13" s="390"/>
      <c r="G13" s="391"/>
    </row>
    <row r="14" spans="2:17" ht="15.75" thickTop="1" x14ac:dyDescent="0.25">
      <c r="C14" s="392" t="s">
        <v>13</v>
      </c>
      <c r="D14" s="393"/>
      <c r="E14" s="231">
        <f>0.92</f>
        <v>0.92</v>
      </c>
      <c r="F14" s="5" t="s">
        <v>6</v>
      </c>
      <c r="G14" s="4">
        <f>0.69</f>
        <v>0.69</v>
      </c>
    </row>
    <row r="15" spans="2:17" x14ac:dyDescent="0.25">
      <c r="C15" s="387" t="s">
        <v>12</v>
      </c>
      <c r="D15" s="388"/>
      <c r="E15" s="231">
        <f>0.89</f>
        <v>0.89</v>
      </c>
      <c r="F15" s="5" t="s">
        <v>5</v>
      </c>
      <c r="G15" s="4">
        <f>0.66</f>
        <v>0.66</v>
      </c>
    </row>
    <row r="16" spans="2:17" x14ac:dyDescent="0.25">
      <c r="C16" s="387" t="s">
        <v>11</v>
      </c>
      <c r="D16" s="388"/>
      <c r="E16" s="231">
        <f>0.86</f>
        <v>0.86</v>
      </c>
      <c r="F16" s="5" t="s">
        <v>4</v>
      </c>
      <c r="G16" s="4">
        <f>0.61</f>
        <v>0.61</v>
      </c>
    </row>
    <row r="17" spans="3:7" x14ac:dyDescent="0.25">
      <c r="C17" s="387" t="s">
        <v>10</v>
      </c>
      <c r="D17" s="388"/>
      <c r="E17" s="231">
        <f>0.81</f>
        <v>0.81</v>
      </c>
      <c r="F17" s="5" t="s">
        <v>3</v>
      </c>
      <c r="G17" s="4">
        <v>0.56999999999999995</v>
      </c>
    </row>
    <row r="18" spans="3:7" x14ac:dyDescent="0.25">
      <c r="C18" s="387" t="s">
        <v>9</v>
      </c>
      <c r="D18" s="388"/>
      <c r="E18" s="231">
        <f>0.79</f>
        <v>0.79</v>
      </c>
      <c r="F18" s="7" t="s">
        <v>2</v>
      </c>
      <c r="G18" s="6">
        <f>0.5</f>
        <v>0.5</v>
      </c>
    </row>
    <row r="19" spans="3:7" x14ac:dyDescent="0.25">
      <c r="C19" s="387" t="s">
        <v>8</v>
      </c>
      <c r="D19" s="388"/>
      <c r="E19" s="231">
        <f>0.76</f>
        <v>0.76</v>
      </c>
      <c r="F19" s="5" t="s">
        <v>1</v>
      </c>
      <c r="G19" s="4">
        <f>G16</f>
        <v>0.61</v>
      </c>
    </row>
    <row r="20" spans="3:7" ht="15.75" thickBot="1" x14ac:dyDescent="0.3">
      <c r="C20" s="406" t="s">
        <v>7</v>
      </c>
      <c r="D20" s="407"/>
      <c r="E20" s="232">
        <f>0.71</f>
        <v>0.71</v>
      </c>
      <c r="F20" s="3" t="s">
        <v>0</v>
      </c>
      <c r="G20" s="2">
        <f>IFERROR(H29/F20,0)</f>
        <v>0</v>
      </c>
    </row>
    <row r="21" spans="3:7" ht="15" customHeight="1" thickTop="1" thickBot="1" x14ac:dyDescent="0.3"/>
    <row r="22" spans="3:7" ht="16.5" thickTop="1" thickBot="1" x14ac:dyDescent="0.3">
      <c r="C22" s="408" t="s">
        <v>426</v>
      </c>
      <c r="D22" s="409"/>
      <c r="E22" s="409"/>
      <c r="F22" s="409"/>
      <c r="G22" s="410"/>
    </row>
    <row r="23" spans="3:7" ht="16.5" thickTop="1" thickBot="1" x14ac:dyDescent="0.3">
      <c r="C23" s="237">
        <v>7</v>
      </c>
      <c r="D23" s="235" t="s">
        <v>326</v>
      </c>
      <c r="E23" s="236">
        <v>8</v>
      </c>
      <c r="F23" s="233" t="s">
        <v>19</v>
      </c>
      <c r="G23" s="234">
        <f>1</f>
        <v>1</v>
      </c>
    </row>
    <row r="24" spans="3:7" ht="15.75" thickTop="1" x14ac:dyDescent="0.25">
      <c r="C24" s="238" t="s">
        <v>98</v>
      </c>
      <c r="D24" s="254">
        <f ca="1">SUM(EtCT:downtwo)</f>
        <v>6</v>
      </c>
      <c r="E24" s="254">
        <f ca="1">SUM(TtCT:downtwo)</f>
        <v>7</v>
      </c>
      <c r="F24" s="411">
        <f ca="1">IFERROR(D24/E24,0)</f>
        <v>0.8571428571428571</v>
      </c>
      <c r="G24" s="412"/>
    </row>
    <row r="25" spans="3:7" ht="15.75" thickBot="1" x14ac:dyDescent="0.3">
      <c r="C25" s="239" t="s">
        <v>18</v>
      </c>
      <c r="D25" s="413" t="s">
        <v>17</v>
      </c>
      <c r="E25" s="413"/>
      <c r="F25" s="240" t="s">
        <v>16</v>
      </c>
      <c r="G25" s="241" t="s">
        <v>15</v>
      </c>
    </row>
    <row r="26" spans="3:7" ht="15.75" thickTop="1" x14ac:dyDescent="0.25">
      <c r="C26" s="11" t="s">
        <v>332</v>
      </c>
      <c r="D26" s="10">
        <v>1</v>
      </c>
      <c r="E26" s="10">
        <v>1</v>
      </c>
      <c r="F26" s="9">
        <f t="shared" ref="F26:F35" si="0">IFERROR(D26/E26,0)</f>
        <v>1</v>
      </c>
      <c r="G26" s="8"/>
    </row>
    <row r="27" spans="3:7" x14ac:dyDescent="0.25">
      <c r="C27" s="11" t="s">
        <v>333</v>
      </c>
      <c r="D27" s="71">
        <v>1</v>
      </c>
      <c r="E27" s="71">
        <v>1</v>
      </c>
      <c r="F27" s="63">
        <f t="shared" si="0"/>
        <v>1</v>
      </c>
      <c r="G27" s="76"/>
    </row>
    <row r="28" spans="3:7" x14ac:dyDescent="0.25">
      <c r="C28" s="11" t="s">
        <v>334</v>
      </c>
      <c r="D28" s="71"/>
      <c r="E28" s="71">
        <v>1</v>
      </c>
      <c r="F28" s="63">
        <f t="shared" si="0"/>
        <v>0</v>
      </c>
      <c r="G28" s="62"/>
    </row>
    <row r="29" spans="3:7" x14ac:dyDescent="0.25">
      <c r="C29" s="11" t="s">
        <v>335</v>
      </c>
      <c r="D29" s="71">
        <v>1</v>
      </c>
      <c r="E29" s="71">
        <v>1</v>
      </c>
      <c r="F29" s="63">
        <f t="shared" si="0"/>
        <v>1</v>
      </c>
      <c r="G29" s="62"/>
    </row>
    <row r="30" spans="3:7" x14ac:dyDescent="0.25">
      <c r="C30" s="11" t="s">
        <v>336</v>
      </c>
      <c r="D30" s="71">
        <v>1</v>
      </c>
      <c r="E30" s="71">
        <v>1</v>
      </c>
      <c r="F30" s="63">
        <f t="shared" si="0"/>
        <v>1</v>
      </c>
      <c r="G30" s="76"/>
    </row>
    <row r="31" spans="3:7" x14ac:dyDescent="0.25">
      <c r="C31" s="11" t="s">
        <v>337</v>
      </c>
      <c r="D31" s="71">
        <v>1</v>
      </c>
      <c r="E31" s="71">
        <v>1</v>
      </c>
      <c r="F31" s="63">
        <f t="shared" si="0"/>
        <v>1</v>
      </c>
      <c r="G31" s="62"/>
    </row>
    <row r="32" spans="3:7" x14ac:dyDescent="0.25">
      <c r="C32" s="11" t="s">
        <v>338</v>
      </c>
      <c r="D32" s="71">
        <v>1</v>
      </c>
      <c r="E32" s="71">
        <v>1</v>
      </c>
      <c r="F32" s="63">
        <f t="shared" si="0"/>
        <v>1</v>
      </c>
      <c r="G32" s="62"/>
    </row>
    <row r="33" spans="3:7" x14ac:dyDescent="0.25">
      <c r="C33" s="11" t="s">
        <v>339</v>
      </c>
      <c r="D33" s="71">
        <v>1</v>
      </c>
      <c r="E33" s="71">
        <v>1</v>
      </c>
      <c r="F33" s="63">
        <f t="shared" si="0"/>
        <v>1</v>
      </c>
      <c r="G33" s="62"/>
    </row>
    <row r="34" spans="3:7" x14ac:dyDescent="0.25">
      <c r="C34" s="11" t="s">
        <v>340</v>
      </c>
      <c r="D34" s="71"/>
      <c r="E34" s="71">
        <v>30</v>
      </c>
      <c r="F34" s="63">
        <f t="shared" si="0"/>
        <v>0</v>
      </c>
      <c r="G34" s="62"/>
    </row>
    <row r="35" spans="3:7" ht="15.75" thickBot="1" x14ac:dyDescent="0.3">
      <c r="C35" s="246" t="s">
        <v>341</v>
      </c>
      <c r="D35" s="247">
        <v>30</v>
      </c>
      <c r="E35" s="247">
        <v>30</v>
      </c>
      <c r="F35" s="248">
        <f t="shared" si="0"/>
        <v>1</v>
      </c>
      <c r="G35" s="249"/>
    </row>
    <row r="36" spans="3:7" ht="16.5" thickTop="1" thickBot="1" x14ac:dyDescent="0.3">
      <c r="C36" s="403"/>
      <c r="D36" s="404"/>
      <c r="E36" s="404"/>
      <c r="F36" s="404"/>
      <c r="G36" s="405"/>
    </row>
    <row r="37" spans="3:7" ht="15.75" thickTop="1" x14ac:dyDescent="0.25"/>
  </sheetData>
  <mergeCells count="22">
    <mergeCell ref="C15:D15"/>
    <mergeCell ref="C16:D16"/>
    <mergeCell ref="C19:D19"/>
    <mergeCell ref="C20:D20"/>
    <mergeCell ref="C7:D7"/>
    <mergeCell ref="C6:G6"/>
    <mergeCell ref="C9:G9"/>
    <mergeCell ref="C8:D8"/>
    <mergeCell ref="C14:D14"/>
    <mergeCell ref="C13:G13"/>
    <mergeCell ref="B2:D2"/>
    <mergeCell ref="E2:G2"/>
    <mergeCell ref="B3:C3"/>
    <mergeCell ref="E3:F3"/>
    <mergeCell ref="B4:C4"/>
    <mergeCell ref="E4:F4"/>
    <mergeCell ref="C36:G36"/>
    <mergeCell ref="D25:E25"/>
    <mergeCell ref="C17:D17"/>
    <mergeCell ref="C18:D18"/>
    <mergeCell ref="C22:G22"/>
    <mergeCell ref="F24:G24"/>
  </mergeCells>
  <phoneticPr fontId="6" type="noConversion"/>
  <dataValidations count="3">
    <dataValidation type="list" allowBlank="1" showInputMessage="1" showErrorMessage="1" sqref="G8" xr:uid="{7F9475FE-056D-4AD3-BABF-C4E9C25FDD96}">
      <formula1>",Class,Retaken,Dropped,P/F,Research"</formula1>
    </dataValidation>
    <dataValidation type="list" allowBlank="1" showInputMessage="1" showErrorMessage="1" sqref="E8" xr:uid="{80A73D12-7EB0-4A0D-BC03-E788EBAD14E4}">
      <formula1>"NA,1,2,3,4,5,6,7"</formula1>
    </dataValidation>
    <dataValidation type="whole" operator="greaterThan" allowBlank="1" showInputMessage="1" showErrorMessage="1" sqref="E23" xr:uid="{C2E831AD-5BD8-4C1F-811B-9162FB031FF9}">
      <formula1>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43EA736-5245-48CC-8BEC-D5555760E061}">
          <x14:formula1>
            <xm:f>OFFSET(Settings!$L$4,0,0,INDIRECT(ADDRESS(ROW(),COLUMN()+2))+1,1)</xm:f>
          </x14:formula1>
          <xm:sqref>C23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AFC9D-C1FE-4ED1-9806-8930BF7B6778}">
  <dimension ref="A2:F11"/>
  <sheetViews>
    <sheetView topLeftCell="A2" workbookViewId="0">
      <selection activeCell="G10" sqref="G10"/>
    </sheetView>
  </sheetViews>
  <sheetFormatPr defaultRowHeight="15" x14ac:dyDescent="0.25"/>
  <cols>
    <col min="1" max="16384" width="9.140625" style="356"/>
  </cols>
  <sheetData>
    <row r="2" spans="1:6" x14ac:dyDescent="0.25">
      <c r="B2" s="356" t="s">
        <v>565</v>
      </c>
    </row>
    <row r="4" spans="1:6" x14ac:dyDescent="0.25">
      <c r="B4" s="356" t="s">
        <v>562</v>
      </c>
      <c r="C4" s="356" t="s">
        <v>564</v>
      </c>
      <c r="D4" s="356">
        <v>4</v>
      </c>
      <c r="F4" s="356" t="s">
        <v>569</v>
      </c>
    </row>
    <row r="5" spans="1:6" x14ac:dyDescent="0.25">
      <c r="B5" s="356" t="s">
        <v>562</v>
      </c>
      <c r="C5" s="356" t="s">
        <v>566</v>
      </c>
      <c r="D5" s="356">
        <v>3</v>
      </c>
      <c r="F5" s="356">
        <v>110</v>
      </c>
    </row>
    <row r="6" spans="1:6" x14ac:dyDescent="0.25">
      <c r="A6" s="356" t="s">
        <v>568</v>
      </c>
      <c r="B6" s="356" t="s">
        <v>561</v>
      </c>
      <c r="C6" s="356" t="s">
        <v>563</v>
      </c>
      <c r="D6" s="356">
        <v>3</v>
      </c>
      <c r="F6" s="356">
        <v>111</v>
      </c>
    </row>
    <row r="7" spans="1:6" x14ac:dyDescent="0.25">
      <c r="B7" s="356" t="s">
        <v>561</v>
      </c>
      <c r="C7" s="356" t="s">
        <v>567</v>
      </c>
      <c r="D7" s="356">
        <v>3</v>
      </c>
      <c r="F7" s="356">
        <v>115</v>
      </c>
    </row>
    <row r="8" spans="1:6" x14ac:dyDescent="0.25">
      <c r="D8" s="356">
        <f>SUM(D3:D7)</f>
        <v>13</v>
      </c>
      <c r="F8" s="356">
        <v>301</v>
      </c>
    </row>
    <row r="9" spans="1:6" x14ac:dyDescent="0.25">
      <c r="F9" s="356">
        <v>373</v>
      </c>
    </row>
    <row r="10" spans="1:6" x14ac:dyDescent="0.25">
      <c r="F10" s="356">
        <v>397</v>
      </c>
    </row>
    <row r="11" spans="1:6" x14ac:dyDescent="0.25">
      <c r="F11" s="356">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Highschool</vt:lpstr>
      <vt:lpstr>Semester 1</vt:lpstr>
      <vt:lpstr>Semester 2</vt:lpstr>
      <vt:lpstr>Summer 2017</vt:lpstr>
      <vt:lpstr>Semester 3</vt:lpstr>
      <vt:lpstr>Semester 4</vt:lpstr>
      <vt:lpstr>Summer 2018</vt:lpstr>
      <vt:lpstr>Semester 5</vt:lpstr>
      <vt:lpstr>Semester 6</vt:lpstr>
      <vt:lpstr>Summer-Fall 2019</vt:lpstr>
      <vt:lpstr>Semester 7</vt:lpstr>
      <vt:lpstr>Summer 2020</vt:lpstr>
      <vt:lpstr>Semester 8</vt:lpstr>
      <vt:lpstr>Transcript</vt:lpstr>
      <vt:lpstr>Degree Audit</vt:lpstr>
      <vt:lpstr>Settings</vt:lpstr>
      <vt:lpstr>Template</vt:lpstr>
      <vt:lpstr>Sheet1</vt:lpstr>
      <vt:lpstr>'Semester 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Kirmeier</dc:creator>
  <cp:lastModifiedBy>Ryan Kirmeier</cp:lastModifiedBy>
  <dcterms:created xsi:type="dcterms:W3CDTF">2019-05-15T14:23:43Z</dcterms:created>
  <dcterms:modified xsi:type="dcterms:W3CDTF">2020-12-07T19:49:05Z</dcterms:modified>
  <cp:category>Grading, school</cp:category>
</cp:coreProperties>
</file>