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"/>
    </mc:Choice>
  </mc:AlternateContent>
  <xr:revisionPtr revIDLastSave="0" documentId="13_ncr:1_{3116CE81-AA2C-4680-8942-35B8587CB095}" xr6:coauthVersionLast="46" xr6:coauthVersionMax="46" xr10:uidLastSave="{00000000-0000-0000-0000-000000000000}"/>
  <bookViews>
    <workbookView xWindow="-108" yWindow="-108" windowWidth="23256" windowHeight="12576" tabRatio="834" activeTab="2" xr2:uid="{00000000-000D-0000-FFFF-FFFF00000000}"/>
  </bookViews>
  <sheets>
    <sheet name="Data for Prog" sheetId="2" r:id="rId1"/>
    <sheet name="Data validation" sheetId="5" r:id="rId2"/>
    <sheet name="Other Data" sheetId="4" r:id="rId3"/>
    <sheet name="price data" sheetId="7" r:id="rId4"/>
    <sheet name="G5" sheetId="6" r:id="rId5"/>
    <sheet name="Energy" sheetId="8" r:id="rId6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2" l="1"/>
  <c r="O54" i="2"/>
  <c r="N54" i="2"/>
  <c r="Q54" i="2"/>
  <c r="R233" i="2" l="1"/>
  <c r="Q233" i="2"/>
  <c r="P233" i="2"/>
  <c r="O233" i="2"/>
  <c r="N233" i="2"/>
  <c r="P175" i="2"/>
  <c r="O175" i="2"/>
  <c r="N175" i="2"/>
  <c r="Q175" i="2"/>
  <c r="N226" i="2"/>
  <c r="O226" i="2"/>
  <c r="Q226" i="2"/>
  <c r="P226" i="2"/>
  <c r="R226" i="2"/>
  <c r="S210" i="2"/>
  <c r="P183" i="2"/>
  <c r="O183" i="2"/>
  <c r="Q183" i="2"/>
  <c r="N159" i="2"/>
  <c r="N116" i="2"/>
  <c r="O159" i="2"/>
  <c r="O116" i="2"/>
  <c r="P158" i="2"/>
  <c r="Q158" i="2"/>
  <c r="P159" i="2"/>
  <c r="Q159" i="2"/>
  <c r="P116" i="2"/>
  <c r="Q116" i="2"/>
  <c r="Q32" i="2"/>
  <c r="J22" i="8"/>
  <c r="F13" i="8"/>
  <c r="G9" i="8"/>
  <c r="G19" i="8" s="1"/>
  <c r="G4" i="8"/>
  <c r="G14" i="8" s="1"/>
  <c r="G6" i="8"/>
  <c r="G16" i="8" s="1"/>
  <c r="G3" i="8"/>
  <c r="G13" i="8"/>
  <c r="H9" i="8"/>
  <c r="H19" i="8" s="1"/>
  <c r="H6" i="8"/>
  <c r="H16" i="8" s="1"/>
  <c r="H4" i="8"/>
  <c r="H14" i="8" s="1"/>
  <c r="H3" i="8"/>
  <c r="H13" i="8" s="1"/>
  <c r="I9" i="8"/>
  <c r="I19" i="8" s="1"/>
  <c r="I6" i="8"/>
  <c r="I16" i="8" s="1"/>
  <c r="I4" i="8"/>
  <c r="I14" i="8" s="1"/>
  <c r="I3" i="8"/>
  <c r="I13" i="8" s="1"/>
  <c r="I15" i="8"/>
  <c r="F19" i="8"/>
  <c r="I18" i="8"/>
  <c r="H18" i="8"/>
  <c r="G18" i="8"/>
  <c r="F18" i="8"/>
  <c r="I17" i="8"/>
  <c r="H17" i="8"/>
  <c r="G17" i="8"/>
  <c r="F17" i="8"/>
  <c r="F16" i="8"/>
  <c r="H15" i="8"/>
  <c r="G15" i="8"/>
  <c r="F15" i="8"/>
  <c r="F14" i="8"/>
  <c r="J19" i="8"/>
  <c r="J18" i="8"/>
  <c r="J17" i="8"/>
  <c r="J16" i="8"/>
  <c r="J15" i="8"/>
  <c r="J14" i="8"/>
  <c r="J13" i="8"/>
  <c r="N6" i="8"/>
  <c r="N5" i="8"/>
  <c r="N4" i="8"/>
  <c r="J9" i="8"/>
  <c r="J6" i="8"/>
  <c r="J5" i="8"/>
  <c r="J4" i="8"/>
  <c r="J3" i="8"/>
  <c r="P16" i="2"/>
  <c r="O16" i="2"/>
  <c r="N16" i="2"/>
  <c r="Q16" i="2"/>
  <c r="J5" i="7"/>
  <c r="I5" i="7"/>
  <c r="H5" i="7"/>
  <c r="G5" i="7"/>
  <c r="F5" i="7"/>
  <c r="E5" i="7"/>
  <c r="F20" i="8" l="1"/>
  <c r="G20" i="8"/>
  <c r="H20" i="8"/>
  <c r="I20" i="8"/>
  <c r="J20" i="8"/>
  <c r="E4" i="7"/>
  <c r="F4" i="7"/>
  <c r="G4" i="7"/>
  <c r="H4" i="7"/>
  <c r="I4" i="7"/>
  <c r="J4" i="7"/>
  <c r="K82" i="6"/>
  <c r="K95" i="6" s="1"/>
  <c r="K53" i="6"/>
  <c r="K74" i="6" s="1"/>
  <c r="K98" i="6"/>
  <c r="K104" i="6" s="1"/>
  <c r="K43" i="6"/>
  <c r="K47" i="6" s="1"/>
  <c r="K35" i="6"/>
  <c r="K38" i="6" s="1"/>
  <c r="K31" i="6"/>
  <c r="K33" i="6" s="1"/>
  <c r="K27" i="6"/>
  <c r="K29" i="6" s="1"/>
  <c r="K21" i="6"/>
  <c r="K25" i="6" s="1"/>
  <c r="K13" i="6"/>
  <c r="K18" i="6" s="1"/>
  <c r="K9" i="6"/>
  <c r="K11" i="6" s="1"/>
  <c r="K4" i="6"/>
  <c r="K7" i="6" s="1"/>
  <c r="D107" i="6"/>
  <c r="D106" i="6"/>
  <c r="E97" i="6"/>
  <c r="E77" i="6"/>
  <c r="E49" i="6"/>
  <c r="E40" i="6"/>
  <c r="E35" i="6"/>
  <c r="E31" i="6"/>
  <c r="E27" i="6"/>
  <c r="E20" i="6"/>
  <c r="E13" i="6"/>
  <c r="E9" i="6"/>
  <c r="E4" i="6"/>
  <c r="K107" i="6" l="1"/>
  <c r="K106" i="6"/>
  <c r="E106" i="6"/>
  <c r="E107" i="6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<sst xmlns="http://schemas.openxmlformats.org/spreadsheetml/2006/main" count="2710" uniqueCount="1045">
  <si>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</si>
  <si>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</si>
  <si>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</si>
  <si>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</si>
  <si>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</si>
  <si>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</si>
  <si>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</si>
  <si>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</si>
  <si>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</si>
  <si>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</si>
  <si>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</si>
  <si>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</si>
  <si>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</si>
  <si>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</si>
  <si>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</si>
  <si>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</si>
  <si>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</si>
  <si>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</si>
  <si>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</si>
  <si>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</si>
  <si>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</si>
  <si>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</si>
  <si>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</si>
  <si>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</si>
  <si>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</si>
  <si>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</si>
  <si>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</si>
  <si>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</si>
  <si>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</si>
  <si>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</si>
  <si>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</si>
  <si>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</si>
  <si>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</si>
  <si>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</si>
  <si>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</si>
  <si>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</si>
  <si>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</si>
  <si>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</si>
  <si>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</si>
  <si>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</si>
  <si>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</si>
  <si>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</si>
  <si>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</si>
  <si>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</si>
  <si>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</si>
  <si>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</si>
  <si>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</si>
  <si>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</si>
  <si>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</si>
  <si>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</si>
  <si>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</si>
  <si>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</si>
  <si>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</si>
  <si>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</si>
  <si>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</si>
  <si>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</si>
  <si>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</si>
  <si>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</si>
  <si>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</si>
  <si>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</si>
  <si>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</si>
  <si>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</si>
  <si>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</si>
  <si>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</si>
  <si>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</si>
  <si>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</si>
  <si>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</si>
  <si>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</si>
  <si>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</si>
  <si>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</si>
  <si>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</si>
  <si>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</si>
  <si>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</si>
  <si>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</si>
  <si>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</si>
  <si>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</si>
  <si>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</si>
  <si>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</si>
  <si>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</si>
  <si>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</si>
  <si>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</si>
  <si>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</si>
  <si>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</si>
  <si>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</si>
  <si>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</si>
  <si>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</si>
  <si>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</si>
  <si>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</si>
  <si>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</si>
  <si>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</si>
  <si>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</si>
  <si>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</si>
  <si>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</si>
  <si>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</si>
  <si>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</si>
  <si>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</si>
  <si>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</si>
  <si>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</si>
  <si>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</si>
  <si>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</si>
  <si>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</si>
  <si>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</si>
  <si>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</si>
  <si>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</si>
  <si>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</si>
  <si>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</si>
  <si>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</si>
  <si>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</si>
  <si>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</si>
  <si>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</si>
  <si>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</si>
  <si>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</si>
  <si>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</si>
  <si>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</si>
  <si>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</si>
  <si>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</si>
  <si>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</si>
  <si>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</si>
  <si>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</si>
  <si>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</si>
  <si>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</si>
  <si>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</si>
  <si>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</si>
  <si>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</si>
  <si>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</si>
  <si>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</si>
  <si>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</si>
  <si>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</si>
  <si>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</si>
  <si>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</si>
  <si>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</si>
  <si>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</si>
  <si>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</si>
  <si>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</si>
  <si>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</si>
  <si>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</si>
  <si>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</si>
  <si>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</si>
  <si>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</si>
  <si>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</si>
  <si>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</si>
  <si>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</si>
  <si>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</si>
  <si>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</si>
  <si>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</si>
  <si>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</si>
  <si>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</si>
  <si>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</si>
  <si>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</si>
  <si>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</si>
  <si>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</si>
  <si>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</si>
  <si>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</si>
  <si>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</si>
  <si>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</si>
  <si>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</si>
  <si>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</si>
  <si>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</si>
  <si>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</si>
  <si>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</si>
  <si>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</si>
  <si>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</si>
  <si>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</si>
  <si>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</si>
  <si>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</si>
  <si>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</si>
  <si>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</si>
  <si>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</si>
  <si>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</si>
  <si>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</si>
  <si>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</si>
  <si>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</si>
  <si>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</si>
  <si>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</si>
  <si>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</si>
  <si>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</si>
  <si>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</si>
  <si>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</si>
  <si>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</si>
  <si>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</si>
  <si>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</si>
  <si>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</si>
  <si>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</si>
  <si>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</si>
  <si>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</si>
  <si>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</si>
  <si>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</si>
  <si>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</si>
  <si>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</si>
  <si>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</si>
  <si>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</si>
  <si>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</si>
  <si>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</si>
  <si>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</si>
  <si>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</si>
  <si>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</si>
  <si>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</si>
  <si>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</si>
  <si>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</si>
  <si>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</si>
  <si>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</si>
  <si>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</si>
  <si>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</si>
  <si>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</si>
  <si>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</si>
  <si>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</si>
  <si>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</si>
  <si>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</si>
  <si>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</si>
  <si>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</si>
  <si>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</si>
  <si>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</si>
  <si>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</si>
  <si>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</si>
  <si>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</si>
  <si>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</si>
  <si>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</si>
  <si>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</si>
  <si>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</si>
  <si>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</si>
  <si>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</si>
  <si>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</si>
  <si>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</si>
  <si>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</si>
  <si>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</si>
  <si>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</si>
  <si>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</si>
  <si>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</si>
  <si>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</si>
  <si>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</si>
  <si>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</si>
  <si>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</si>
  <si>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</si>
  <si>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</si>
  <si>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</si>
  <si>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</si>
  <si>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</si>
  <si>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</si>
  <si>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</si>
  <si>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</si>
  <si>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</si>
  <si>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</si>
  <si>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</si>
  <si>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</si>
  <si>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</si>
  <si>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</si>
  <si>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</si>
  <si>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</si>
  <si>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</si>
  <si>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</si>
  <si>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</si>
  <si>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</si>
  <si>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</si>
  <si>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</si>
  <si>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</si>
  <si>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</si>
  <si>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</si>
  <si>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</si>
  <si>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</si>
  <si>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</si>
  <si>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</si>
  <si>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</si>
  <si>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</si>
  <si>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</si>
  <si>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</si>
  <si>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</si>
  <si>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</si>
  <si>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</si>
  <si>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</si>
  <si>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</si>
  <si>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</si>
  <si>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</si>
  <si>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</si>
  <si>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</si>
  <si>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</si>
  <si>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</si>
  <si>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</si>
  <si>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</si>
  <si>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</si>
  <si>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</si>
  <si>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</si>
  <si>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</si>
  <si>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</si>
  <si>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</si>
  <si>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</si>
  <si>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</si>
  <si>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</si>
  <si>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</si>
  <si>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</si>
  <si>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</si>
  <si>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</si>
  <si>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</si>
  <si>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</si>
  <si>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</si>
  <si>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</si>
  <si>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</si>
  <si>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</si>
  <si>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</si>
  <si>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</si>
  <si>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</si>
  <si>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</si>
  <si>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</si>
  <si>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</si>
  <si>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</si>
  <si>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</si>
  <si>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</si>
  <si>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</si>
  <si>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</si>
  <si>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</si>
  <si>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</si>
  <si>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</si>
  <si>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</si>
  <si>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</si>
  <si>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</si>
  <si>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</si>
  <si>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</si>
  <si>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</si>
  <si>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</si>
  <si>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</si>
  <si>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</si>
  <si>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</si>
  <si>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</si>
  <si>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</si>
  <si>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</si>
  <si>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</si>
  <si>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</si>
  <si>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</si>
  <si>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</si>
  <si>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</si>
  <si>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</si>
  <si>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</si>
  <si>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</si>
  <si>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</si>
  <si>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</si>
  <si>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</si>
  <si>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</si>
  <si>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</si>
  <si>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</si>
  <si>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</si>
  <si>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</si>
  <si>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</si>
  <si>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</si>
  <si>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</si>
  <si>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</si>
  <si>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</si>
  <si>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</si>
  <si>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</si>
  <si>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</si>
  <si>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</si>
  <si>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</si>
  <si>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</si>
  <si>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</si>
  <si>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</si>
  <si>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</si>
  <si>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</si>
  <si>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</si>
  <si>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</si>
  <si>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</si>
  <si>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</si>
  <si>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</si>
  <si>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</si>
  <si>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</si>
  <si>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</si>
  <si>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</si>
  <si>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</si>
  <si>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</si>
  <si>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</si>
  <si>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</si>
  <si>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</si>
  <si>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</si>
  <si>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</si>
  <si>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</si>
  <si>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</si>
  <si>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</si>
  <si>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</si>
  <si>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</si>
  <si>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</si>
  <si>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</si>
  <si>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</si>
  <si>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</si>
  <si>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</si>
  <si>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</si>
  <si>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</si>
  <si>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</si>
  <si>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</si>
  <si>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</si>
  <si>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</si>
  <si>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</si>
  <si>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</si>
  <si>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</si>
  <si>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</si>
  <si>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</si>
  <si>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</si>
  <si>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</si>
  <si>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</si>
  <si>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</si>
  <si>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</si>
  <si>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</si>
  <si>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</si>
  <si>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</si>
  <si>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</si>
  <si>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</si>
  <si>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</si>
  <si>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</si>
  <si>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</si>
  <si>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</si>
  <si>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</si>
  <si>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</si>
  <si>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</si>
  <si>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</si>
  <si>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</si>
  <si>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</si>
  <si>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</si>
  <si>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</si>
  <si>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</si>
  <si>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</si>
  <si>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</si>
  <si>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</si>
  <si>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</si>
  <si>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</si>
  <si>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</si>
  <si>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</si>
  <si>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</si>
  <si>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</si>
  <si>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</si>
  <si>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</si>
  <si>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</si>
  <si>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</si>
  <si>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</si>
  <si>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</si>
  <si>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</si>
  <si>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</si>
  <si>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</si>
  <si>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</si>
  <si>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</si>
  <si>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</si>
  <si>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</si>
  <si>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</si>
  <si>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</si>
  <si>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</si>
  <si>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</si>
  <si>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</si>
  <si>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</si>
  <si>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</si>
  <si>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</si>
  <si>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</si>
  <si>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</si>
  <si>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</si>
  <si>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</si>
  <si>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</si>
  <si>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</si>
  <si>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</si>
  <si>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</si>
  <si>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</si>
  <si>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</si>
  <si>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</si>
  <si>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</si>
  <si>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</si>
  <si>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</si>
  <si>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</si>
  <si>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</si>
  <si>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</si>
  <si>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</si>
  <si>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</si>
  <si>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</si>
  <si>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</si>
  <si>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</si>
  <si>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</si>
  <si>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</si>
  <si>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</si>
  <si>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</si>
  <si>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</si>
  <si>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</si>
  <si>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</si>
  <si>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</si>
  <si>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</si>
  <si>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</si>
  <si>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</si>
  <si>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</si>
  <si>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</si>
  <si>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</si>
  <si>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</si>
  <si>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</si>
  <si>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</si>
  <si>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</si>
  <si>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</si>
  <si>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</si>
  <si>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</si>
  <si>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</si>
  <si>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</si>
  <si>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</si>
  <si>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</si>
  <si>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</si>
  <si>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</si>
  <si>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</si>
  <si>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</si>
  <si>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</si>
  <si>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</si>
  <si>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</si>
  <si>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</si>
  <si>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</si>
  <si>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</si>
  <si>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</si>
  <si>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</si>
  <si>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</si>
  <si>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</si>
  <si>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</si>
  <si>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</si>
  <si>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</si>
  <si>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</si>
  <si>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</si>
  <si>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</si>
  <si>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</si>
  <si>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</si>
  <si>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</si>
  <si>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</si>
  <si>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</si>
  <si>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</si>
  <si>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</si>
  <si>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</si>
  <si>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</si>
  <si>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</si>
  <si>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</si>
  <si>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</si>
  <si>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</si>
  <si>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</si>
  <si>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</si>
  <si>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</si>
  <si>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</si>
  <si>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</si>
  <si>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</si>
  <si>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</si>
  <si>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</si>
  <si>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</si>
  <si>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</si>
  <si>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</si>
  <si>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</si>
  <si>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</si>
  <si>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</si>
  <si>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</si>
  <si>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</si>
  <si>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</si>
  <si>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</si>
  <si>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</si>
  <si>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</si>
  <si>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</si>
  <si>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</si>
  <si>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</si>
  <si>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</si>
  <si>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</si>
  <si>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</si>
  <si>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</si>
  <si>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</si>
  <si>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</si>
  <si>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</si>
  <si>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</si>
  <si>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</si>
  <si>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</si>
  <si>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</si>
  <si>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</si>
  <si>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</si>
  <si>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</si>
  <si>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</si>
  <si>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</si>
  <si>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</si>
  <si>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</si>
  <si>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</si>
  <si>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</si>
  <si>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</si>
  <si>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</si>
  <si>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</si>
  <si>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</si>
  <si>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</si>
  <si>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</si>
  <si>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</si>
  <si>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</si>
  <si>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</si>
  <si>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</si>
  <si>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</si>
  <si>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</si>
  <si>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</si>
  <si>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</si>
  <si>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</si>
  <si>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</si>
  <si>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</si>
  <si>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</si>
  <si>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</si>
  <si>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</si>
  <si>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</si>
  <si>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</si>
  <si>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</si>
  <si>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</si>
  <si>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</si>
  <si>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</si>
  <si>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</si>
  <si>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</si>
  <si>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</si>
  <si>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</si>
  <si>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</si>
  <si>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</si>
  <si>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</si>
  <si>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</si>
  <si>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</si>
  <si>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</si>
  <si>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</si>
  <si>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</si>
  <si>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</si>
  <si>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</si>
  <si>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</si>
  <si>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</si>
  <si>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</si>
  <si>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</si>
  <si>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</si>
  <si>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</si>
  <si>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</si>
  <si>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</si>
  <si>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</si>
  <si>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</si>
  <si>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</si>
  <si>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</si>
  <si>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</si>
  <si>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</si>
  <si>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</si>
  <si>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</si>
  <si>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</si>
  <si>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</si>
  <si>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</si>
  <si>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</si>
  <si>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</si>
  <si>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</si>
  <si>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</si>
  <si>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</si>
  <si>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</si>
  <si>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</si>
  <si>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</si>
  <si>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</si>
  <si>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</si>
  <si>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</si>
  <si>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</si>
  <si>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</si>
  <si>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</si>
  <si>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</si>
  <si>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</si>
  <si>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</si>
  <si>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</si>
  <si>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</si>
  <si>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</si>
  <si>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</si>
  <si>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</si>
  <si>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</si>
  <si>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</si>
  <si>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</si>
  <si>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</si>
  <si>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</si>
  <si>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</si>
  <si>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</si>
  <si>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</si>
  <si>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</si>
  <si>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</si>
  <si>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</si>
  <si>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</si>
  <si>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</si>
  <si>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</si>
  <si>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</si>
  <si>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</si>
  <si>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</si>
  <si>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</si>
  <si>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</si>
  <si>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</si>
  <si>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</si>
  <si>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</si>
  <si>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</si>
  <si>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</si>
  <si>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</si>
  <si>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</si>
  <si>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</si>
  <si>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</si>
  <si>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</si>
  <si>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</si>
  <si>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</si>
  <si>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</si>
  <si>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</si>
  <si>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</si>
  <si>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</si>
  <si>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</si>
  <si>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</si>
  <si>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</si>
  <si>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</si>
  <si>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</si>
  <si>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</si>
  <si>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</si>
  <si>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</si>
  <si>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</si>
  <si>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</si>
  <si>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</si>
  <si>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</si>
  <si>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</si>
  <si>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</si>
  <si>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</si>
  <si>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</si>
  <si>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</si>
  <si>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</si>
  <si>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</si>
  <si>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</si>
  <si>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</si>
  <si>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</si>
  <si>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</si>
  <si>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</si>
  <si>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</si>
  <si>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</si>
  <si>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</si>
  <si>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</si>
  <si>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</si>
  <si>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</si>
  <si>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</si>
  <si>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</si>
  <si>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</si>
  <si>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</si>
  <si>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</si>
  <si>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</si>
  <si>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</si>
  <si>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</si>
  <si>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</si>
  <si>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</si>
  <si>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</si>
  <si>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</si>
  <si>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</si>
  <si>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</si>
  <si>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</si>
  <si>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</si>
  <si>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</si>
  <si>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</si>
  <si>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</si>
  <si>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</si>
  <si>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</si>
  <si>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</si>
  <si>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</si>
  <si>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</si>
  <si>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</si>
  <si>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</si>
  <si>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</si>
  <si>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</si>
  <si>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</si>
  <si>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</si>
  <si>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</si>
  <si>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</si>
  <si>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</si>
  <si>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</si>
  <si>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</si>
  <si>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</si>
  <si>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</si>
  <si>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</si>
  <si>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</si>
  <si>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</si>
  <si>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</si>
  <si>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</si>
  <si>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</si>
  <si>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</si>
  <si>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</si>
  <si>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</si>
  <si>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</si>
  <si>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</si>
  <si>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</si>
  <si>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</si>
  <si>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</si>
  <si>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</si>
  <si>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</si>
  <si>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</si>
  <si>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</si>
  <si>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</si>
  <si>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</si>
  <si>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</si>
  <si>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</si>
  <si>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</si>
  <si>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</si>
  <si>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</si>
  <si>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</si>
  <si>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</si>
  <si>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</si>
  <si>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</si>
  <si>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</si>
  <si>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</si>
  <si>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</si>
  <si>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</si>
  <si>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</si>
  <si>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</si>
  <si>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</si>
  <si>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</si>
  <si>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</si>
  <si>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</si>
  <si>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</si>
  <si>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</si>
  <si>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</si>
  <si>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</si>
  <si>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</si>
  <si>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</si>
  <si>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</si>
  <si>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</si>
  <si>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</si>
  <si>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</si>
  <si>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</si>
  <si>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</si>
  <si>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</si>
  <si>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</si>
  <si>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</si>
  <si>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</si>
  <si>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</si>
  <si>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</si>
  <si>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</si>
  <si>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</si>
  <si>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</si>
  <si>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</si>
  <si>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</si>
  <si>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</si>
  <si>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</si>
  <si>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</si>
  <si>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</si>
  <si>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</si>
  <si>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</si>
  <si>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</si>
  <si>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</si>
  <si>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</si>
  <si>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</si>
  <si>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</si>
  <si>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</si>
  <si>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</si>
  <si>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</si>
  <si>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</si>
  <si>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</si>
  <si>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</si>
  <si>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</si>
  <si>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</si>
  <si>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</si>
  <si>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</si>
  <si>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</si>
  <si>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Directors</t>
  </si>
  <si>
    <t>Designation</t>
  </si>
  <si>
    <t>Age</t>
  </si>
  <si>
    <t>Experience</t>
  </si>
  <si>
    <t>Education</t>
  </si>
  <si>
    <t>Board memberships</t>
  </si>
  <si>
    <t>Relevent experience</t>
  </si>
  <si>
    <t>Committee membership</t>
  </si>
  <si>
    <t>Status</t>
  </si>
  <si>
    <t>Stock ownership</t>
  </si>
  <si>
    <t>Mkt. Value of Stock</t>
  </si>
  <si>
    <t>Remuneration</t>
  </si>
  <si>
    <t>company</t>
  </si>
  <si>
    <t>Function</t>
  </si>
  <si>
    <t>Year on board</t>
  </si>
  <si>
    <t>Non-Executive Director</t>
  </si>
  <si>
    <t>Prior</t>
  </si>
  <si>
    <t>-</t>
  </si>
  <si>
    <t>Current</t>
  </si>
  <si>
    <t>Member of the Board of Directors</t>
  </si>
  <si>
    <t>2007-Present</t>
  </si>
  <si>
    <t>2005-Present</t>
  </si>
  <si>
    <t>Executive Director</t>
  </si>
  <si>
    <t>Member of the Board of Directors (Prior)</t>
  </si>
  <si>
    <t>Chairman</t>
  </si>
  <si>
    <t>Member</t>
  </si>
  <si>
    <t>2004-Present</t>
  </si>
  <si>
    <t>Independent Director</t>
  </si>
  <si>
    <t>2017-Present</t>
  </si>
  <si>
    <t>2016-Present</t>
  </si>
  <si>
    <t>Cummulative</t>
  </si>
  <si>
    <t>Average</t>
  </si>
  <si>
    <t>Mr. Jian Yi</t>
  </si>
  <si>
    <t>Mr. Hou Xiaohai</t>
  </si>
  <si>
    <t>Mr. Lai Po Sing, Tomakin</t>
  </si>
  <si>
    <t>CEO</t>
  </si>
  <si>
    <t>CFO</t>
  </si>
  <si>
    <t>Mr. Lai Ni Hium, Frank</t>
  </si>
  <si>
    <t>Mr. Richard Raymond Weissend</t>
  </si>
  <si>
    <t>Mr. Tuen-Muk Lai Shu</t>
  </si>
  <si>
    <t>Mr. Houang Tai Ninh</t>
  </si>
  <si>
    <t>Dr. Li Ka Cheung, Eric</t>
  </si>
  <si>
    <t>Dr. Cheng Mo Chi, Moses</t>
  </si>
  <si>
    <t>Mr. Bernard Charnwut Chan</t>
  </si>
  <si>
    <t>Mr. Siu Kwing Chue, Gordon</t>
  </si>
  <si>
    <t>Nominating</t>
  </si>
  <si>
    <t>Compensation</t>
  </si>
  <si>
    <t xml:space="preserve">Renmin University of China (Bachelor's Degree, Statistics;) </t>
  </si>
  <si>
    <t>China Resources Beer (Holdings) Company Limited (SEHK:291)</t>
  </si>
  <si>
    <t xml:space="preserve">Peking University (LLB; Master's Degree;) </t>
  </si>
  <si>
    <t>2018-Present</t>
  </si>
  <si>
    <t xml:space="preserve">Chinese University of Hong Kong (Bachelor's Degree, Business Administration;), University of Manchester (MBA;) </t>
  </si>
  <si>
    <t>New Zealand King Salmon Investments Limited (NZSE:NZK)</t>
  </si>
  <si>
    <t>2019-Present</t>
  </si>
  <si>
    <t>Oatly Group AB</t>
  </si>
  <si>
    <t>2021-Present</t>
  </si>
  <si>
    <t>Scales Corporation Limited (NZSE:SCL)</t>
  </si>
  <si>
    <t xml:space="preserve">The University of Western Australia (Bachelor's Degree, Commerce, 1982;), Curtin University (Unknown/Other Education, Business; Unknown/Other Education, Administration;) </t>
  </si>
  <si>
    <t>China Auto System Technologies Limited</t>
  </si>
  <si>
    <t>2010-Present</t>
  </si>
  <si>
    <t>2009-Present</t>
  </si>
  <si>
    <t>China Resources Microelectronics Limited (SHSE:688396)</t>
  </si>
  <si>
    <t>2008-2010</t>
  </si>
  <si>
    <t>Dah Chong Hong Holdings Limited</t>
  </si>
  <si>
    <t>2016-2020</t>
  </si>
  <si>
    <t xml:space="preserve">University of Hong Kong (Bachelor's Degree, Finance, 1997;), City University of Hong Kong (Master's Degree, Finance, 2004;) </t>
  </si>
  <si>
    <t xml:space="preserve">Staffordshire University (Bachelor's Degree, Business;) </t>
  </si>
  <si>
    <t xml:space="preserve">University of Hong Kong (LLB, 1972; Master's Degree, Law, 1973;) </t>
  </si>
  <si>
    <t xml:space="preserve">Pomona College (BA, 1988;) </t>
  </si>
  <si>
    <t>2020-Present</t>
  </si>
  <si>
    <t>1988-Present</t>
  </si>
  <si>
    <t>AVIC International Holding (HK) Limited (SEHK:232)</t>
  </si>
  <si>
    <t>Bank of Communications Co., Ltd. (SEHK:3328)</t>
  </si>
  <si>
    <t>2007-2013</t>
  </si>
  <si>
    <t>Bison Finance Group Limited (SEHK:888)</t>
  </si>
  <si>
    <t>2004-2017</t>
  </si>
  <si>
    <t>2003-Present</t>
  </si>
  <si>
    <t>China Vanke Co., Ltd. (SZSE:000002)</t>
  </si>
  <si>
    <t>2002-Unknown</t>
  </si>
  <si>
    <t>ARA Asset Management Limited</t>
  </si>
  <si>
    <t>2007-Unknown</t>
  </si>
  <si>
    <t>Beijing Capital International Airport Company Limited (SEHK:694)</t>
  </si>
  <si>
    <t>1999-2008</t>
  </si>
  <si>
    <t>China Medical &amp; HealthCare Group Limited (SEHK:383)</t>
  </si>
  <si>
    <t>1999-Unknown</t>
  </si>
  <si>
    <t>China Mobile Limited (SEHK:941)</t>
  </si>
  <si>
    <t>Asia Financial Holdings Limited (SEHK:662)</t>
  </si>
  <si>
    <t>1997-Present</t>
  </si>
  <si>
    <t>Beijing Properties (Holdings) Limited (SEHK:925)</t>
  </si>
  <si>
    <t>1997-2007</t>
  </si>
  <si>
    <t>Bumrungrad Hospital Public Company Limited (SET:BH)</t>
  </si>
  <si>
    <t>Chen Hsong Holdings Limited (SEHK:57)</t>
  </si>
  <si>
    <t>China Resources (Boxing) Oleochemicals Co., Ltd.</t>
  </si>
  <si>
    <t>2006-Present</t>
  </si>
  <si>
    <t>Long Win Bus Company Limited</t>
  </si>
  <si>
    <t>Television Broadcasts Limited (SEHK:511)</t>
  </si>
  <si>
    <t>2007-2015</t>
  </si>
  <si>
    <t>The Kowloon Motor Bus Company (1933) Limited</t>
  </si>
  <si>
    <t>Transport International Holdings Limited (SEHK:62)</t>
  </si>
  <si>
    <t>Tung Shing Securities (Brokers) Limited</t>
  </si>
  <si>
    <t>COSCO SHIPPING Holdings Co., Ltd. (SEHK:1919)</t>
  </si>
  <si>
    <t>2005-2011</t>
  </si>
  <si>
    <t>DreamEast Group Limited (SEHK:593)</t>
  </si>
  <si>
    <t>1997-2005</t>
  </si>
  <si>
    <t>Fortune Real Estate Investment Trust (SEHK:778)</t>
  </si>
  <si>
    <t>2003-2010</t>
  </si>
  <si>
    <t>Galaxy Entertainment Group Limited (SEHK:27)</t>
  </si>
  <si>
    <t>1996-2009</t>
  </si>
  <si>
    <t>Giant Great Limited</t>
  </si>
  <si>
    <t>Guangdong Investment Limited (SEHK:270)</t>
  </si>
  <si>
    <t>1999-Present</t>
  </si>
  <si>
    <t>Guangdong Land Holdings Limited (SEHK:124)</t>
  </si>
  <si>
    <t>Member of the Board of Directors (Prior), Unit Board Member (Prior)</t>
  </si>
  <si>
    <t>1997-Unknown</t>
  </si>
  <si>
    <t>Hong Kong Exchanges and Clearing Limited (SEHK:388)</t>
  </si>
  <si>
    <t>2006-2012</t>
  </si>
  <si>
    <t>Hong Kong Television Network Limited (SEHK:1137)</t>
  </si>
  <si>
    <t>2004-2014</t>
  </si>
  <si>
    <t>K. Wah International Holdings Limited (SEHK:173)</t>
  </si>
  <si>
    <t>K.Wah Group</t>
  </si>
  <si>
    <t>Kader Holdings Company Limited (SEHK:180)</t>
  </si>
  <si>
    <t>1999-2019</t>
  </si>
  <si>
    <t>Liu Chong Hing Investment Limited (SEHK:194)</t>
  </si>
  <si>
    <t>Pokfulam Development Company Limited (SEHK:225)</t>
  </si>
  <si>
    <t>1994-Unknown</t>
  </si>
  <si>
    <t>Sinofortune Financial Holdings Limited (SEHK:8123)</t>
  </si>
  <si>
    <t>SOCAM Development Limited (SEHK:983)</t>
  </si>
  <si>
    <t>2004-2008</t>
  </si>
  <si>
    <t>The Hong Kong and China Gas Company Limited (SEHK:3)</t>
  </si>
  <si>
    <t>Tian An China Investments Company Limited (SEHK:28)</t>
  </si>
  <si>
    <t>Towngas China Company Limited (SEHK:1083)</t>
  </si>
  <si>
    <t>China Tian Yuan Healthcare Group Limited (SEHK:557)</t>
  </si>
  <si>
    <t>2004-2016</t>
  </si>
  <si>
    <t>City Developments Limited (SGX:C09)</t>
  </si>
  <si>
    <t>CMB Wing Lung Bank Limited</t>
  </si>
  <si>
    <t>2007-2017</t>
  </si>
  <si>
    <t>Grand Plaza Hotel Corporation (PSE:GPH)</t>
  </si>
  <si>
    <t>1990-Unknown</t>
  </si>
  <si>
    <t>IMC Holdings Ltd.</t>
  </si>
  <si>
    <t>1998-Present</t>
  </si>
  <si>
    <t>Kingboard Laminates Holdings Limited (SEHK:1888)</t>
  </si>
  <si>
    <t>2006-2011</t>
  </si>
  <si>
    <t>LVGEM (China) Real Estate Investment Company Limited</t>
  </si>
  <si>
    <t>2005-2014</t>
  </si>
  <si>
    <t>LVGEM (China) Real Estate Investment Company Limited (SEHK:95)</t>
  </si>
  <si>
    <t>Nest Ventures</t>
  </si>
  <si>
    <t>Member of Advisory Board</t>
  </si>
  <si>
    <t>Pioneer Global Group Limited (SEHK:224)</t>
  </si>
  <si>
    <t>1994-2007</t>
  </si>
  <si>
    <t>Yau Lee Holdings Limited (SEHK:406)</t>
  </si>
  <si>
    <t>2000-Present</t>
  </si>
  <si>
    <t>Date</t>
  </si>
  <si>
    <t>Price</t>
  </si>
  <si>
    <t>ESG Report pg 59</t>
  </si>
  <si>
    <t>Calculated</t>
  </si>
  <si>
    <t>ESG Report pg 57</t>
  </si>
  <si>
    <t>Coal</t>
  </si>
  <si>
    <t>Electricity</t>
  </si>
  <si>
    <t>Solar</t>
  </si>
  <si>
    <t>Natural gas</t>
  </si>
  <si>
    <t>Gasoline</t>
  </si>
  <si>
    <t>Diesel</t>
  </si>
  <si>
    <t>Heat consumption</t>
  </si>
  <si>
    <t>tons</t>
  </si>
  <si>
    <t>KWh</t>
  </si>
  <si>
    <t>m3</t>
  </si>
  <si>
    <t>jouls</t>
  </si>
  <si>
    <t>MJ</t>
  </si>
  <si>
    <t>MWh conversion per unit</t>
  </si>
  <si>
    <t>ESG Report pg 78</t>
  </si>
  <si>
    <t>ESG Report pg 66</t>
  </si>
  <si>
    <t>ESG Report pg 67</t>
  </si>
  <si>
    <t>ESG Report pg 29</t>
  </si>
  <si>
    <t>ESG Report pg 27</t>
  </si>
  <si>
    <t>ESG Report pg 63</t>
  </si>
  <si>
    <t>ESG Report pg 61</t>
  </si>
  <si>
    <t>ESG Report pg 39</t>
  </si>
  <si>
    <t>ESG Report pg 40</t>
  </si>
  <si>
    <t>ESG Report pg 33</t>
  </si>
  <si>
    <t>ESG Report pg 49</t>
  </si>
  <si>
    <t>ESG Report pg 44</t>
  </si>
  <si>
    <t>ESG Report pg 45</t>
  </si>
  <si>
    <t>ESG Report pg 48</t>
  </si>
  <si>
    <t>ESG Report pg 4</t>
  </si>
  <si>
    <t>ESG Report pg 32</t>
  </si>
  <si>
    <t>ESG Report pg 28</t>
  </si>
  <si>
    <t>ESG Report pg 19</t>
  </si>
  <si>
    <t>ESG Report pg 81</t>
  </si>
  <si>
    <t>ESG Report pg 31</t>
  </si>
  <si>
    <t>Annual Report pg 43</t>
  </si>
  <si>
    <t>ESG Report pg 70</t>
  </si>
  <si>
    <t>Factset</t>
  </si>
  <si>
    <t>China State-Owned Assets Supervision &amp; Admn Commission</t>
  </si>
  <si>
    <t>Tsingao, Yanjing and CR Snow</t>
  </si>
  <si>
    <t>Annual Report pg 177</t>
  </si>
  <si>
    <t>Annual Report pg 38</t>
  </si>
  <si>
    <t>Annual Report pg 59</t>
  </si>
  <si>
    <t>Annual Report pg 66</t>
  </si>
  <si>
    <t>Annual Report pg 153</t>
  </si>
  <si>
    <t>Annual Report pg 154</t>
  </si>
  <si>
    <t>Annual Report pg 71</t>
  </si>
  <si>
    <t>ESG Report pg 18</t>
  </si>
  <si>
    <t>ESG Report pg 20</t>
  </si>
  <si>
    <t>ESG Report pg 2</t>
  </si>
  <si>
    <t>Hong Kong Financial Reporting Standards (“HKFRSs”)</t>
  </si>
  <si>
    <t>ESG Report pg 30</t>
  </si>
  <si>
    <t>ESG Report pg 24</t>
  </si>
  <si>
    <t>Annual Report pg 75</t>
  </si>
  <si>
    <t>Deloitte</t>
  </si>
  <si>
    <t>PWC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</si>
</sst>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0.000000%"/>
    <numFmt numFmtId="169" formatCode="0.0000%"/>
    <numFmt numFmtId="170" formatCode="0.000%"/>
    <numFmt numFmtId="171" formatCode="_(* #,##0.0_);_(* \(#,##0.0\);_(* &quot;-&quot;??_);_(@_)"/>
    <numFmt numFmtId="172" formatCode="0.0000"/>
    <numFmt numFmtId="173" formatCode="_(* #,##0.000000_);_(* \(#,##0.0000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7"/>
      <color rgb="FF333333"/>
      <name val="Inherit"/>
    </font>
    <font>
      <sz val="7"/>
      <color rgb="FF0EA600"/>
      <name val="Arial"/>
      <family val="2"/>
    </font>
    <font>
      <sz val="7"/>
      <color rgb="FFFF0000"/>
      <name val="Arial"/>
      <family val="2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10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0" borderId="0" xfId="2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 applyBorder="1"/>
    <xf numFmtId="0" fontId="0" fillId="0" borderId="0" xfId="0" applyFill="1" applyBorder="1"/>
    <xf numFmtId="164" fontId="0" fillId="0" borderId="0" xfId="2" applyNumberFormat="1" applyFont="1" applyFill="1" applyBorder="1"/>
    <xf numFmtId="168" fontId="2" fillId="0" borderId="0" xfId="0" applyNumberFormat="1" applyFont="1" applyFill="1" applyBorder="1"/>
    <xf numFmtId="164" fontId="2" fillId="0" borderId="0" xfId="2" applyNumberFormat="1" applyFont="1" applyFill="1" applyBorder="1"/>
    <xf numFmtId="3" fontId="2" fillId="0" borderId="0" xfId="0" applyNumberFormat="1" applyFont="1" applyFill="1" applyBorder="1"/>
    <xf numFmtId="170" fontId="0" fillId="0" borderId="0" xfId="0" applyNumberFormat="1" applyFill="1" applyBorder="1"/>
    <xf numFmtId="10" fontId="0" fillId="0" borderId="0" xfId="0" applyNumberFormat="1" applyFill="1" applyBorder="1"/>
    <xf numFmtId="0" fontId="8" fillId="6" borderId="5" xfId="0" applyFont="1" applyFill="1" applyBorder="1" applyAlignment="1">
      <alignment horizontal="right" vertical="center" wrapText="1" readingOrder="1"/>
    </xf>
    <xf numFmtId="0" fontId="8" fillId="6" borderId="6" xfId="0" applyFont="1" applyFill="1" applyBorder="1" applyAlignment="1">
      <alignment horizontal="right" vertical="center" wrapText="1" readingOrder="1"/>
    </xf>
    <xf numFmtId="0" fontId="9" fillId="6" borderId="6" xfId="0" applyFont="1" applyFill="1" applyBorder="1" applyAlignment="1">
      <alignment horizontal="right" vertical="center" wrapText="1" readingOrder="1"/>
    </xf>
    <xf numFmtId="0" fontId="8" fillId="7" borderId="6" xfId="0" applyFont="1" applyFill="1" applyBorder="1" applyAlignment="1">
      <alignment horizontal="right" vertical="center" wrapText="1" readingOrder="1"/>
    </xf>
    <xf numFmtId="16" fontId="7" fillId="6" borderId="7" xfId="0" applyNumberFormat="1" applyFont="1" applyFill="1" applyBorder="1" applyAlignment="1">
      <alignment horizontal="left" vertical="center" readingOrder="1"/>
    </xf>
    <xf numFmtId="16" fontId="7" fillId="6" borderId="8" xfId="0" applyNumberFormat="1" applyFont="1" applyFill="1" applyBorder="1" applyAlignment="1">
      <alignment horizontal="left" vertical="center" readingOrder="1"/>
    </xf>
    <xf numFmtId="16" fontId="7" fillId="7" borderId="8" xfId="0" applyNumberFormat="1" applyFont="1" applyFill="1" applyBorder="1" applyAlignment="1">
      <alignment horizontal="left" vertical="center" readingOrder="1"/>
    </xf>
    <xf numFmtId="171" fontId="0" fillId="0" borderId="0" xfId="2" applyNumberFormat="1" applyFont="1"/>
    <xf numFmtId="0" fontId="10" fillId="6" borderId="9" xfId="0" applyFont="1" applyFill="1" applyBorder="1" applyAlignment="1">
      <alignment vertical="top" wrapText="1"/>
    </xf>
    <xf numFmtId="171" fontId="10" fillId="6" borderId="9" xfId="2" applyNumberFormat="1" applyFont="1" applyFill="1" applyBorder="1" applyAlignment="1">
      <alignment vertical="top" wrapText="1"/>
    </xf>
    <xf numFmtId="9" fontId="0" fillId="0" borderId="0" xfId="1" applyFont="1" applyFill="1"/>
    <xf numFmtId="169" fontId="0" fillId="0" borderId="0" xfId="1" applyNumberFormat="1" applyFont="1" applyFill="1"/>
    <xf numFmtId="169" fontId="0" fillId="0" borderId="0" xfId="0" applyNumberFormat="1" applyFill="1"/>
    <xf numFmtId="164" fontId="0" fillId="0" borderId="0" xfId="0" applyNumberFormat="1"/>
    <xf numFmtId="173" fontId="0" fillId="0" borderId="0" xfId="2" applyNumberFormat="1" applyFont="1"/>
    <xf numFmtId="172" fontId="0" fillId="0" borderId="0" xfId="0" applyNumberFormat="1"/>
    <xf numFmtId="10" fontId="0" fillId="0" borderId="0" xfId="1" applyNumberFormat="1" applyFont="1"/>
    <xf numFmtId="171" fontId="0" fillId="0" borderId="0" xfId="2" applyNumberFormat="1" applyFont="1" applyFill="1"/>
    <xf numFmtId="0" fontId="11" fillId="0" borderId="0" xfId="0" applyFont="1" applyFill="1"/>
    <xf numFmtId="0" fontId="12" fillId="0" borderId="0" xfId="0" applyFont="1"/>
    <xf numFmtId="9" fontId="0" fillId="0" borderId="0" xfId="1" applyNumberFormat="1" applyFont="1" applyFill="1"/>
    <xf numFmtId="0" fontId="0" fillId="0" borderId="0" xfId="0" applyNumberFormat="1" applyFill="1"/>
    <xf numFmtId="0" fontId="2" fillId="2" borderId="0" xfId="0" applyFont="1" applyFill="1" applyAlignment="1">
      <alignment horizontal="center"/>
    </xf>
    <xf numFmtId="2" fontId="0" fillId="0" borderId="0" xfId="2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zoomScale="70" zoomScaleNormal="70" workbookViewId="0">
      <pane xSplit="3" ySplit="2" topLeftCell="D281" activePane="bottomRight" state="frozen"/>
      <selection pane="topRight" activeCell="D1" sqref="D1"/>
      <selection pane="bottomLeft" activeCell="A3" sqref="A3"/>
      <selection pane="bottomRight" activeCell="S319" sqref="S319"/>
    </sheetView>
  </sheetViews>
  <sheetFormatPr defaultRowHeight="14.4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32.21875" style="7" customWidth="1"/>
    <col min="6" max="6" width="34.109375" style="7" customWidth="1"/>
    <col min="7" max="7" width="10.44140625" style="7" customWidth="1"/>
    <col min="8" max="8" width="8" style="7" customWidth="1"/>
    <col min="9" max="9" width="4.109375" style="7" customWidth="1"/>
    <col min="10" max="10" width="5" style="7" customWidth="1"/>
    <col min="11" max="11" width="5.88671875" style="7" bestFit="1" customWidth="1"/>
    <col min="12" max="12" width="2.88671875" style="7" customWidth="1"/>
    <col min="13" max="18" width="16.109375" style="7" bestFit="1" customWidth="1"/>
    <col min="19" max="19" width="14.77734375" style="7" customWidth="1"/>
    <col min="20" max="20" width="3.6640625" style="7" customWidth="1"/>
    <col min="21" max="24" width="8.88671875" style="7"/>
    <col min="25" max="25" width="13.33203125" style="7" bestFit="1" customWidth="1"/>
    <col min="26" max="26" width="16.77734375" style="7" bestFit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32" t="s">
        <v>776</v>
      </c>
      <c r="I3" s="7" t="s">
        <v>647</v>
      </c>
      <c r="J3" s="32" t="s">
        <v>799</v>
      </c>
      <c r="M3" s="8">
        <v>27959000000</v>
      </c>
      <c r="N3" s="8">
        <v>28694000000</v>
      </c>
      <c r="O3" s="8">
        <v>29732000000</v>
      </c>
      <c r="P3" s="8">
        <v>31867000000</v>
      </c>
      <c r="Q3" s="8">
        <v>33190000000</v>
      </c>
      <c r="R3" s="8">
        <v>31448000000</v>
      </c>
    </row>
    <row r="4" spans="2:29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CNY</v>
      </c>
      <c r="I4" s="7" t="s">
        <v>647</v>
      </c>
      <c r="J4" s="7" t="str">
        <f>J3</f>
        <v>December</v>
      </c>
      <c r="M4" s="8">
        <v>19272000000</v>
      </c>
      <c r="N4" s="8">
        <v>19021000000</v>
      </c>
      <c r="O4" s="8">
        <v>19703000000</v>
      </c>
      <c r="P4" s="8">
        <v>20669000000</v>
      </c>
      <c r="Q4" s="8">
        <v>20964000000</v>
      </c>
      <c r="R4" s="8">
        <v>19373000000</v>
      </c>
    </row>
    <row r="5" spans="2:29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CNY</v>
      </c>
      <c r="I5" s="7" t="s">
        <v>647</v>
      </c>
      <c r="J5" s="7" t="str">
        <f>J3</f>
        <v>December</v>
      </c>
      <c r="M5" s="8">
        <v>-4008000000</v>
      </c>
      <c r="N5" s="8">
        <v>1419000000</v>
      </c>
      <c r="O5" s="8">
        <v>1186000000</v>
      </c>
      <c r="P5" s="8">
        <v>985000000</v>
      </c>
      <c r="Q5" s="8">
        <v>1310000000</v>
      </c>
      <c r="R5" s="8">
        <v>2094000000</v>
      </c>
    </row>
    <row r="6" spans="2:29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CNY</v>
      </c>
      <c r="I6" s="7" t="s">
        <v>647</v>
      </c>
      <c r="J6" s="7" t="str">
        <f>J3</f>
        <v>December</v>
      </c>
      <c r="M6" s="8">
        <v>5203000000</v>
      </c>
      <c r="N6" s="8">
        <v>5714000000</v>
      </c>
      <c r="O6" s="8">
        <v>6061000000</v>
      </c>
      <c r="P6" s="8">
        <v>6324000000</v>
      </c>
      <c r="Q6" s="8">
        <v>6309000000</v>
      </c>
      <c r="R6" s="8">
        <v>5607000000</v>
      </c>
    </row>
    <row r="7" spans="2:29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CNY</v>
      </c>
      <c r="I7" s="7" t="s">
        <v>648</v>
      </c>
      <c r="J7" s="7" t="str">
        <f>J3</f>
        <v>December</v>
      </c>
      <c r="M7" s="8">
        <v>42768000000</v>
      </c>
      <c r="N7" s="8">
        <v>42630000000</v>
      </c>
      <c r="O7" s="8">
        <v>40651000000</v>
      </c>
      <c r="P7" s="8">
        <v>39271000000</v>
      </c>
      <c r="Q7" s="8">
        <v>41591000000</v>
      </c>
      <c r="R7" s="8">
        <v>43775000000</v>
      </c>
      <c r="S7" s="8"/>
      <c r="AA7" s="8"/>
    </row>
    <row r="8" spans="2:29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CNY</v>
      </c>
      <c r="I8" s="7" t="s">
        <v>648</v>
      </c>
      <c r="J8" s="7" t="str">
        <f>J3</f>
        <v>December</v>
      </c>
      <c r="M8" s="8">
        <v>23448000000</v>
      </c>
      <c r="N8" s="8">
        <v>24963000000</v>
      </c>
      <c r="O8" s="8">
        <v>22166000000</v>
      </c>
      <c r="P8" s="8">
        <v>20361000000</v>
      </c>
      <c r="Q8" s="8">
        <v>21864000000</v>
      </c>
      <c r="R8" s="8">
        <v>22501000000</v>
      </c>
    </row>
    <row r="9" spans="2:29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CNY</v>
      </c>
      <c r="I9" s="7" t="s">
        <v>648</v>
      </c>
      <c r="J9" s="7" t="str">
        <f>J3</f>
        <v>December</v>
      </c>
      <c r="M9" s="8">
        <v>19320000000</v>
      </c>
      <c r="N9" s="8">
        <v>17667000000</v>
      </c>
      <c r="O9" s="8">
        <v>18485000000</v>
      </c>
      <c r="P9" s="8">
        <v>18910000000</v>
      </c>
      <c r="Q9" s="8">
        <v>19727000000</v>
      </c>
      <c r="R9" s="8">
        <v>21274000000</v>
      </c>
    </row>
    <row r="10" spans="2:29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2647781013</v>
      </c>
      <c r="N10" s="8">
        <v>2873592085</v>
      </c>
      <c r="O10" s="8">
        <v>3244176905</v>
      </c>
      <c r="P10" s="8">
        <v>3244176905</v>
      </c>
      <c r="Q10" s="8">
        <v>3244176905</v>
      </c>
      <c r="R10" s="8">
        <v>3244176905</v>
      </c>
    </row>
    <row r="11" spans="2:29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CNY</v>
      </c>
      <c r="I11" s="7" t="s">
        <v>648</v>
      </c>
      <c r="J11" s="7" t="str">
        <f>J3</f>
        <v>December</v>
      </c>
      <c r="M11" s="8">
        <v>9.2194401066792953</v>
      </c>
      <c r="N11" s="8">
        <v>12.872202948284583</v>
      </c>
      <c r="O11" s="8">
        <v>17.468826264858368</v>
      </c>
      <c r="P11" s="8">
        <v>27.064604542665453</v>
      </c>
      <c r="Q11" s="8">
        <v>32.654662855205316</v>
      </c>
      <c r="R11" s="8">
        <v>41.392437590140965</v>
      </c>
    </row>
    <row r="12" spans="2:29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649</v>
      </c>
      <c r="M12" s="11">
        <v>11683000</v>
      </c>
      <c r="N12" s="11">
        <v>11800000</v>
      </c>
      <c r="O12" s="11">
        <v>11700000</v>
      </c>
      <c r="P12" s="11">
        <v>11300000</v>
      </c>
      <c r="Q12" s="11">
        <v>11400000</v>
      </c>
      <c r="R12" s="11">
        <v>11069400</v>
      </c>
    </row>
    <row r="13" spans="2:29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649</v>
      </c>
      <c r="N13" s="8">
        <v>475000</v>
      </c>
      <c r="O13" s="8">
        <v>375000</v>
      </c>
      <c r="P13" s="8">
        <v>253000</v>
      </c>
      <c r="Q13" s="8">
        <v>195000</v>
      </c>
      <c r="R13" s="12"/>
      <c r="U13" s="7" t="s">
        <v>988</v>
      </c>
    </row>
    <row r="14" spans="2:29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649</v>
      </c>
      <c r="M14" s="12"/>
      <c r="N14" s="8">
        <v>796000</v>
      </c>
      <c r="O14" s="8">
        <v>739000</v>
      </c>
      <c r="P14" s="8">
        <v>728000</v>
      </c>
      <c r="Q14" s="8">
        <v>717000</v>
      </c>
      <c r="R14" s="12"/>
    </row>
    <row r="15" spans="2:29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649</v>
      </c>
      <c r="O15" s="12"/>
      <c r="P15" s="12"/>
      <c r="Q15" s="12"/>
      <c r="R15" s="12"/>
    </row>
    <row r="16" spans="2:29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649</v>
      </c>
      <c r="M16" s="12"/>
      <c r="N16" s="8">
        <f t="shared" ref="N16:P16" si="0">N13+N14+N15</f>
        <v>1271000</v>
      </c>
      <c r="O16" s="8">
        <f t="shared" si="0"/>
        <v>1114000</v>
      </c>
      <c r="P16" s="8">
        <f t="shared" si="0"/>
        <v>981000</v>
      </c>
      <c r="Q16" s="8">
        <f>Q13+Q14+Q15</f>
        <v>912000</v>
      </c>
      <c r="R16" s="12"/>
    </row>
    <row r="17" spans="2:21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800</v>
      </c>
      <c r="U17" s="7" t="s">
        <v>988</v>
      </c>
    </row>
    <row r="18" spans="2:21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800</v>
      </c>
      <c r="U18" s="7" t="s">
        <v>988</v>
      </c>
    </row>
    <row r="19" spans="2:21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800</v>
      </c>
      <c r="U19" s="7" t="s">
        <v>988</v>
      </c>
    </row>
    <row r="20" spans="2:21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P20" s="64"/>
      <c r="Q20" s="64"/>
      <c r="R20" s="65"/>
      <c r="S20" s="14">
        <v>0.107</v>
      </c>
      <c r="U20" s="7" t="s">
        <v>989</v>
      </c>
    </row>
    <row r="21" spans="2:21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1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1">E22</f>
        <v>Inorganic pollutants</v>
      </c>
      <c r="G22" s="7" t="s">
        <v>5</v>
      </c>
      <c r="H22" s="7" t="s">
        <v>16</v>
      </c>
    </row>
    <row r="23" spans="2:21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1"/>
        <v>Air pollutants</v>
      </c>
      <c r="G23" s="7" t="s">
        <v>5</v>
      </c>
      <c r="H23" s="7" t="s">
        <v>16</v>
      </c>
    </row>
    <row r="24" spans="2:21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1"/>
        <v>NO'x emissions</v>
      </c>
      <c r="G24" s="7" t="s">
        <v>5</v>
      </c>
      <c r="H24" s="7" t="s">
        <v>16</v>
      </c>
      <c r="N24" s="7">
        <v>506</v>
      </c>
      <c r="O24" s="7">
        <v>409</v>
      </c>
      <c r="P24" s="7">
        <v>242</v>
      </c>
      <c r="Q24" s="7">
        <v>200</v>
      </c>
      <c r="U24" s="7" t="s">
        <v>990</v>
      </c>
    </row>
    <row r="25" spans="2:21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1"/>
        <v>SO'x emissions</v>
      </c>
      <c r="G25" s="7" t="s">
        <v>5</v>
      </c>
      <c r="H25" s="7" t="s">
        <v>16</v>
      </c>
      <c r="N25" s="7">
        <v>333</v>
      </c>
      <c r="O25" s="7">
        <v>221</v>
      </c>
      <c r="P25" s="7">
        <v>100</v>
      </c>
      <c r="Q25" s="7">
        <v>90</v>
      </c>
      <c r="U25" s="7" t="s">
        <v>990</v>
      </c>
    </row>
    <row r="26" spans="2:21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1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1"/>
        <v>Business travel</v>
      </c>
      <c r="G27" s="7" t="s">
        <v>5</v>
      </c>
      <c r="H27" s="7" t="s">
        <v>16</v>
      </c>
      <c r="O27" s="12"/>
      <c r="P27" s="12"/>
    </row>
    <row r="28" spans="2:21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1"/>
        <v>Employee commute</v>
      </c>
      <c r="G28" s="7" t="s">
        <v>5</v>
      </c>
      <c r="H28" s="7" t="s">
        <v>16</v>
      </c>
      <c r="O28" s="12"/>
      <c r="P28" s="12"/>
    </row>
    <row r="29" spans="2:21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1"/>
        <v>Usage of company products</v>
      </c>
      <c r="G29" s="7" t="s">
        <v>5</v>
      </c>
      <c r="H29" s="7" t="s">
        <v>16</v>
      </c>
    </row>
    <row r="30" spans="2:21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1"/>
        <v>Transportation and distribution</v>
      </c>
      <c r="G30" s="7" t="s">
        <v>5</v>
      </c>
      <c r="H30" s="7" t="s">
        <v>16</v>
      </c>
    </row>
    <row r="31" spans="2:21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  <c r="M31" s="76">
        <v>0</v>
      </c>
      <c r="N31" s="76">
        <v>0</v>
      </c>
      <c r="O31" s="76">
        <v>0</v>
      </c>
      <c r="P31" s="76">
        <v>0</v>
      </c>
      <c r="Q31" s="8">
        <v>700</v>
      </c>
      <c r="U31" s="7" t="s">
        <v>1004</v>
      </c>
    </row>
    <row r="32" spans="2:21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  <c r="M32" s="26">
        <v>0</v>
      </c>
      <c r="N32" s="26">
        <v>0</v>
      </c>
      <c r="O32" s="26">
        <v>0</v>
      </c>
      <c r="P32" s="26">
        <v>0</v>
      </c>
      <c r="Q32" s="26">
        <f>Q31/Q52</f>
        <v>4.7028937861362844E-4</v>
      </c>
    </row>
    <row r="33" spans="2:21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1"/>
        <v>Alternate fuels</v>
      </c>
      <c r="G33" s="7" t="s">
        <v>5</v>
      </c>
      <c r="H33" s="7" t="s">
        <v>16</v>
      </c>
    </row>
    <row r="34" spans="2:21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1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N35" s="13"/>
      <c r="S35" s="7" t="s">
        <v>806</v>
      </c>
    </row>
    <row r="36" spans="2:21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3"/>
      <c r="S36" s="7" t="s">
        <v>801</v>
      </c>
    </row>
    <row r="37" spans="2:21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1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8"/>
      <c r="N38" s="8"/>
      <c r="O38" s="8">
        <v>205000</v>
      </c>
      <c r="P38" s="8">
        <v>198000</v>
      </c>
      <c r="Q38" s="8">
        <v>212000</v>
      </c>
      <c r="U38" s="7" t="s">
        <v>1005</v>
      </c>
    </row>
    <row r="39" spans="2:21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O39" s="16">
        <v>1</v>
      </c>
      <c r="P39" s="16">
        <v>1</v>
      </c>
      <c r="Q39" s="16">
        <v>1</v>
      </c>
    </row>
    <row r="40" spans="2:21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</row>
    <row r="41" spans="2:21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3"/>
    </row>
    <row r="42" spans="2:21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3"/>
    </row>
    <row r="43" spans="2:21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3"/>
    </row>
    <row r="44" spans="2:21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3"/>
    </row>
    <row r="45" spans="2:21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3"/>
    </row>
    <row r="46" spans="2:21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3"/>
    </row>
    <row r="47" spans="2:21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N47" s="12"/>
      <c r="O47" s="76">
        <v>0</v>
      </c>
      <c r="P47" s="76">
        <v>0</v>
      </c>
      <c r="Q47" s="76">
        <v>0</v>
      </c>
    </row>
    <row r="48" spans="2:21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O48" s="63">
        <v>0</v>
      </c>
      <c r="P48" s="63">
        <v>0</v>
      </c>
      <c r="Q48" s="63">
        <v>0</v>
      </c>
      <c r="R48" s="14"/>
    </row>
    <row r="49" spans="2:21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O49" s="16">
        <v>0</v>
      </c>
      <c r="P49" s="16">
        <v>0</v>
      </c>
      <c r="Q49" s="16">
        <v>0</v>
      </c>
    </row>
    <row r="50" spans="2:21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  <c r="O50" s="16">
        <v>0</v>
      </c>
      <c r="P50" s="16">
        <v>0</v>
      </c>
      <c r="Q50" s="16">
        <v>0</v>
      </c>
    </row>
    <row r="51" spans="2:21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800</v>
      </c>
      <c r="U51" s="7" t="s">
        <v>1007</v>
      </c>
    </row>
    <row r="52" spans="2:21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8">
        <v>2483062.9759999998</v>
      </c>
      <c r="O52" s="8">
        <v>2152155.2884</v>
      </c>
      <c r="P52" s="8">
        <v>1687925.47</v>
      </c>
      <c r="Q52" s="8">
        <v>1488445.2676000001</v>
      </c>
      <c r="U52" s="7" t="s">
        <v>1004</v>
      </c>
    </row>
    <row r="53" spans="2:21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M53" s="12"/>
      <c r="N53" s="8">
        <v>2483062.9759999998</v>
      </c>
      <c r="O53" s="8">
        <v>2152155.2884</v>
      </c>
      <c r="P53" s="8">
        <v>1687925.47</v>
      </c>
      <c r="Q53" s="8">
        <v>1487745.2676000001</v>
      </c>
    </row>
    <row r="54" spans="2:21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  <c r="M54" s="14"/>
      <c r="N54" s="14">
        <f t="shared" ref="N54:P54" si="2">N53/N52</f>
        <v>1</v>
      </c>
      <c r="O54" s="14">
        <f t="shared" si="2"/>
        <v>1</v>
      </c>
      <c r="P54" s="14">
        <f t="shared" si="2"/>
        <v>1</v>
      </c>
      <c r="Q54" s="14">
        <f>Q53/Q52</f>
        <v>0.9995297106213864</v>
      </c>
    </row>
    <row r="55" spans="2:21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3"/>
      <c r="S55" s="7" t="s">
        <v>801</v>
      </c>
    </row>
    <row r="56" spans="2:21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3"/>
      <c r="S56" s="7" t="s">
        <v>801</v>
      </c>
    </row>
    <row r="57" spans="2:21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3"/>
      <c r="S57" s="7" t="s">
        <v>801</v>
      </c>
    </row>
    <row r="58" spans="2:21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3"/>
      <c r="S58" s="7" t="s">
        <v>801</v>
      </c>
    </row>
    <row r="59" spans="2:21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3"/>
      <c r="S59" s="7" t="s">
        <v>801</v>
      </c>
    </row>
    <row r="60" spans="2:21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3"/>
      <c r="S60" s="7" t="s">
        <v>801</v>
      </c>
    </row>
    <row r="61" spans="2:21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3"/>
      <c r="S61" s="7" t="s">
        <v>801</v>
      </c>
    </row>
    <row r="62" spans="2:21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1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1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21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3"/>
      <c r="S65" s="7" t="s">
        <v>801</v>
      </c>
    </row>
    <row r="66" spans="2:21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3"/>
      <c r="S66" s="7" t="s">
        <v>801</v>
      </c>
    </row>
    <row r="67" spans="2:21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3"/>
      <c r="S67" s="7" t="s">
        <v>800</v>
      </c>
    </row>
    <row r="68" spans="2:21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3"/>
      <c r="S68" s="7" t="s">
        <v>801</v>
      </c>
    </row>
    <row r="69" spans="2:21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21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21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3"/>
      <c r="S71" s="7" t="s">
        <v>801</v>
      </c>
    </row>
    <row r="72" spans="2:21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3"/>
      <c r="S72" s="7" t="s">
        <v>801</v>
      </c>
    </row>
    <row r="73" spans="2:21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3"/>
      <c r="S73" s="7" t="s">
        <v>800</v>
      </c>
      <c r="U73" s="7" t="s">
        <v>1008</v>
      </c>
    </row>
    <row r="74" spans="2:21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3"/>
      <c r="S74" s="7" t="s">
        <v>801</v>
      </c>
    </row>
    <row r="75" spans="2:21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3"/>
      <c r="S75" s="7" t="s">
        <v>801</v>
      </c>
    </row>
    <row r="76" spans="2:21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3"/>
      <c r="S76" s="7" t="s">
        <v>801</v>
      </c>
    </row>
    <row r="77" spans="2:21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3"/>
    </row>
    <row r="78" spans="2:21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3"/>
    </row>
    <row r="79" spans="2:21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3"/>
    </row>
    <row r="80" spans="2:21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3"/>
      <c r="S80" s="7" t="s">
        <v>801</v>
      </c>
    </row>
    <row r="81" spans="2:21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3"/>
      <c r="S81" s="7" t="s">
        <v>801</v>
      </c>
    </row>
    <row r="82" spans="2:21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CNY</v>
      </c>
      <c r="I82" s="7" t="s">
        <v>647</v>
      </c>
      <c r="J82" s="7" t="str">
        <f>J3</f>
        <v>December</v>
      </c>
      <c r="R82" s="15"/>
    </row>
    <row r="83" spans="2:21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5"/>
    </row>
    <row r="84" spans="2:21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3"/>
      <c r="S84" s="7" t="s">
        <v>801</v>
      </c>
    </row>
    <row r="85" spans="2:21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3"/>
      <c r="S85" s="7" t="s">
        <v>801</v>
      </c>
    </row>
    <row r="86" spans="2:21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21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>
        <v>1422000</v>
      </c>
      <c r="O87" s="17">
        <v>1511000</v>
      </c>
      <c r="P87" s="17">
        <v>1855000</v>
      </c>
      <c r="Q87" s="17">
        <v>1901000</v>
      </c>
      <c r="R87" s="15"/>
      <c r="U87" s="7" t="s">
        <v>1006</v>
      </c>
    </row>
    <row r="88" spans="2:21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801</v>
      </c>
    </row>
    <row r="89" spans="2:21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3"/>
      <c r="S89" s="7" t="s">
        <v>800</v>
      </c>
    </row>
    <row r="90" spans="2:21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3"/>
      <c r="S90" s="7" t="s">
        <v>801</v>
      </c>
    </row>
    <row r="91" spans="2:21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CNY</v>
      </c>
      <c r="I91" s="7" t="s">
        <v>648</v>
      </c>
      <c r="J91" s="7" t="str">
        <f>J3</f>
        <v>December</v>
      </c>
      <c r="M91" s="17"/>
      <c r="N91" s="17"/>
      <c r="O91" s="17"/>
      <c r="P91" s="17"/>
      <c r="R91" s="15"/>
      <c r="S91" s="17">
        <v>29000000</v>
      </c>
      <c r="U91" s="7" t="s">
        <v>988</v>
      </c>
    </row>
    <row r="92" spans="2:21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803</v>
      </c>
    </row>
    <row r="93" spans="2:21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801</v>
      </c>
    </row>
    <row r="94" spans="2:21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CNY</v>
      </c>
      <c r="I94" s="7" t="s">
        <v>648</v>
      </c>
      <c r="J94" s="7" t="str">
        <f>J3</f>
        <v>December</v>
      </c>
    </row>
    <row r="95" spans="2:21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N95" s="17">
        <v>38781000</v>
      </c>
      <c r="O95" s="17">
        <v>35031000</v>
      </c>
      <c r="P95" s="17">
        <v>31448000</v>
      </c>
      <c r="Q95" s="17">
        <v>31992000</v>
      </c>
      <c r="R95" s="8"/>
      <c r="U95" s="7" t="s">
        <v>1009</v>
      </c>
    </row>
    <row r="96" spans="2:21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1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3"/>
      <c r="S97" s="7" t="s">
        <v>803</v>
      </c>
    </row>
    <row r="98" spans="2:21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3">E98</f>
        <v>Untreated discharged waste water</v>
      </c>
      <c r="G98" s="7" t="s">
        <v>5</v>
      </c>
      <c r="H98" s="7" t="s">
        <v>649</v>
      </c>
      <c r="R98" s="15"/>
    </row>
    <row r="99" spans="2:21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3"/>
        <v>Water management initiatives</v>
      </c>
      <c r="G99" s="7" t="s">
        <v>567</v>
      </c>
      <c r="H99" s="7" t="s">
        <v>3</v>
      </c>
      <c r="N99" s="13"/>
      <c r="S99" s="7" t="s">
        <v>800</v>
      </c>
      <c r="U99" s="7" t="s">
        <v>1010</v>
      </c>
    </row>
    <row r="100" spans="2:21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3"/>
        <v>Water management initiatives</v>
      </c>
      <c r="G100" s="7" t="s">
        <v>568</v>
      </c>
      <c r="H100" s="7" t="s">
        <v>3</v>
      </c>
      <c r="N100" s="13"/>
      <c r="S100" s="7" t="s">
        <v>801</v>
      </c>
    </row>
    <row r="101" spans="2:21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3"/>
        <v>Sustainable oceans / seas practices</v>
      </c>
      <c r="G101" s="7" t="s">
        <v>567</v>
      </c>
      <c r="H101" s="7" t="s">
        <v>3</v>
      </c>
      <c r="N101" s="13"/>
      <c r="S101" s="7" t="s">
        <v>801</v>
      </c>
    </row>
    <row r="102" spans="2:21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3"/>
        <v>Sustainable oceans / seas practices</v>
      </c>
      <c r="G102" s="7" t="s">
        <v>568</v>
      </c>
      <c r="H102" s="7" t="s">
        <v>3</v>
      </c>
      <c r="N102" s="13"/>
      <c r="S102" s="7" t="s">
        <v>801</v>
      </c>
    </row>
    <row r="103" spans="2:21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3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</row>
    <row r="104" spans="2:21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</row>
    <row r="105" spans="2:21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801</v>
      </c>
    </row>
    <row r="106" spans="2:21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3"/>
      <c r="S106" s="7" t="s">
        <v>801</v>
      </c>
    </row>
    <row r="107" spans="2:21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3"/>
      <c r="S107" s="7" t="s">
        <v>800</v>
      </c>
      <c r="U107" s="7" t="s">
        <v>1011</v>
      </c>
    </row>
    <row r="108" spans="2:21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3"/>
      <c r="S108" s="7" t="s">
        <v>801</v>
      </c>
    </row>
    <row r="109" spans="2:21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N109" s="63">
        <v>0.15</v>
      </c>
      <c r="O109" s="16">
        <v>0.13</v>
      </c>
      <c r="P109" s="16">
        <v>0.12</v>
      </c>
      <c r="Q109" s="16">
        <v>7.0000000000000007E-2</v>
      </c>
      <c r="R109" s="14"/>
      <c r="U109" s="7" t="s">
        <v>1013</v>
      </c>
    </row>
    <row r="110" spans="2:21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3"/>
      <c r="S110" s="7" t="s">
        <v>801</v>
      </c>
    </row>
    <row r="111" spans="2:21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3"/>
      <c r="S111" s="7" t="s">
        <v>801</v>
      </c>
    </row>
    <row r="112" spans="2:21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3"/>
      <c r="S112" s="7" t="s">
        <v>801</v>
      </c>
    </row>
    <row r="113" spans="2:21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3"/>
      <c r="S113" s="7" t="s">
        <v>801</v>
      </c>
    </row>
    <row r="114" spans="2:21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3"/>
      <c r="S114" s="7" t="s">
        <v>800</v>
      </c>
      <c r="U114" s="7" t="s">
        <v>1014</v>
      </c>
    </row>
    <row r="115" spans="2:21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3"/>
      <c r="S115" s="7" t="s">
        <v>801</v>
      </c>
    </row>
    <row r="116" spans="2:21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N116" s="63">
        <f>5200/N317</f>
        <v>8.9347079037800689E-2</v>
      </c>
      <c r="O116" s="63">
        <f>6400/O317</f>
        <v>0.12307692307692308</v>
      </c>
      <c r="P116" s="63">
        <f>1800/P317</f>
        <v>4.4999999999999998E-2</v>
      </c>
      <c r="Q116" s="63">
        <f>1600/Q317</f>
        <v>5.3333333333333337E-2</v>
      </c>
      <c r="R116" s="15"/>
      <c r="U116" s="7" t="s">
        <v>1013</v>
      </c>
    </row>
    <row r="117" spans="2:21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N117" s="70">
        <v>17</v>
      </c>
      <c r="O117" s="70">
        <v>18</v>
      </c>
      <c r="P117" s="70">
        <v>18.3</v>
      </c>
      <c r="Q117" s="70">
        <v>18.7</v>
      </c>
      <c r="R117" s="18"/>
      <c r="U117" s="7" t="s">
        <v>1012</v>
      </c>
    </row>
    <row r="118" spans="2:21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801</v>
      </c>
    </row>
    <row r="119" spans="2:21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3"/>
      <c r="S119" s="7" t="s">
        <v>801</v>
      </c>
    </row>
    <row r="120" spans="2:21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3"/>
      <c r="S120" s="7" t="s">
        <v>801</v>
      </c>
    </row>
    <row r="121" spans="2:21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3"/>
      <c r="S121" s="7" t="s">
        <v>800</v>
      </c>
      <c r="U121" s="7" t="s">
        <v>1015</v>
      </c>
    </row>
    <row r="122" spans="2:21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3"/>
      <c r="S122" s="7" t="s">
        <v>801</v>
      </c>
    </row>
    <row r="123" spans="2:21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3"/>
      <c r="S123" s="7" t="s">
        <v>800</v>
      </c>
      <c r="U123" s="7" t="s">
        <v>1016</v>
      </c>
    </row>
    <row r="124" spans="2:21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3"/>
      <c r="S124" s="7" t="s">
        <v>800</v>
      </c>
      <c r="U124" s="7" t="s">
        <v>1017</v>
      </c>
    </row>
    <row r="125" spans="2:21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3"/>
      <c r="S125" s="7" t="s">
        <v>801</v>
      </c>
    </row>
    <row r="126" spans="2:21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801</v>
      </c>
    </row>
    <row r="127" spans="2:21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</row>
    <row r="128" spans="2:21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  <c r="S128" s="7">
        <v>351</v>
      </c>
      <c r="U128" s="7" t="s">
        <v>1017</v>
      </c>
    </row>
    <row r="129" spans="2:28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3"/>
      <c r="S129" s="7" t="s">
        <v>800</v>
      </c>
      <c r="U129" s="7" t="s">
        <v>1015</v>
      </c>
    </row>
    <row r="130" spans="2:28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3"/>
      <c r="S130" s="7" t="s">
        <v>801</v>
      </c>
    </row>
    <row r="131" spans="2:28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3"/>
      <c r="S131" s="7" t="s">
        <v>800</v>
      </c>
      <c r="U131" s="7" t="s">
        <v>1018</v>
      </c>
    </row>
    <row r="132" spans="2:28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3"/>
      <c r="S132" s="7" t="s">
        <v>801</v>
      </c>
    </row>
    <row r="133" spans="2:28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3"/>
      <c r="S133" s="7" t="s">
        <v>801</v>
      </c>
      <c r="AB133" s="19"/>
    </row>
    <row r="134" spans="2:28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3"/>
      <c r="S134" s="7" t="s">
        <v>801</v>
      </c>
    </row>
    <row r="135" spans="2:28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804</v>
      </c>
    </row>
    <row r="136" spans="2:28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3"/>
      <c r="S136" s="7" t="s">
        <v>800</v>
      </c>
      <c r="U136" s="7" t="s">
        <v>1019</v>
      </c>
    </row>
    <row r="137" spans="2:28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804</v>
      </c>
    </row>
    <row r="138" spans="2:28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3"/>
      <c r="S138" s="7" t="s">
        <v>800</v>
      </c>
      <c r="U138" s="7" t="s">
        <v>1019</v>
      </c>
    </row>
    <row r="139" spans="2:28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8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8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3"/>
      <c r="S142" s="7" t="s">
        <v>801</v>
      </c>
    </row>
    <row r="143" spans="2:28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801</v>
      </c>
    </row>
    <row r="144" spans="2:28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800</v>
      </c>
      <c r="U144" s="7" t="s">
        <v>1020</v>
      </c>
    </row>
    <row r="145" spans="2:27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3"/>
      <c r="S146" s="7" t="s">
        <v>801</v>
      </c>
    </row>
    <row r="147" spans="2:27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3"/>
      <c r="S147" s="7" t="s">
        <v>801</v>
      </c>
    </row>
    <row r="148" spans="2:27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7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3"/>
    </row>
    <row r="151" spans="2:27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7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3"/>
      <c r="S153" s="7" t="s">
        <v>800</v>
      </c>
      <c r="U153" s="7" t="s">
        <v>1021</v>
      </c>
    </row>
    <row r="154" spans="2:27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3"/>
      <c r="S154" s="7" t="s">
        <v>801</v>
      </c>
    </row>
    <row r="155" spans="2:27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7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N157" s="16">
        <v>0</v>
      </c>
      <c r="O157" s="16">
        <v>0</v>
      </c>
      <c r="P157" s="16">
        <v>0</v>
      </c>
      <c r="Q157" s="16">
        <v>0</v>
      </c>
      <c r="R157" s="16"/>
      <c r="S157" s="20"/>
      <c r="AA157" s="20"/>
    </row>
    <row r="158" spans="2:27" ht="29.4" thickBot="1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P158" s="63">
        <f>700/3400</f>
        <v>0.20588235294117646</v>
      </c>
      <c r="Q158" s="63">
        <f>500/2800</f>
        <v>0.17857142857142858</v>
      </c>
      <c r="R158" s="14"/>
      <c r="S158" s="20"/>
      <c r="AA158" s="20"/>
    </row>
    <row r="159" spans="2:27" ht="15" thickBot="1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N159" s="63">
        <f>17000/N317</f>
        <v>0.29209621993127149</v>
      </c>
      <c r="O159" s="63">
        <f>14100/O317</f>
        <v>0.27115384615384613</v>
      </c>
      <c r="P159" s="63">
        <f>11900/P317</f>
        <v>0.29749999999999999</v>
      </c>
      <c r="Q159" s="63">
        <f>8300/Q317</f>
        <v>0.27666666666666667</v>
      </c>
      <c r="R159" s="14"/>
      <c r="S159" s="20"/>
      <c r="U159" s="7" t="s">
        <v>1013</v>
      </c>
      <c r="V159" s="22"/>
      <c r="AA159" s="20"/>
    </row>
    <row r="160" spans="2:27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3"/>
      <c r="S160" s="7" t="s">
        <v>800</v>
      </c>
      <c r="U160" s="7" t="s">
        <v>1022</v>
      </c>
    </row>
    <row r="161" spans="2:28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3"/>
      <c r="S161" s="7" t="s">
        <v>801</v>
      </c>
    </row>
    <row r="162" spans="2:28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3"/>
      <c r="S163" s="7" t="s">
        <v>801</v>
      </c>
    </row>
    <row r="164" spans="2:28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3"/>
      <c r="S164" s="7" t="s">
        <v>801</v>
      </c>
    </row>
    <row r="165" spans="2:28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3"/>
      <c r="S166" s="7" t="s">
        <v>800</v>
      </c>
      <c r="U166" s="7" t="s">
        <v>1023</v>
      </c>
    </row>
    <row r="167" spans="2:28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3"/>
      <c r="S167" s="7" t="s">
        <v>801</v>
      </c>
    </row>
    <row r="168" spans="2:28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3"/>
      <c r="S168" s="7" t="s">
        <v>800</v>
      </c>
    </row>
    <row r="169" spans="2:28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3"/>
      <c r="S169" s="7" t="s">
        <v>801</v>
      </c>
    </row>
    <row r="170" spans="2:28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801</v>
      </c>
    </row>
    <row r="171" spans="2:28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801</v>
      </c>
    </row>
    <row r="172" spans="2:28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CNY</v>
      </c>
      <c r="I173" s="7" t="s">
        <v>647</v>
      </c>
      <c r="J173" s="7" t="str">
        <f>J3</f>
        <v>December</v>
      </c>
      <c r="M173" s="74"/>
      <c r="N173" s="8">
        <v>3340000</v>
      </c>
      <c r="O173" s="8">
        <v>7150000</v>
      </c>
      <c r="P173" s="8">
        <v>3850000</v>
      </c>
      <c r="Q173" s="8">
        <v>5450000</v>
      </c>
      <c r="R173" s="74"/>
      <c r="U173" s="7" t="s">
        <v>1034</v>
      </c>
    </row>
    <row r="174" spans="2:28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CNY</v>
      </c>
      <c r="I174" s="7" t="s">
        <v>647</v>
      </c>
      <c r="J174" s="7" t="str">
        <f>J3</f>
        <v>December</v>
      </c>
      <c r="M174" s="8"/>
      <c r="N174" s="8">
        <v>98178.694158075596</v>
      </c>
      <c r="O174" s="8">
        <v>116557.69230769231</v>
      </c>
      <c r="P174" s="8">
        <v>158100</v>
      </c>
      <c r="Q174" s="8">
        <v>210300</v>
      </c>
      <c r="R174" s="8"/>
      <c r="U174" s="7" t="s">
        <v>1033</v>
      </c>
      <c r="AB174" s="19"/>
    </row>
    <row r="175" spans="2:28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N175" s="70">
        <f t="shared" ref="N175:P175" si="4">N173/N174</f>
        <v>34.019600980049006</v>
      </c>
      <c r="O175" s="70">
        <f t="shared" si="4"/>
        <v>61.343012704174228</v>
      </c>
      <c r="P175" s="70">
        <f t="shared" si="4"/>
        <v>24.351676154332701</v>
      </c>
      <c r="Q175" s="70">
        <f>Q173/Q174</f>
        <v>25.915359010936758</v>
      </c>
      <c r="R175" s="18"/>
      <c r="AB175" s="19"/>
    </row>
    <row r="176" spans="2:28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805</v>
      </c>
    </row>
    <row r="177" spans="2:28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CNY</v>
      </c>
      <c r="I177" s="7" t="s">
        <v>647</v>
      </c>
      <c r="J177" s="7" t="str">
        <f>J3</f>
        <v>December</v>
      </c>
      <c r="M177" s="8"/>
      <c r="N177" s="8">
        <v>3000000</v>
      </c>
      <c r="O177" s="8">
        <v>2000000</v>
      </c>
      <c r="P177" s="8">
        <v>2000000</v>
      </c>
      <c r="Q177" s="8">
        <v>1000000</v>
      </c>
      <c r="R177" s="8">
        <v>16000000</v>
      </c>
      <c r="U177" s="7" t="s">
        <v>1024</v>
      </c>
    </row>
    <row r="178" spans="2:28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801</v>
      </c>
    </row>
    <row r="179" spans="2:28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3"/>
      <c r="S179" s="7" t="s">
        <v>801</v>
      </c>
    </row>
    <row r="180" spans="2:28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3"/>
      <c r="S180" s="7" t="s">
        <v>800</v>
      </c>
      <c r="U180" s="7" t="s">
        <v>1025</v>
      </c>
    </row>
    <row r="181" spans="2:28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801</v>
      </c>
    </row>
    <row r="182" spans="2:28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CNY</v>
      </c>
      <c r="I182" s="7" t="s">
        <v>647</v>
      </c>
      <c r="J182" s="7" t="str">
        <f>J3</f>
        <v>December</v>
      </c>
      <c r="M182" s="8"/>
      <c r="N182" s="8"/>
      <c r="O182" s="8"/>
      <c r="P182" s="8"/>
      <c r="Q182" s="8"/>
    </row>
    <row r="183" spans="2:28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N183" s="8"/>
      <c r="O183" s="8">
        <f t="shared" ref="O183:P183" si="5">O317-N317</f>
        <v>-6200</v>
      </c>
      <c r="P183" s="8">
        <f t="shared" si="5"/>
        <v>-12000</v>
      </c>
      <c r="Q183" s="8">
        <f>Q317-P317</f>
        <v>-10000</v>
      </c>
    </row>
    <row r="184" spans="2:28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0</v>
      </c>
      <c r="V185" s="19"/>
      <c r="AB185" s="19"/>
    </row>
    <row r="186" spans="2:28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801</v>
      </c>
    </row>
    <row r="187" spans="2:28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CNY</v>
      </c>
      <c r="I187" s="7" t="s">
        <v>648</v>
      </c>
      <c r="J187" s="8" t="str">
        <f>J3</f>
        <v>December</v>
      </c>
      <c r="R187" s="15"/>
      <c r="S187" s="7">
        <v>0</v>
      </c>
    </row>
    <row r="188" spans="2:28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25"/>
      <c r="S190" s="7" t="s">
        <v>801</v>
      </c>
    </row>
    <row r="191" spans="2:28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R191" s="16"/>
      <c r="S191" s="14">
        <v>0.51910000000000001</v>
      </c>
      <c r="U191" s="7" t="s">
        <v>1026</v>
      </c>
    </row>
    <row r="192" spans="2:28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16"/>
      <c r="S192" s="71" t="s">
        <v>708</v>
      </c>
    </row>
    <row r="193" spans="2:28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16"/>
      <c r="S193" s="7" t="s">
        <v>1027</v>
      </c>
    </row>
    <row r="194" spans="2:28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16"/>
      <c r="S194" s="7" t="s">
        <v>800</v>
      </c>
    </row>
    <row r="195" spans="2:28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3"/>
      <c r="S196" s="7" t="s">
        <v>801</v>
      </c>
    </row>
    <row r="197" spans="2:28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702</v>
      </c>
      <c r="G197" s="7" t="s">
        <v>5</v>
      </c>
      <c r="H197" s="7" t="s">
        <v>4</v>
      </c>
      <c r="R197" s="15"/>
      <c r="S197" s="7">
        <v>0</v>
      </c>
    </row>
    <row r="198" spans="2:28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700</v>
      </c>
      <c r="G198" s="10" t="s">
        <v>350</v>
      </c>
      <c r="R198" s="15"/>
      <c r="S198" s="7">
        <v>0</v>
      </c>
    </row>
    <row r="199" spans="2:28">
      <c r="B199" s="7" t="s">
        <v>703</v>
      </c>
      <c r="C199" s="7" t="s">
        <v>205</v>
      </c>
      <c r="D199" s="7" t="s">
        <v>216</v>
      </c>
      <c r="E199" s="10" t="s">
        <v>220</v>
      </c>
      <c r="F199" s="7" t="s">
        <v>701</v>
      </c>
      <c r="G199" s="7" t="s">
        <v>5</v>
      </c>
      <c r="H199" s="7" t="s">
        <v>4</v>
      </c>
      <c r="R199" s="15"/>
      <c r="S199" s="7">
        <v>0</v>
      </c>
    </row>
    <row r="200" spans="2:28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800</v>
      </c>
      <c r="U200" s="72" t="s">
        <v>1028</v>
      </c>
    </row>
    <row r="201" spans="2:28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CNY</v>
      </c>
      <c r="I201" s="7" t="s">
        <v>647</v>
      </c>
      <c r="J201" s="7" t="str">
        <f>J3</f>
        <v>December</v>
      </c>
      <c r="M201" s="8">
        <v>1143000000</v>
      </c>
      <c r="N201" s="8">
        <v>227000000</v>
      </c>
      <c r="O201" s="8">
        <v>170000000</v>
      </c>
      <c r="P201" s="8">
        <v>214000000</v>
      </c>
      <c r="Q201" s="8">
        <v>286000000</v>
      </c>
      <c r="R201" s="8">
        <v>388000000</v>
      </c>
      <c r="U201" s="7" t="s">
        <v>1029</v>
      </c>
    </row>
    <row r="202" spans="2:28" ht="15" thickBot="1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CNY</v>
      </c>
      <c r="I202" s="7" t="s">
        <v>647</v>
      </c>
      <c r="J202" s="7" t="str">
        <f>J3</f>
        <v>December</v>
      </c>
      <c r="R202" s="15"/>
    </row>
    <row r="203" spans="2:28" ht="15" thickBot="1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801</v>
      </c>
    </row>
    <row r="205" spans="2:28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800</v>
      </c>
      <c r="U205" s="7" t="s">
        <v>1030</v>
      </c>
    </row>
    <row r="206" spans="2:28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800</v>
      </c>
      <c r="U206" s="7" t="s">
        <v>1030</v>
      </c>
    </row>
    <row r="207" spans="2:28" ht="15" thickBot="1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6">
        <v>5.0000000000000001E-4</v>
      </c>
      <c r="AB207" s="19"/>
    </row>
    <row r="208" spans="2:28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6">
        <v>0.2215</v>
      </c>
      <c r="AB208" s="19"/>
    </row>
    <row r="209" spans="2:28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26"/>
      <c r="S209" s="16">
        <v>0.51910000000000001</v>
      </c>
      <c r="AB209" s="19"/>
    </row>
    <row r="210" spans="2:28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26"/>
      <c r="R210" s="15"/>
      <c r="S210" s="73">
        <f>100%-S209-S208-S207</f>
        <v>0.25889999999999996</v>
      </c>
    </row>
    <row r="211" spans="2:28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3"/>
      <c r="S211" s="7" t="s">
        <v>801</v>
      </c>
    </row>
    <row r="212" spans="2:28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801</v>
      </c>
    </row>
    <row r="213" spans="2:28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3"/>
      <c r="S213" s="7" t="s">
        <v>801</v>
      </c>
    </row>
    <row r="214" spans="2:28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801</v>
      </c>
    </row>
    <row r="215" spans="2:28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800</v>
      </c>
      <c r="U215" s="7" t="s">
        <v>1031</v>
      </c>
    </row>
    <row r="216" spans="2:28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33</v>
      </c>
      <c r="AB217" s="19"/>
    </row>
    <row r="218" spans="2:28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</v>
      </c>
      <c r="AB218" s="19"/>
    </row>
    <row r="219" spans="2:28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</row>
    <row r="220" spans="2:28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CNY</v>
      </c>
      <c r="I221" s="7" t="s">
        <v>647</v>
      </c>
      <c r="J221" s="7" t="str">
        <f>J3</f>
        <v>December</v>
      </c>
      <c r="M221" s="12"/>
      <c r="N221" s="12"/>
      <c r="O221" s="12"/>
      <c r="P221" s="12"/>
      <c r="Q221" s="12"/>
      <c r="R221" s="12"/>
      <c r="S221" s="7">
        <v>0</v>
      </c>
    </row>
    <row r="222" spans="2:28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366</v>
      </c>
    </row>
    <row r="223" spans="2:28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125</v>
      </c>
    </row>
    <row r="224" spans="2:28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33</v>
      </c>
    </row>
    <row r="225" spans="2:21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11</v>
      </c>
    </row>
    <row r="226" spans="2:21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M226" s="63"/>
      <c r="N226" s="63">
        <f>5/10</f>
        <v>0.5</v>
      </c>
      <c r="O226" s="63">
        <f>5/10</f>
        <v>0.5</v>
      </c>
      <c r="P226" s="63">
        <f t="shared" ref="P226" si="6">5/11</f>
        <v>0.45454545454545453</v>
      </c>
      <c r="Q226" s="63">
        <f>5/10</f>
        <v>0.5</v>
      </c>
      <c r="R226" s="63">
        <f>5/11</f>
        <v>0.45454545454545453</v>
      </c>
      <c r="U226" s="7" t="s">
        <v>1032</v>
      </c>
    </row>
    <row r="227" spans="2:21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801</v>
      </c>
    </row>
    <row r="228" spans="2:21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800</v>
      </c>
    </row>
    <row r="229" spans="2:21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802</v>
      </c>
    </row>
    <row r="230" spans="2:21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26"/>
      <c r="P230" s="26"/>
      <c r="Q230" s="26"/>
      <c r="R230" s="15"/>
    </row>
    <row r="231" spans="2:21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CNY</v>
      </c>
      <c r="I231" s="10" t="s">
        <v>647</v>
      </c>
      <c r="J231" s="7" t="str">
        <f>J3</f>
        <v>December</v>
      </c>
      <c r="M231" s="17">
        <v>8370000</v>
      </c>
      <c r="N231" s="17">
        <v>9350000</v>
      </c>
      <c r="O231" s="17">
        <v>10180000</v>
      </c>
      <c r="P231" s="17">
        <v>7470000</v>
      </c>
      <c r="Q231" s="17">
        <v>10760000</v>
      </c>
      <c r="R231" s="17">
        <v>15990000</v>
      </c>
      <c r="U231" s="7" t="s">
        <v>1034</v>
      </c>
    </row>
    <row r="232" spans="2:21" ht="15" thickBot="1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21" ht="15" thickBot="1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30"/>
      <c r="N233" s="70">
        <f>5</f>
        <v>5</v>
      </c>
      <c r="O233" s="70">
        <f>5</f>
        <v>5</v>
      </c>
      <c r="P233" s="70">
        <f>5</f>
        <v>5</v>
      </c>
      <c r="Q233" s="70">
        <f>5</f>
        <v>5</v>
      </c>
      <c r="R233" s="70">
        <f>5</f>
        <v>5</v>
      </c>
      <c r="U233" s="7" t="s">
        <v>1032</v>
      </c>
    </row>
    <row r="234" spans="2:21" ht="15" thickBot="1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30"/>
      <c r="N234" s="8">
        <v>10</v>
      </c>
      <c r="O234" s="8">
        <v>10</v>
      </c>
      <c r="P234" s="8">
        <v>11</v>
      </c>
      <c r="Q234" s="8">
        <v>10</v>
      </c>
      <c r="R234" s="8">
        <v>11</v>
      </c>
      <c r="U234" s="7" t="s">
        <v>1032</v>
      </c>
    </row>
    <row r="235" spans="2:21" ht="15" thickBot="1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800</v>
      </c>
    </row>
    <row r="236" spans="2:21" ht="15" thickBot="1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801</v>
      </c>
    </row>
    <row r="237" spans="2:21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800</v>
      </c>
    </row>
    <row r="238" spans="2:21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800</v>
      </c>
    </row>
    <row r="239" spans="2:21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U239" s="7" t="s">
        <v>1035</v>
      </c>
    </row>
    <row r="240" spans="2:21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  <c r="U240" s="7" t="s">
        <v>1035</v>
      </c>
    </row>
    <row r="241" spans="2:21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CNY</v>
      </c>
      <c r="I241" s="10" t="s">
        <v>647</v>
      </c>
      <c r="J241" s="7" t="str">
        <f>J3</f>
        <v>December</v>
      </c>
      <c r="M241" s="8">
        <v>4320000</v>
      </c>
      <c r="N241" s="8">
        <v>2290000</v>
      </c>
      <c r="O241" s="8">
        <v>530000</v>
      </c>
      <c r="P241" s="8">
        <v>100000</v>
      </c>
      <c r="Q241" s="8">
        <v>180000</v>
      </c>
      <c r="R241" s="8">
        <v>170000</v>
      </c>
      <c r="U241" s="7" t="s">
        <v>1034</v>
      </c>
    </row>
    <row r="242" spans="2:21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21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3"/>
    </row>
    <row r="244" spans="2:21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CNY</v>
      </c>
      <c r="I244" s="10" t="s">
        <v>648</v>
      </c>
      <c r="J244" s="7" t="str">
        <f>J3</f>
        <v>December</v>
      </c>
      <c r="M244" s="26"/>
      <c r="N244" s="26"/>
      <c r="O244" s="26"/>
      <c r="P244" s="26"/>
      <c r="Q244" s="26"/>
    </row>
    <row r="245" spans="2:21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CNY</v>
      </c>
      <c r="I245" s="10" t="s">
        <v>648</v>
      </c>
      <c r="J245" s="7" t="str">
        <f>J3</f>
        <v>December</v>
      </c>
      <c r="M245" s="26"/>
      <c r="N245" s="26"/>
      <c r="O245" s="26"/>
      <c r="P245" s="26"/>
      <c r="Q245" s="26"/>
    </row>
    <row r="246" spans="2:21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21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21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21" ht="15" thickBot="1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28"/>
      <c r="S249" s="7" t="s">
        <v>800</v>
      </c>
    </row>
    <row r="250" spans="2:21" ht="15" thickBot="1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21" ht="15" thickBot="1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21" ht="15" thickBot="1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800</v>
      </c>
      <c r="U252" s="7" t="s">
        <v>1016</v>
      </c>
    </row>
    <row r="253" spans="2:21" ht="15" thickBot="1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28"/>
      <c r="S253" s="7" t="s">
        <v>800</v>
      </c>
    </row>
    <row r="254" spans="2:21" ht="15" thickBot="1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28"/>
      <c r="S254" s="10" t="s">
        <v>758</v>
      </c>
    </row>
    <row r="255" spans="2:21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21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800</v>
      </c>
      <c r="U256" s="7" t="s">
        <v>1037</v>
      </c>
    </row>
    <row r="257" spans="2:21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801</v>
      </c>
    </row>
    <row r="258" spans="2:21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800</v>
      </c>
      <c r="U258" s="7" t="s">
        <v>1038</v>
      </c>
    </row>
    <row r="259" spans="2:21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800</v>
      </c>
    </row>
    <row r="260" spans="2:21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801</v>
      </c>
    </row>
    <row r="261" spans="2:21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801</v>
      </c>
    </row>
    <row r="262" spans="2:21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</row>
    <row r="263" spans="2:21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21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800</v>
      </c>
    </row>
    <row r="265" spans="2:21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801</v>
      </c>
    </row>
    <row r="266" spans="2:21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5</v>
      </c>
    </row>
    <row r="267" spans="2:21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21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21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21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21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3"/>
      <c r="S271" s="7" t="s">
        <v>820</v>
      </c>
    </row>
    <row r="272" spans="2:21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3"/>
      <c r="S272" s="7" t="s">
        <v>1039</v>
      </c>
    </row>
    <row r="273" spans="2:21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3"/>
      <c r="S273" s="7" t="s">
        <v>800</v>
      </c>
    </row>
    <row r="274" spans="2:21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21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801</v>
      </c>
    </row>
    <row r="276" spans="2:21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21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801</v>
      </c>
    </row>
    <row r="278" spans="2:21">
      <c r="B278" s="7" t="s">
        <v>528</v>
      </c>
      <c r="C278" s="7" t="s">
        <v>205</v>
      </c>
      <c r="D278" s="7" t="s">
        <v>388</v>
      </c>
      <c r="E278" s="7" t="s">
        <v>389</v>
      </c>
    </row>
    <row r="279" spans="2:21">
      <c r="B279" s="7" t="s">
        <v>529</v>
      </c>
      <c r="C279" s="7" t="s">
        <v>205</v>
      </c>
      <c r="D279" s="7" t="s">
        <v>388</v>
      </c>
      <c r="E279" s="7" t="s">
        <v>390</v>
      </c>
    </row>
    <row r="280" spans="2:21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800</v>
      </c>
      <c r="U280" s="7" t="s">
        <v>1040</v>
      </c>
    </row>
    <row r="281" spans="2:21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801</v>
      </c>
    </row>
    <row r="282" spans="2:21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801</v>
      </c>
    </row>
    <row r="283" spans="2:21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21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801</v>
      </c>
    </row>
    <row r="285" spans="2:21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3"/>
      <c r="S285" s="7" t="s">
        <v>807</v>
      </c>
    </row>
    <row r="286" spans="2:21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3"/>
      <c r="S286" s="7" t="s">
        <v>809</v>
      </c>
    </row>
    <row r="287" spans="2:21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63"/>
      <c r="N287" s="63">
        <v>0.41299999999999998</v>
      </c>
      <c r="O287" s="63">
        <v>0.39</v>
      </c>
      <c r="P287" s="63">
        <v>0.4</v>
      </c>
      <c r="Q287" s="63">
        <v>0.41</v>
      </c>
      <c r="R287" s="63">
        <v>0.4</v>
      </c>
      <c r="U287" s="7" t="s">
        <v>1041</v>
      </c>
    </row>
    <row r="288" spans="2:21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6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801</v>
      </c>
    </row>
    <row r="290" spans="2:26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800</v>
      </c>
      <c r="U290" s="7" t="s">
        <v>1036</v>
      </c>
    </row>
    <row r="291" spans="2:26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801</v>
      </c>
    </row>
    <row r="292" spans="2:26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42</v>
      </c>
      <c r="Z293" s="19"/>
    </row>
    <row r="294" spans="2:26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3"/>
      <c r="S294" s="7" t="s">
        <v>800</v>
      </c>
    </row>
    <row r="295" spans="2:26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6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800</v>
      </c>
      <c r="U297" s="7" t="s">
        <v>1023</v>
      </c>
    </row>
    <row r="298" spans="2:26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800</v>
      </c>
      <c r="U298" s="7" t="s">
        <v>1023</v>
      </c>
    </row>
    <row r="299" spans="2:26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801</v>
      </c>
    </row>
    <row r="300" spans="2:26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801</v>
      </c>
    </row>
    <row r="301" spans="2:26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6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801</v>
      </c>
    </row>
    <row r="303" spans="2:26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800</v>
      </c>
      <c r="U303" s="7" t="s">
        <v>1023</v>
      </c>
    </row>
    <row r="304" spans="2:26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M304" s="16"/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U304" s="7" t="s">
        <v>1042</v>
      </c>
    </row>
    <row r="305" spans="2:26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801</v>
      </c>
    </row>
    <row r="306" spans="2:26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801</v>
      </c>
    </row>
    <row r="307" spans="2:26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801</v>
      </c>
    </row>
    <row r="308" spans="2:26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CNY</v>
      </c>
      <c r="I308" s="10" t="s">
        <v>647</v>
      </c>
      <c r="J308" s="7" t="str">
        <f>J3</f>
        <v>December</v>
      </c>
      <c r="M308" s="8">
        <v>13000000</v>
      </c>
      <c r="N308" s="8">
        <v>8000000</v>
      </c>
      <c r="O308" s="8">
        <v>10000000</v>
      </c>
      <c r="P308" s="8">
        <v>11000000</v>
      </c>
      <c r="Q308" s="8">
        <v>13000000</v>
      </c>
      <c r="R308" s="8">
        <v>10000000</v>
      </c>
      <c r="U308" s="7" t="s">
        <v>1033</v>
      </c>
    </row>
    <row r="309" spans="2:26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CNY</v>
      </c>
      <c r="I309" s="10" t="s">
        <v>647</v>
      </c>
      <c r="J309" s="7" t="str">
        <f>J3</f>
        <v>December</v>
      </c>
      <c r="M309" s="76">
        <v>0</v>
      </c>
      <c r="N309" s="76">
        <v>0</v>
      </c>
      <c r="O309" s="76">
        <v>0</v>
      </c>
      <c r="P309" s="8">
        <v>5000000</v>
      </c>
      <c r="Q309" s="76">
        <v>0</v>
      </c>
      <c r="R309" s="76">
        <v>0</v>
      </c>
    </row>
    <row r="310" spans="2:26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801</v>
      </c>
    </row>
    <row r="311" spans="2:26" ht="15" thickBot="1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1043</v>
      </c>
      <c r="Z311" s="19"/>
    </row>
    <row r="312" spans="2:26" ht="15" thickBot="1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2020</v>
      </c>
    </row>
    <row r="313" spans="2:26" ht="15" thickBot="1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1044</v>
      </c>
    </row>
    <row r="314" spans="2:26" ht="15" thickBot="1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800</v>
      </c>
    </row>
    <row r="316" spans="2:26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801</v>
      </c>
    </row>
    <row r="317" spans="2:26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N317" s="7">
        <v>58200</v>
      </c>
      <c r="O317" s="7">
        <v>52000</v>
      </c>
      <c r="P317" s="7">
        <v>40000</v>
      </c>
      <c r="Q317" s="7">
        <v>30000</v>
      </c>
      <c r="U317" s="7" t="s">
        <v>1013</v>
      </c>
    </row>
    <row r="318" spans="2:26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CNY</v>
      </c>
      <c r="I318" s="7" t="s">
        <v>647</v>
      </c>
      <c r="J318" s="7" t="str">
        <f>J3</f>
        <v>December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 O127" xr:uid="{D9A124A9-D86A-4BEC-A379-99F0B65B6DB6}">
      <formula1>0</formula1>
    </dataValidation>
  </dataValidations>
  <pageMargins left="0.7" right="0.7" top="0.75" bottom="0.75" header="0.3" footer="0.3"/>
  <pageSetup orientation="portrait" r:id="rId1"/>
  <ignoredErrors>
    <ignoredError sqref="P226" formula="1"/>
  </ignoredError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 S315:S316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/>
  <cols>
    <col min="4" max="4" width="9.77734375" bestFit="1" customWidth="1"/>
  </cols>
  <sheetData>
    <row r="3" spans="2:11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>
      <c r="B5" t="s">
        <v>776</v>
      </c>
      <c r="C5" t="s">
        <v>798</v>
      </c>
      <c r="E5" t="s">
        <v>804</v>
      </c>
      <c r="J5" t="s">
        <v>819</v>
      </c>
    </row>
    <row r="6" spans="2:11">
      <c r="B6" t="s">
        <v>777</v>
      </c>
      <c r="C6" t="s">
        <v>799</v>
      </c>
    </row>
    <row r="7" spans="2:11">
      <c r="B7" t="s">
        <v>778</v>
      </c>
    </row>
    <row r="8" spans="2:11">
      <c r="B8" t="s">
        <v>779</v>
      </c>
    </row>
    <row r="9" spans="2:11">
      <c r="B9" t="s">
        <v>780</v>
      </c>
    </row>
    <row r="10" spans="2:11">
      <c r="B10" t="s">
        <v>781</v>
      </c>
    </row>
    <row r="11" spans="2:11">
      <c r="B11" t="s">
        <v>782</v>
      </c>
    </row>
    <row r="12" spans="2:11">
      <c r="B12" t="s">
        <v>783</v>
      </c>
    </row>
    <row r="13" spans="2:11">
      <c r="B13" t="s">
        <v>784</v>
      </c>
    </row>
    <row r="14" spans="2:11">
      <c r="B14" t="s">
        <v>785</v>
      </c>
    </row>
    <row r="15" spans="2:11">
      <c r="B15" t="s">
        <v>786</v>
      </c>
    </row>
    <row r="16" spans="2:11">
      <c r="B16" t="s">
        <v>787</v>
      </c>
    </row>
    <row r="17" spans="2:2">
      <c r="B17" t="s">
        <v>788</v>
      </c>
    </row>
    <row r="18" spans="2:2">
      <c r="B18" t="s">
        <v>789</v>
      </c>
    </row>
    <row r="19" spans="2:2">
      <c r="B19" t="s">
        <v>790</v>
      </c>
    </row>
    <row r="20" spans="2:2">
      <c r="B20" t="s">
        <v>791</v>
      </c>
    </row>
    <row r="21" spans="2:2">
      <c r="B21" t="s">
        <v>792</v>
      </c>
    </row>
    <row r="22" spans="2:2">
      <c r="B22" t="s">
        <v>793</v>
      </c>
    </row>
    <row r="23" spans="2:2">
      <c r="B23" t="s">
        <v>794</v>
      </c>
    </row>
    <row r="24" spans="2:2">
      <c r="B24" t="s">
        <v>795</v>
      </c>
    </row>
    <row r="25" spans="2:2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tabSelected="1" workbookViewId="0">
      <selection activeCell="J21" sqref="J21"/>
    </sheetView>
  </sheetViews>
  <sheetFormatPr defaultRowHeight="14.4"/>
  <sheetData>
    <row r="2" spans="2:6">
      <c r="B2" t="s">
        <v>371</v>
      </c>
      <c r="C2" t="s">
        <v>715</v>
      </c>
    </row>
    <row r="5" spans="2:6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FB4F-AEF1-479E-9F6A-EF57D102C9E7}">
  <dimension ref="B2:K84"/>
  <sheetViews>
    <sheetView topLeftCell="A2" workbookViewId="0">
      <selection activeCell="E5" sqref="E5:J5"/>
    </sheetView>
  </sheetViews>
  <sheetFormatPr defaultRowHeight="14.4"/>
  <sheetData>
    <row r="2" spans="2:11" ht="15" thickBot="1">
      <c r="B2" t="s">
        <v>986</v>
      </c>
      <c r="C2" t="s">
        <v>987</v>
      </c>
    </row>
    <row r="3" spans="2:11" ht="15" thickBot="1">
      <c r="B3" s="57">
        <v>44550</v>
      </c>
      <c r="C3" s="53">
        <v>71.400000000000006</v>
      </c>
      <c r="E3">
        <v>2015</v>
      </c>
      <c r="F3">
        <v>2016</v>
      </c>
      <c r="G3">
        <v>2017</v>
      </c>
      <c r="H3">
        <v>2017</v>
      </c>
      <c r="I3">
        <v>2019</v>
      </c>
      <c r="J3">
        <v>2020</v>
      </c>
    </row>
    <row r="4" spans="2:11" ht="15" thickBot="1">
      <c r="B4" s="58">
        <v>44520</v>
      </c>
      <c r="C4" s="54">
        <v>57.25</v>
      </c>
      <c r="E4" s="42">
        <f>AVERAGE(C63:C74)</f>
        <v>11.370833333333335</v>
      </c>
      <c r="F4" s="42">
        <f>AVERAGE(C51:C62)</f>
        <v>15.034166666666669</v>
      </c>
      <c r="G4" s="42">
        <f>AVERAGE(C39:C50)</f>
        <v>20.142500000000002</v>
      </c>
      <c r="H4" s="42">
        <f>AVERAGE(C27:C38)</f>
        <v>32.095833333333331</v>
      </c>
      <c r="I4" s="42">
        <f>AVERAGE(C15:C26)</f>
        <v>37.045833333333341</v>
      </c>
      <c r="J4" s="42">
        <f>AVERAGE(C3:C14)</f>
        <v>46.445833333333326</v>
      </c>
      <c r="K4" t="s">
        <v>778</v>
      </c>
    </row>
    <row r="5" spans="2:11" ht="15" thickBot="1">
      <c r="B5" s="58">
        <v>44489</v>
      </c>
      <c r="C5" s="54">
        <v>48.05</v>
      </c>
      <c r="E5" s="42">
        <f>E4/D78</f>
        <v>9.2194401066792953</v>
      </c>
      <c r="F5" s="42">
        <f t="shared" ref="F5:J5" si="0">F4/E78</f>
        <v>12.872202948284583</v>
      </c>
      <c r="G5" s="42">
        <f t="shared" si="0"/>
        <v>17.468826264858368</v>
      </c>
      <c r="H5" s="42">
        <f t="shared" si="0"/>
        <v>27.064604542665453</v>
      </c>
      <c r="I5" s="42">
        <f t="shared" si="0"/>
        <v>32.654662855205316</v>
      </c>
      <c r="J5" s="42">
        <f t="shared" si="0"/>
        <v>41.392437590140965</v>
      </c>
      <c r="K5" t="s">
        <v>776</v>
      </c>
    </row>
    <row r="6" spans="2:11" ht="15" thickBot="1">
      <c r="B6" s="58">
        <v>44459</v>
      </c>
      <c r="C6" s="55">
        <v>47.4</v>
      </c>
    </row>
    <row r="7" spans="2:11" ht="15" thickBot="1">
      <c r="B7" s="58">
        <v>44428</v>
      </c>
      <c r="C7" s="55">
        <v>50.4</v>
      </c>
    </row>
    <row r="8" spans="2:11" ht="15" thickBot="1">
      <c r="B8" s="58">
        <v>44397</v>
      </c>
      <c r="C8" s="54">
        <v>53.9</v>
      </c>
    </row>
    <row r="9" spans="2:11" ht="15" thickBot="1">
      <c r="B9" s="58">
        <v>44367</v>
      </c>
      <c r="C9" s="54">
        <v>43.2</v>
      </c>
    </row>
    <row r="10" spans="2:11" ht="15" thickBot="1">
      <c r="B10" s="58">
        <v>44336</v>
      </c>
      <c r="C10" s="54">
        <v>41.05</v>
      </c>
    </row>
    <row r="11" spans="2:11" ht="15" thickBot="1">
      <c r="B11" s="58">
        <v>44306</v>
      </c>
      <c r="C11" s="54">
        <v>36.950000000000003</v>
      </c>
    </row>
    <row r="12" spans="2:11" ht="15" thickBot="1">
      <c r="B12" s="58">
        <v>44275</v>
      </c>
      <c r="C12" s="55">
        <v>35.4</v>
      </c>
    </row>
    <row r="13" spans="2:11" ht="15" thickBot="1">
      <c r="B13" s="58">
        <v>44247</v>
      </c>
      <c r="C13" s="55">
        <v>36.1</v>
      </c>
    </row>
    <row r="14" spans="2:11" ht="15" thickBot="1">
      <c r="B14" s="58">
        <v>44216</v>
      </c>
      <c r="C14" s="55">
        <v>36.25</v>
      </c>
    </row>
    <row r="15" spans="2:11" ht="15" thickBot="1">
      <c r="B15" s="58">
        <v>44549</v>
      </c>
      <c r="C15" s="54">
        <v>43.1</v>
      </c>
    </row>
    <row r="16" spans="2:11" ht="15" thickBot="1">
      <c r="B16" s="58">
        <v>44519</v>
      </c>
      <c r="C16" s="54">
        <v>41</v>
      </c>
    </row>
    <row r="17" spans="2:3" ht="15" thickBot="1">
      <c r="B17" s="58">
        <v>44488</v>
      </c>
      <c r="C17" s="55">
        <v>40.35</v>
      </c>
    </row>
    <row r="18" spans="2:3" ht="15" thickBot="1">
      <c r="B18" s="58">
        <v>44458</v>
      </c>
      <c r="C18" s="55">
        <v>41.55</v>
      </c>
    </row>
    <row r="19" spans="2:3" ht="15" thickBot="1">
      <c r="B19" s="58">
        <v>44427</v>
      </c>
      <c r="C19" s="54">
        <v>44.5</v>
      </c>
    </row>
    <row r="20" spans="2:3" ht="15" thickBot="1">
      <c r="B20" s="58">
        <v>44396</v>
      </c>
      <c r="C20" s="55">
        <v>37</v>
      </c>
    </row>
    <row r="21" spans="2:3" ht="15" thickBot="1">
      <c r="B21" s="58">
        <v>44366</v>
      </c>
      <c r="C21" s="54">
        <v>37.1</v>
      </c>
    </row>
    <row r="22" spans="2:3" ht="15" thickBot="1">
      <c r="B22" s="58">
        <v>44335</v>
      </c>
      <c r="C22" s="55">
        <v>34.299999999999997</v>
      </c>
    </row>
    <row r="23" spans="2:3" ht="15" thickBot="1">
      <c r="B23" s="58">
        <v>44305</v>
      </c>
      <c r="C23" s="54">
        <v>35.85</v>
      </c>
    </row>
    <row r="24" spans="2:3" ht="15" thickBot="1">
      <c r="B24" s="58">
        <v>44274</v>
      </c>
      <c r="C24" s="54">
        <v>33.049999999999997</v>
      </c>
    </row>
    <row r="25" spans="2:3" ht="15" thickBot="1">
      <c r="B25" s="58">
        <v>44246</v>
      </c>
      <c r="C25" s="54">
        <v>29.25</v>
      </c>
    </row>
    <row r="26" spans="2:3" ht="15" thickBot="1">
      <c r="B26" s="58">
        <v>44215</v>
      </c>
      <c r="C26" s="54">
        <v>27.5</v>
      </c>
    </row>
    <row r="27" spans="2:3" ht="15" thickBot="1">
      <c r="B27" s="58">
        <v>44548</v>
      </c>
      <c r="C27" s="54">
        <v>27.35</v>
      </c>
    </row>
    <row r="28" spans="2:3" ht="15" thickBot="1">
      <c r="B28" s="58">
        <v>44518</v>
      </c>
      <c r="C28" s="55">
        <v>26.5</v>
      </c>
    </row>
    <row r="29" spans="2:3" ht="15" thickBot="1">
      <c r="B29" s="58">
        <v>44487</v>
      </c>
      <c r="C29" s="55">
        <v>27.25</v>
      </c>
    </row>
    <row r="30" spans="2:3" ht="15" thickBot="1">
      <c r="B30" s="58">
        <v>44457</v>
      </c>
      <c r="C30" s="55">
        <v>31.45</v>
      </c>
    </row>
    <row r="31" spans="2:3" ht="15" thickBot="1">
      <c r="B31" s="58">
        <v>44426</v>
      </c>
      <c r="C31" s="55">
        <v>33.4</v>
      </c>
    </row>
    <row r="32" spans="2:3" ht="15" thickBot="1">
      <c r="B32" s="58">
        <v>44395</v>
      </c>
      <c r="C32" s="55">
        <v>35.299999999999997</v>
      </c>
    </row>
    <row r="33" spans="2:3" ht="15" thickBot="1">
      <c r="B33" s="58">
        <v>44365</v>
      </c>
      <c r="C33" s="55">
        <v>38.1</v>
      </c>
    </row>
    <row r="34" spans="2:3" ht="15" thickBot="1">
      <c r="B34" s="58">
        <v>44334</v>
      </c>
      <c r="C34" s="54">
        <v>38.1</v>
      </c>
    </row>
    <row r="35" spans="2:3" ht="15" thickBot="1">
      <c r="B35" s="58">
        <v>44304</v>
      </c>
      <c r="C35" s="55">
        <v>33.950000000000003</v>
      </c>
    </row>
    <row r="36" spans="2:3" ht="15" thickBot="1">
      <c r="B36" s="58">
        <v>44273</v>
      </c>
      <c r="C36" s="54">
        <v>34</v>
      </c>
    </row>
    <row r="37" spans="2:3" ht="15" thickBot="1">
      <c r="B37" s="58">
        <v>44245</v>
      </c>
      <c r="C37" s="54">
        <v>30.2</v>
      </c>
    </row>
    <row r="38" spans="2:3" ht="15" thickBot="1">
      <c r="B38" s="58">
        <v>44214</v>
      </c>
      <c r="C38" s="54">
        <v>29.55</v>
      </c>
    </row>
    <row r="39" spans="2:3" ht="15" thickBot="1">
      <c r="B39" s="58">
        <v>44547</v>
      </c>
      <c r="C39" s="54">
        <v>28.05</v>
      </c>
    </row>
    <row r="40" spans="2:3" ht="15" thickBot="1">
      <c r="B40" s="58">
        <v>44517</v>
      </c>
      <c r="C40" s="55">
        <v>21.45</v>
      </c>
    </row>
    <row r="41" spans="2:3" ht="15" thickBot="1">
      <c r="B41" s="58">
        <v>44486</v>
      </c>
      <c r="C41" s="54">
        <v>22.5</v>
      </c>
    </row>
    <row r="42" spans="2:3" ht="15" thickBot="1">
      <c r="B42" s="58">
        <v>44456</v>
      </c>
      <c r="C42" s="54">
        <v>21.15</v>
      </c>
    </row>
    <row r="43" spans="2:3" ht="15" thickBot="1">
      <c r="B43" s="58">
        <v>44425</v>
      </c>
      <c r="C43" s="55">
        <v>19.64</v>
      </c>
    </row>
    <row r="44" spans="2:3" ht="15" thickBot="1">
      <c r="B44" s="58">
        <v>44394</v>
      </c>
      <c r="C44" s="54">
        <v>19.739999999999998</v>
      </c>
    </row>
    <row r="45" spans="2:3" ht="15" thickBot="1">
      <c r="B45" s="58">
        <v>44364</v>
      </c>
      <c r="C45" s="54">
        <v>19.7</v>
      </c>
    </row>
    <row r="46" spans="2:3" ht="15" thickBot="1">
      <c r="B46" s="58">
        <v>44333</v>
      </c>
      <c r="C46" s="54">
        <v>19.66</v>
      </c>
    </row>
    <row r="47" spans="2:3" ht="15" thickBot="1">
      <c r="B47" s="58">
        <v>44303</v>
      </c>
      <c r="C47" s="54">
        <v>18.72</v>
      </c>
    </row>
    <row r="48" spans="2:3" ht="15" thickBot="1">
      <c r="B48" s="58">
        <v>44272</v>
      </c>
      <c r="C48" s="54">
        <v>17.68</v>
      </c>
    </row>
    <row r="49" spans="2:3" ht="15" thickBot="1">
      <c r="B49" s="58">
        <v>44244</v>
      </c>
      <c r="C49" s="54">
        <v>17.62</v>
      </c>
    </row>
    <row r="50" spans="2:3" ht="15" thickBot="1">
      <c r="B50" s="58">
        <v>44213</v>
      </c>
      <c r="C50" s="54">
        <v>15.8</v>
      </c>
    </row>
    <row r="51" spans="2:3" ht="15" thickBot="1">
      <c r="B51" s="58">
        <v>44546</v>
      </c>
      <c r="C51" s="55">
        <v>15.4</v>
      </c>
    </row>
    <row r="52" spans="2:3" ht="15" thickBot="1">
      <c r="B52" s="58">
        <v>44516</v>
      </c>
      <c r="C52" s="55">
        <v>16.420000000000002</v>
      </c>
    </row>
    <row r="53" spans="2:3" ht="15" thickBot="1">
      <c r="B53" s="58">
        <v>44485</v>
      </c>
      <c r="C53" s="54">
        <v>16.5</v>
      </c>
    </row>
    <row r="54" spans="2:3" ht="15" thickBot="1">
      <c r="B54" s="58">
        <v>44455</v>
      </c>
      <c r="C54" s="55">
        <v>16.46</v>
      </c>
    </row>
    <row r="55" spans="2:3" ht="15" thickBot="1">
      <c r="B55" s="58">
        <v>44424</v>
      </c>
      <c r="C55" s="54">
        <v>17.899999999999999</v>
      </c>
    </row>
    <row r="56" spans="2:3" ht="15" thickBot="1">
      <c r="B56" s="58">
        <v>44393</v>
      </c>
      <c r="C56" s="55">
        <v>15.02</v>
      </c>
    </row>
    <row r="57" spans="2:3" ht="15" thickBot="1">
      <c r="B57" s="58">
        <v>44363</v>
      </c>
      <c r="C57" s="54">
        <v>15.49</v>
      </c>
    </row>
    <row r="58" spans="2:3" ht="15" thickBot="1">
      <c r="B58" s="58">
        <v>44332</v>
      </c>
      <c r="C58" s="55">
        <v>15.44</v>
      </c>
    </row>
    <row r="59" spans="2:3" ht="15" thickBot="1">
      <c r="B59" s="58">
        <v>44302</v>
      </c>
      <c r="C59" s="54">
        <v>15.66</v>
      </c>
    </row>
    <row r="60" spans="2:3" ht="15" thickBot="1">
      <c r="B60" s="58">
        <v>44271</v>
      </c>
      <c r="C60" s="54">
        <v>13.24</v>
      </c>
    </row>
    <row r="61" spans="2:3" ht="15" thickBot="1">
      <c r="B61" s="58">
        <v>44243</v>
      </c>
      <c r="C61" s="54">
        <v>11.55</v>
      </c>
    </row>
    <row r="62" spans="2:3" ht="15" thickBot="1">
      <c r="B62" s="58">
        <v>44212</v>
      </c>
      <c r="C62" s="55">
        <v>11.33</v>
      </c>
    </row>
    <row r="63" spans="2:3" ht="15" thickBot="1">
      <c r="B63" s="58">
        <v>44545</v>
      </c>
      <c r="C63" s="54">
        <v>15.22</v>
      </c>
    </row>
    <row r="64" spans="2:3" ht="15" thickBot="1">
      <c r="B64" s="58">
        <v>44515</v>
      </c>
      <c r="C64" s="54">
        <v>13.82</v>
      </c>
    </row>
    <row r="65" spans="2:9" ht="15" thickBot="1">
      <c r="B65" s="58">
        <v>44484</v>
      </c>
      <c r="C65" s="54">
        <v>13.46</v>
      </c>
    </row>
    <row r="66" spans="2:9" ht="15" thickBot="1">
      <c r="B66" s="58">
        <v>44454</v>
      </c>
      <c r="C66" s="54">
        <v>13.18</v>
      </c>
    </row>
    <row r="67" spans="2:9" ht="15" thickBot="1">
      <c r="B67" s="58">
        <v>44423</v>
      </c>
      <c r="C67" s="55">
        <v>11.57</v>
      </c>
    </row>
    <row r="68" spans="2:9" ht="15" thickBot="1">
      <c r="B68" s="58">
        <v>44392</v>
      </c>
      <c r="C68" s="54">
        <v>11.93</v>
      </c>
    </row>
    <row r="69" spans="2:9" ht="15" thickBot="1">
      <c r="B69" s="58">
        <v>44362</v>
      </c>
      <c r="C69" s="54">
        <v>11.88</v>
      </c>
    </row>
    <row r="70" spans="2:9" ht="15" thickBot="1">
      <c r="B70" s="58">
        <v>44331</v>
      </c>
      <c r="C70" s="55">
        <v>11.08</v>
      </c>
    </row>
    <row r="71" spans="2:9" ht="15" thickBot="1">
      <c r="B71" s="58">
        <v>44301</v>
      </c>
      <c r="C71" s="54">
        <v>11.31</v>
      </c>
    </row>
    <row r="72" spans="2:9" ht="15" thickBot="1">
      <c r="B72" s="58">
        <v>44270</v>
      </c>
      <c r="C72" s="55">
        <v>7.23</v>
      </c>
    </row>
    <row r="73" spans="2:9" ht="15" thickBot="1">
      <c r="B73" s="58">
        <v>44242</v>
      </c>
      <c r="C73" s="55">
        <v>7.69</v>
      </c>
    </row>
    <row r="74" spans="2:9">
      <c r="B74" s="59">
        <v>44211</v>
      </c>
      <c r="C74" s="56">
        <v>8.08</v>
      </c>
    </row>
    <row r="77" spans="2:9" ht="15" thickBot="1">
      <c r="D77">
        <v>2015</v>
      </c>
      <c r="E77">
        <v>2016</v>
      </c>
      <c r="F77">
        <v>2017</v>
      </c>
      <c r="G77">
        <v>2018</v>
      </c>
      <c r="H77">
        <v>2019</v>
      </c>
      <c r="I77">
        <v>2020</v>
      </c>
    </row>
    <row r="78" spans="2:9" ht="15" thickBot="1">
      <c r="D78" s="60">
        <v>1.2333540000000001</v>
      </c>
      <c r="E78" s="60">
        <v>1.167956</v>
      </c>
      <c r="F78" s="62">
        <v>1.153054</v>
      </c>
      <c r="G78" s="62">
        <v>1.185897</v>
      </c>
      <c r="H78" s="60">
        <v>1.1344730000000001</v>
      </c>
      <c r="I78" s="60">
        <v>1.122085</v>
      </c>
    </row>
    <row r="79" spans="2:9" ht="15" thickBot="1">
      <c r="D79" s="61"/>
      <c r="E79" s="61"/>
      <c r="F79" s="61"/>
      <c r="G79" s="61"/>
    </row>
    <row r="80" spans="2:9" ht="15" thickBot="1">
      <c r="D80" s="61"/>
      <c r="E80" s="61"/>
      <c r="F80" s="61"/>
      <c r="G80" s="61"/>
    </row>
    <row r="81" spans="4:7" ht="15" thickBot="1">
      <c r="D81" s="61"/>
      <c r="E81" s="61"/>
      <c r="F81" s="61"/>
      <c r="G81" s="61"/>
    </row>
    <row r="82" spans="4:7" ht="15" thickBot="1">
      <c r="D82" s="61"/>
      <c r="E82" s="61"/>
      <c r="F82" s="61"/>
      <c r="G82" s="61"/>
    </row>
    <row r="83" spans="4:7" ht="15" thickBot="1">
      <c r="D83" s="61"/>
      <c r="E83" s="61"/>
      <c r="F83" s="61"/>
      <c r="G83" s="61"/>
    </row>
    <row r="84" spans="4:7" ht="15" thickBot="1">
      <c r="D84" s="61"/>
      <c r="E84" s="61"/>
      <c r="F84" s="61"/>
      <c r="G84" s="61"/>
    </row>
  </sheetData>
  <pageMargins left="0.7" right="0.7" top="0.75" bottom="0.75" header="0.3" footer="0.3"/>
  <ignoredErrors>
    <ignoredError sqref="E4:J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C12D-0E6C-4BE3-85C0-6A00EC0D2791}">
  <dimension ref="A2:AB107"/>
  <sheetViews>
    <sheetView zoomScale="80" zoomScaleNormal="80" workbookViewId="0">
      <pane xSplit="1" ySplit="2" topLeftCell="G89" activePane="bottomRight" state="frozen"/>
      <selection pane="topRight" activeCell="B1" sqref="B1"/>
      <selection pane="bottomLeft" activeCell="A3" sqref="A3"/>
      <selection pane="bottomRight" activeCell="K120" sqref="K120"/>
    </sheetView>
  </sheetViews>
  <sheetFormatPr defaultRowHeight="14.4"/>
  <cols>
    <col min="2" max="2" width="27.109375" bestFit="1" customWidth="1"/>
    <col min="3" max="3" width="51.109375" bestFit="1" customWidth="1"/>
    <col min="4" max="4" width="8.88671875" style="37"/>
    <col min="5" max="5" width="9.88671875" bestFit="1" customWidth="1"/>
    <col min="6" max="6" width="122.21875" customWidth="1"/>
    <col min="7" max="7" width="54.44140625" bestFit="1" customWidth="1"/>
    <col min="8" max="8" width="63.5546875" bestFit="1" customWidth="1"/>
    <col min="10" max="10" width="17.6640625" bestFit="1" customWidth="1"/>
    <col min="11" max="11" width="18.109375" bestFit="1" customWidth="1"/>
    <col min="12" max="12" width="25.88671875" bestFit="1" customWidth="1"/>
    <col min="14" max="18" width="10" bestFit="1" customWidth="1"/>
    <col min="19" max="19" width="20.21875" bestFit="1" customWidth="1"/>
    <col min="20" max="23" width="17" bestFit="1" customWidth="1"/>
    <col min="24" max="28" width="10.88671875" bestFit="1" customWidth="1"/>
  </cols>
  <sheetData>
    <row r="2" spans="1:28">
      <c r="B2" s="34" t="s">
        <v>835</v>
      </c>
      <c r="C2" s="34" t="s">
        <v>836</v>
      </c>
      <c r="D2" s="35" t="s">
        <v>837</v>
      </c>
      <c r="E2" s="34" t="s">
        <v>838</v>
      </c>
      <c r="F2" s="36" t="s">
        <v>839</v>
      </c>
      <c r="G2" s="75" t="s">
        <v>840</v>
      </c>
      <c r="H2" s="75"/>
      <c r="I2" s="75"/>
      <c r="J2" s="75"/>
      <c r="K2" s="34" t="s">
        <v>841</v>
      </c>
      <c r="L2" s="34" t="s">
        <v>842</v>
      </c>
      <c r="M2" s="34" t="s">
        <v>843</v>
      </c>
      <c r="N2" s="75" t="s">
        <v>844</v>
      </c>
      <c r="O2" s="75"/>
      <c r="P2" s="75"/>
      <c r="Q2" s="75"/>
      <c r="R2" s="75"/>
      <c r="S2" s="75" t="s">
        <v>845</v>
      </c>
      <c r="T2" s="75"/>
      <c r="U2" s="75"/>
      <c r="V2" s="75"/>
      <c r="W2" s="75"/>
      <c r="X2" s="75" t="s">
        <v>846</v>
      </c>
      <c r="Y2" s="75"/>
      <c r="Z2" s="75"/>
      <c r="AA2" s="75"/>
      <c r="AB2" s="75"/>
    </row>
    <row r="3" spans="1:28">
      <c r="G3" s="38" t="s">
        <v>847</v>
      </c>
      <c r="H3" s="38" t="s">
        <v>848</v>
      </c>
      <c r="I3" s="38" t="s">
        <v>843</v>
      </c>
      <c r="J3" s="38" t="s">
        <v>849</v>
      </c>
      <c r="N3" s="39">
        <v>2015</v>
      </c>
      <c r="O3" s="39">
        <v>2016</v>
      </c>
      <c r="P3" s="39">
        <v>2017</v>
      </c>
      <c r="Q3" s="39">
        <v>2018</v>
      </c>
      <c r="R3" s="39">
        <v>2019</v>
      </c>
      <c r="S3" s="39">
        <v>2015</v>
      </c>
      <c r="T3" s="39">
        <v>2016</v>
      </c>
      <c r="U3" s="39">
        <v>2017</v>
      </c>
      <c r="V3" s="39">
        <v>2018</v>
      </c>
      <c r="W3" s="39">
        <v>2019</v>
      </c>
      <c r="X3" s="39">
        <v>2015</v>
      </c>
      <c r="Y3" s="39">
        <v>2016</v>
      </c>
      <c r="Z3" s="39">
        <v>2017</v>
      </c>
      <c r="AA3" s="39">
        <v>2018</v>
      </c>
      <c r="AB3" s="39">
        <v>2019</v>
      </c>
    </row>
    <row r="4" spans="1:28">
      <c r="A4">
        <v>1</v>
      </c>
      <c r="B4" t="s">
        <v>868</v>
      </c>
      <c r="C4" t="s">
        <v>870</v>
      </c>
      <c r="D4" s="37">
        <v>51</v>
      </c>
      <c r="E4">
        <f>D4-25</f>
        <v>26</v>
      </c>
      <c r="F4" t="s">
        <v>882</v>
      </c>
      <c r="G4" t="s">
        <v>883</v>
      </c>
      <c r="H4" t="s">
        <v>854</v>
      </c>
      <c r="I4" t="s">
        <v>853</v>
      </c>
      <c r="J4" t="s">
        <v>864</v>
      </c>
      <c r="K4">
        <f>2021-2016</f>
        <v>5</v>
      </c>
      <c r="N4" s="45"/>
      <c r="O4" s="46"/>
      <c r="P4" s="45"/>
      <c r="Q4" s="46"/>
      <c r="R4" s="51">
        <v>3.3E-4</v>
      </c>
      <c r="S4" s="45"/>
      <c r="T4" s="45"/>
      <c r="U4" s="45"/>
      <c r="V4" s="45"/>
      <c r="W4" s="45"/>
      <c r="X4" s="46"/>
      <c r="Y4" s="46"/>
      <c r="Z4" s="46"/>
      <c r="AA4" s="46"/>
      <c r="AB4" s="46"/>
    </row>
    <row r="5" spans="1:28"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>
      <c r="K7" s="34">
        <f>SUM(K4:K6)</f>
        <v>5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spans="1:28">
      <c r="A9">
        <v>2</v>
      </c>
      <c r="B9" t="s">
        <v>867</v>
      </c>
      <c r="C9" t="s">
        <v>857</v>
      </c>
      <c r="D9" s="37">
        <v>43</v>
      </c>
      <c r="E9">
        <f>D9-25</f>
        <v>18</v>
      </c>
      <c r="F9" t="s">
        <v>884</v>
      </c>
      <c r="G9" t="s">
        <v>883</v>
      </c>
      <c r="H9" t="s">
        <v>854</v>
      </c>
      <c r="I9" t="s">
        <v>853</v>
      </c>
      <c r="J9" t="s">
        <v>885</v>
      </c>
      <c r="K9">
        <f>2021-2018</f>
        <v>3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6"/>
      <c r="Y9" s="46"/>
      <c r="Z9" s="46"/>
      <c r="AA9" s="46"/>
      <c r="AB9" s="46"/>
    </row>
    <row r="10" spans="1:28"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spans="1:28">
      <c r="K11" s="34">
        <f>K9</f>
        <v>3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spans="1:28">
      <c r="K12" s="34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>
      <c r="A13">
        <v>3</v>
      </c>
      <c r="B13" t="s">
        <v>869</v>
      </c>
      <c r="C13" t="s">
        <v>871</v>
      </c>
      <c r="D13" s="37">
        <v>53</v>
      </c>
      <c r="E13">
        <f>D13-25</f>
        <v>28</v>
      </c>
      <c r="F13" t="s">
        <v>886</v>
      </c>
      <c r="G13" t="s">
        <v>883</v>
      </c>
      <c r="H13" t="s">
        <v>854</v>
      </c>
      <c r="I13" t="s">
        <v>853</v>
      </c>
      <c r="J13" t="s">
        <v>864</v>
      </c>
      <c r="K13">
        <f>2021-2016</f>
        <v>5</v>
      </c>
      <c r="L13" t="s">
        <v>880</v>
      </c>
      <c r="M13" t="s">
        <v>860</v>
      </c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</row>
    <row r="14" spans="1:28">
      <c r="G14" t="s">
        <v>887</v>
      </c>
      <c r="H14" t="s">
        <v>854</v>
      </c>
      <c r="I14" t="s">
        <v>853</v>
      </c>
      <c r="J14" t="s">
        <v>888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spans="1:28">
      <c r="G15" t="s">
        <v>889</v>
      </c>
      <c r="H15" t="s">
        <v>854</v>
      </c>
      <c r="I15" t="s">
        <v>853</v>
      </c>
      <c r="J15" t="s">
        <v>890</v>
      </c>
      <c r="K15">
        <v>0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spans="1:28">
      <c r="G16" t="s">
        <v>891</v>
      </c>
      <c r="H16" t="s">
        <v>854</v>
      </c>
      <c r="I16" t="s">
        <v>853</v>
      </c>
      <c r="J16" t="s">
        <v>888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spans="1:28">
      <c r="K18" s="34">
        <f>SUM(K13:K17)</f>
        <v>5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spans="1:28"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spans="1:28">
      <c r="A20">
        <v>4</v>
      </c>
      <c r="B20" t="s">
        <v>872</v>
      </c>
      <c r="C20" t="s">
        <v>850</v>
      </c>
      <c r="D20" s="37">
        <v>58</v>
      </c>
      <c r="E20">
        <f>D20-25</f>
        <v>33</v>
      </c>
      <c r="F20" t="s">
        <v>892</v>
      </c>
      <c r="G20" t="s">
        <v>893</v>
      </c>
      <c r="H20" t="s">
        <v>854</v>
      </c>
      <c r="I20" t="s">
        <v>853</v>
      </c>
      <c r="J20" t="s">
        <v>894</v>
      </c>
      <c r="M20" t="s">
        <v>859</v>
      </c>
      <c r="N20" s="45"/>
      <c r="O20" s="45"/>
      <c r="P20" s="45"/>
      <c r="Q20" s="45"/>
      <c r="R20" s="51">
        <v>5.0000000000000002E-5</v>
      </c>
      <c r="S20" s="45"/>
      <c r="T20" s="45"/>
      <c r="U20" s="45"/>
      <c r="V20" s="45"/>
      <c r="W20" s="45"/>
      <c r="X20" s="46"/>
      <c r="Y20" s="46"/>
      <c r="Z20" s="46"/>
      <c r="AA20" s="46"/>
      <c r="AB20" s="46"/>
    </row>
    <row r="21" spans="1:28">
      <c r="G21" t="s">
        <v>883</v>
      </c>
      <c r="H21" t="s">
        <v>854</v>
      </c>
      <c r="I21" t="s">
        <v>853</v>
      </c>
      <c r="J21" t="s">
        <v>895</v>
      </c>
      <c r="K21">
        <f>2021-2009</f>
        <v>12</v>
      </c>
      <c r="M21" t="s">
        <v>860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spans="1:28">
      <c r="G22" t="s">
        <v>896</v>
      </c>
      <c r="H22" t="s">
        <v>858</v>
      </c>
      <c r="I22" t="s">
        <v>851</v>
      </c>
      <c r="J22" t="s">
        <v>897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>
      <c r="G23" t="s">
        <v>898</v>
      </c>
      <c r="H23" t="s">
        <v>858</v>
      </c>
      <c r="I23" t="s">
        <v>851</v>
      </c>
      <c r="J23" t="s">
        <v>899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spans="1:28"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spans="1:28">
      <c r="K25" s="34">
        <f>K21</f>
        <v>12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1:28">
      <c r="A27">
        <v>5</v>
      </c>
      <c r="B27" t="s">
        <v>873</v>
      </c>
      <c r="C27" t="s">
        <v>850</v>
      </c>
      <c r="D27" s="44">
        <v>58</v>
      </c>
      <c r="E27" s="7">
        <f>D27-25</f>
        <v>33</v>
      </c>
      <c r="F27" s="7"/>
      <c r="G27" s="7" t="s">
        <v>883</v>
      </c>
      <c r="H27" s="7" t="s">
        <v>854</v>
      </c>
      <c r="I27" s="7" t="s">
        <v>853</v>
      </c>
      <c r="J27" s="7" t="s">
        <v>904</v>
      </c>
      <c r="K27" s="7">
        <f>2021-2020</f>
        <v>1</v>
      </c>
      <c r="L27" s="7"/>
      <c r="M27" s="7" t="s">
        <v>859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spans="1:28">
      <c r="M28" t="s">
        <v>860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spans="1:28">
      <c r="K29" s="34">
        <f>SUM(K27:K28)</f>
        <v>1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>
      <c r="A31">
        <v>6</v>
      </c>
      <c r="B31" t="s">
        <v>874</v>
      </c>
      <c r="C31" t="s">
        <v>850</v>
      </c>
      <c r="D31" s="37">
        <v>46</v>
      </c>
      <c r="E31">
        <f>D31-25</f>
        <v>21</v>
      </c>
      <c r="F31" t="s">
        <v>900</v>
      </c>
      <c r="G31" t="s">
        <v>883</v>
      </c>
      <c r="H31" t="s">
        <v>854</v>
      </c>
      <c r="I31" t="s">
        <v>853</v>
      </c>
      <c r="J31" t="s">
        <v>888</v>
      </c>
      <c r="K31" s="7">
        <f>2021-2019</f>
        <v>2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28">
      <c r="K33" s="34">
        <f>K31</f>
        <v>2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>
      <c r="A35" s="40">
        <v>7</v>
      </c>
      <c r="B35" s="40" t="s">
        <v>875</v>
      </c>
      <c r="C35" s="40" t="s">
        <v>862</v>
      </c>
      <c r="D35" s="41">
        <v>66</v>
      </c>
      <c r="E35" s="40">
        <f>D35-25</f>
        <v>41</v>
      </c>
      <c r="F35" s="40" t="s">
        <v>901</v>
      </c>
      <c r="G35" t="s">
        <v>883</v>
      </c>
      <c r="H35" t="s">
        <v>854</v>
      </c>
      <c r="I35" t="s">
        <v>853</v>
      </c>
      <c r="J35" t="s">
        <v>905</v>
      </c>
      <c r="K35">
        <f>2021-1988</f>
        <v>33</v>
      </c>
      <c r="L35" t="s">
        <v>880</v>
      </c>
      <c r="M35" t="s">
        <v>859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spans="1:28">
      <c r="L36" t="s">
        <v>881</v>
      </c>
      <c r="M36" t="s">
        <v>860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>
      <c r="L37" t="s">
        <v>337</v>
      </c>
      <c r="M37" t="s">
        <v>860</v>
      </c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spans="1:28">
      <c r="K38" s="34">
        <f>SUM(K35:K37)</f>
        <v>33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>
      <c r="A40" s="40">
        <v>8</v>
      </c>
      <c r="B40" s="40" t="s">
        <v>876</v>
      </c>
      <c r="C40" s="40" t="s">
        <v>862</v>
      </c>
      <c r="D40" s="41">
        <v>67</v>
      </c>
      <c r="E40" s="40">
        <f>D40-25</f>
        <v>42</v>
      </c>
      <c r="F40" s="40"/>
      <c r="G40" t="s">
        <v>906</v>
      </c>
      <c r="H40" t="s">
        <v>858</v>
      </c>
      <c r="I40" t="s">
        <v>851</v>
      </c>
      <c r="J40" t="s">
        <v>852</v>
      </c>
      <c r="L40" t="s">
        <v>337</v>
      </c>
      <c r="M40" t="s">
        <v>859</v>
      </c>
      <c r="N40" s="46"/>
      <c r="O40" s="46"/>
      <c r="P40" s="46"/>
      <c r="Q40" s="46"/>
      <c r="R40" s="52">
        <v>8.0000000000000007E-5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>
      <c r="G41" t="s">
        <v>907</v>
      </c>
      <c r="H41" t="s">
        <v>858</v>
      </c>
      <c r="I41" t="s">
        <v>851</v>
      </c>
      <c r="J41" t="s">
        <v>908</v>
      </c>
      <c r="L41" t="s">
        <v>880</v>
      </c>
      <c r="M41" t="s">
        <v>860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>
      <c r="G42" t="s">
        <v>909</v>
      </c>
      <c r="H42" t="s">
        <v>858</v>
      </c>
      <c r="I42" t="s">
        <v>851</v>
      </c>
      <c r="J42" t="s">
        <v>910</v>
      </c>
      <c r="L42" t="s">
        <v>881</v>
      </c>
      <c r="M42" t="s">
        <v>860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>
      <c r="G43" t="s">
        <v>883</v>
      </c>
      <c r="H43" t="s">
        <v>854</v>
      </c>
      <c r="I43" t="s">
        <v>853</v>
      </c>
      <c r="J43" t="s">
        <v>911</v>
      </c>
      <c r="K43">
        <f>2021-2003</f>
        <v>18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spans="1:28">
      <c r="G44" t="s">
        <v>912</v>
      </c>
      <c r="H44" t="s">
        <v>858</v>
      </c>
      <c r="I44" t="s">
        <v>851</v>
      </c>
      <c r="J44" t="s">
        <v>913</v>
      </c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>
      <c r="K47" s="34">
        <f>SUM(K40:K46)</f>
        <v>18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>
      <c r="A49" s="40">
        <v>9</v>
      </c>
      <c r="B49" s="40" t="s">
        <v>877</v>
      </c>
      <c r="C49" s="40" t="s">
        <v>862</v>
      </c>
      <c r="D49" s="41">
        <v>70</v>
      </c>
      <c r="E49" s="40">
        <f>D49-25</f>
        <v>45</v>
      </c>
      <c r="F49" s="40" t="s">
        <v>902</v>
      </c>
      <c r="G49" t="s">
        <v>914</v>
      </c>
      <c r="H49" t="s">
        <v>858</v>
      </c>
      <c r="I49" t="s">
        <v>851</v>
      </c>
      <c r="J49" t="s">
        <v>915</v>
      </c>
      <c r="L49" t="s">
        <v>881</v>
      </c>
      <c r="M49" t="s">
        <v>860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pans="1:28">
      <c r="G50" t="s">
        <v>916</v>
      </c>
      <c r="H50" t="s">
        <v>858</v>
      </c>
      <c r="I50" t="s">
        <v>851</v>
      </c>
      <c r="J50" t="s">
        <v>917</v>
      </c>
      <c r="L50" t="s">
        <v>337</v>
      </c>
      <c r="M50" t="s">
        <v>860</v>
      </c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>
      <c r="G51" t="s">
        <v>918</v>
      </c>
      <c r="H51" t="s">
        <v>858</v>
      </c>
      <c r="I51" t="s">
        <v>851</v>
      </c>
      <c r="J51" t="s">
        <v>919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pans="1:28">
      <c r="G52" t="s">
        <v>920</v>
      </c>
      <c r="H52" t="s">
        <v>854</v>
      </c>
      <c r="I52" t="s">
        <v>853</v>
      </c>
      <c r="J52" t="s">
        <v>911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>
      <c r="G53" t="s">
        <v>883</v>
      </c>
      <c r="H53" t="s">
        <v>854</v>
      </c>
      <c r="I53" t="s">
        <v>853</v>
      </c>
      <c r="J53" t="s">
        <v>856</v>
      </c>
      <c r="K53">
        <f>2021-2005</f>
        <v>16</v>
      </c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>
      <c r="G54" t="s">
        <v>935</v>
      </c>
      <c r="H54" t="s">
        <v>858</v>
      </c>
      <c r="I54" t="s">
        <v>851</v>
      </c>
      <c r="J54" t="s">
        <v>936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>
      <c r="G55" t="s">
        <v>937</v>
      </c>
      <c r="H55" t="s">
        <v>858</v>
      </c>
      <c r="I55" t="s">
        <v>851</v>
      </c>
      <c r="J55" t="s">
        <v>938</v>
      </c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>
      <c r="G56" t="s">
        <v>939</v>
      </c>
      <c r="H56" t="s">
        <v>858</v>
      </c>
      <c r="I56" t="s">
        <v>851</v>
      </c>
      <c r="J56" t="s">
        <v>940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>
      <c r="G57" t="s">
        <v>941</v>
      </c>
      <c r="H57" t="s">
        <v>858</v>
      </c>
      <c r="I57" t="s">
        <v>851</v>
      </c>
      <c r="J57" t="s">
        <v>942</v>
      </c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>
      <c r="G58" t="s">
        <v>943</v>
      </c>
      <c r="H58" t="s">
        <v>854</v>
      </c>
      <c r="I58" t="s">
        <v>853</v>
      </c>
      <c r="J58" t="s">
        <v>861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spans="1:28">
      <c r="G59" t="s">
        <v>944</v>
      </c>
      <c r="H59" t="s">
        <v>854</v>
      </c>
      <c r="I59" t="s">
        <v>853</v>
      </c>
      <c r="J59" t="s">
        <v>945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spans="1:28">
      <c r="G60" t="s">
        <v>946</v>
      </c>
      <c r="H60" t="s">
        <v>947</v>
      </c>
      <c r="I60" t="s">
        <v>851</v>
      </c>
      <c r="J60" t="s">
        <v>948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spans="1:28">
      <c r="G61" t="s">
        <v>949</v>
      </c>
      <c r="H61" t="s">
        <v>858</v>
      </c>
      <c r="I61" t="s">
        <v>851</v>
      </c>
      <c r="J61" t="s">
        <v>950</v>
      </c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spans="1:28">
      <c r="G62" t="s">
        <v>951</v>
      </c>
      <c r="H62" t="s">
        <v>858</v>
      </c>
      <c r="I62" t="s">
        <v>851</v>
      </c>
      <c r="J62" t="s">
        <v>952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spans="1:28">
      <c r="G63" t="s">
        <v>953</v>
      </c>
      <c r="H63" t="s">
        <v>854</v>
      </c>
      <c r="I63" t="s">
        <v>853</v>
      </c>
      <c r="J63" t="s">
        <v>895</v>
      </c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spans="1:28">
      <c r="G64" t="s">
        <v>954</v>
      </c>
      <c r="H64" t="s">
        <v>854</v>
      </c>
      <c r="I64" t="s">
        <v>853</v>
      </c>
      <c r="J64" t="s">
        <v>852</v>
      </c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>
      <c r="G65" t="s">
        <v>955</v>
      </c>
      <c r="H65" t="s">
        <v>858</v>
      </c>
      <c r="I65" t="s">
        <v>851</v>
      </c>
      <c r="J65" t="s">
        <v>956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spans="1:28">
      <c r="G66" t="s">
        <v>957</v>
      </c>
      <c r="H66" t="s">
        <v>854</v>
      </c>
      <c r="I66" t="s">
        <v>853</v>
      </c>
      <c r="J66" t="s">
        <v>945</v>
      </c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spans="1:28">
      <c r="G67" t="s">
        <v>958</v>
      </c>
      <c r="H67" t="s">
        <v>858</v>
      </c>
      <c r="I67" t="s">
        <v>851</v>
      </c>
      <c r="J67" t="s">
        <v>959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spans="1:28">
      <c r="G68" t="s">
        <v>960</v>
      </c>
      <c r="H68" t="s">
        <v>858</v>
      </c>
      <c r="I68" t="s">
        <v>851</v>
      </c>
      <c r="J68" t="s">
        <v>852</v>
      </c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spans="1:28">
      <c r="G69" t="s">
        <v>961</v>
      </c>
      <c r="H69" t="s">
        <v>858</v>
      </c>
      <c r="I69" t="s">
        <v>851</v>
      </c>
      <c r="J69" t="s">
        <v>962</v>
      </c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spans="1:28">
      <c r="G70" t="s">
        <v>963</v>
      </c>
      <c r="H70" t="s">
        <v>854</v>
      </c>
      <c r="I70" t="s">
        <v>853</v>
      </c>
      <c r="J70" t="s">
        <v>888</v>
      </c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spans="1:28">
      <c r="G71" t="s">
        <v>964</v>
      </c>
      <c r="H71" t="s">
        <v>854</v>
      </c>
      <c r="I71" t="s">
        <v>853</v>
      </c>
      <c r="J71" t="s">
        <v>922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28">
      <c r="G72" t="s">
        <v>965</v>
      </c>
      <c r="H72" t="s">
        <v>854</v>
      </c>
      <c r="I72" t="s">
        <v>853</v>
      </c>
      <c r="J72" t="s">
        <v>855</v>
      </c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spans="1:28"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28">
      <c r="K74" s="34">
        <f>K53</f>
        <v>16</v>
      </c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spans="1:28">
      <c r="J75" s="34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spans="1:28"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spans="1:28">
      <c r="A77" s="40">
        <v>10</v>
      </c>
      <c r="B77" s="40" t="s">
        <v>878</v>
      </c>
      <c r="C77" s="40" t="s">
        <v>862</v>
      </c>
      <c r="D77" s="41">
        <v>55</v>
      </c>
      <c r="E77" s="40">
        <f>D77-25</f>
        <v>30</v>
      </c>
      <c r="F77" s="40" t="s">
        <v>903</v>
      </c>
      <c r="G77" t="s">
        <v>921</v>
      </c>
      <c r="H77" t="s">
        <v>854</v>
      </c>
      <c r="I77" t="s">
        <v>853</v>
      </c>
      <c r="J77" t="s">
        <v>922</v>
      </c>
      <c r="L77" t="s">
        <v>880</v>
      </c>
      <c r="M77" t="s">
        <v>860</v>
      </c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spans="1:28">
      <c r="G78" t="s">
        <v>923</v>
      </c>
      <c r="H78" t="s">
        <v>858</v>
      </c>
      <c r="I78" t="s">
        <v>851</v>
      </c>
      <c r="J78" t="s">
        <v>924</v>
      </c>
      <c r="L78" t="s">
        <v>337</v>
      </c>
      <c r="M78" t="s">
        <v>860</v>
      </c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spans="1:28">
      <c r="G79" t="s">
        <v>925</v>
      </c>
      <c r="H79" t="s">
        <v>854</v>
      </c>
      <c r="I79" t="s">
        <v>853</v>
      </c>
      <c r="J79" t="s">
        <v>863</v>
      </c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spans="1:28">
      <c r="G80" t="s">
        <v>926</v>
      </c>
      <c r="H80" t="s">
        <v>854</v>
      </c>
      <c r="I80" t="s">
        <v>853</v>
      </c>
      <c r="J80" t="s">
        <v>861</v>
      </c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spans="7:28">
      <c r="G81" t="s">
        <v>927</v>
      </c>
      <c r="H81" t="s">
        <v>854</v>
      </c>
      <c r="I81" t="s">
        <v>853</v>
      </c>
      <c r="J81" t="s">
        <v>928</v>
      </c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spans="7:28">
      <c r="G82" t="s">
        <v>883</v>
      </c>
      <c r="H82" t="s">
        <v>854</v>
      </c>
      <c r="I82" t="s">
        <v>853</v>
      </c>
      <c r="J82" t="s">
        <v>928</v>
      </c>
      <c r="K82">
        <f>2021-2006</f>
        <v>15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7:28">
      <c r="G83" t="s">
        <v>966</v>
      </c>
      <c r="H83" t="s">
        <v>858</v>
      </c>
      <c r="I83" t="s">
        <v>851</v>
      </c>
      <c r="J83" t="s">
        <v>967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7:28">
      <c r="G84" t="s">
        <v>968</v>
      </c>
      <c r="H84" t="s">
        <v>858</v>
      </c>
      <c r="I84" t="s">
        <v>851</v>
      </c>
      <c r="J84" t="s">
        <v>852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7:28">
      <c r="G85" t="s">
        <v>969</v>
      </c>
      <c r="H85" t="s">
        <v>858</v>
      </c>
      <c r="I85" t="s">
        <v>851</v>
      </c>
      <c r="J85" t="s">
        <v>970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7:28">
      <c r="G86" t="s">
        <v>971</v>
      </c>
      <c r="H86" t="s">
        <v>858</v>
      </c>
      <c r="I86" t="s">
        <v>851</v>
      </c>
      <c r="J86" t="s">
        <v>972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7:28">
      <c r="G87" t="s">
        <v>973</v>
      </c>
      <c r="H87" t="s">
        <v>854</v>
      </c>
      <c r="I87" t="s">
        <v>853</v>
      </c>
      <c r="J87" t="s">
        <v>974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7:28">
      <c r="G88" t="s">
        <v>975</v>
      </c>
      <c r="H88" t="s">
        <v>858</v>
      </c>
      <c r="I88" t="s">
        <v>851</v>
      </c>
      <c r="J88" t="s">
        <v>976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7:28">
      <c r="G89" t="s">
        <v>977</v>
      </c>
      <c r="H89" t="s">
        <v>858</v>
      </c>
      <c r="I89" t="s">
        <v>851</v>
      </c>
      <c r="J89" t="s">
        <v>978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7:28">
      <c r="G90" t="s">
        <v>979</v>
      </c>
      <c r="H90" t="s">
        <v>858</v>
      </c>
      <c r="I90" t="s">
        <v>851</v>
      </c>
      <c r="J90" t="s">
        <v>852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7:28">
      <c r="G91" t="s">
        <v>980</v>
      </c>
      <c r="H91" t="s">
        <v>981</v>
      </c>
      <c r="I91" t="s">
        <v>853</v>
      </c>
      <c r="J91" t="s">
        <v>852</v>
      </c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7:28">
      <c r="G92" t="s">
        <v>982</v>
      </c>
      <c r="H92" t="s">
        <v>858</v>
      </c>
      <c r="I92" t="s">
        <v>851</v>
      </c>
      <c r="J92" t="s">
        <v>983</v>
      </c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7:28">
      <c r="G93" t="s">
        <v>984</v>
      </c>
      <c r="H93" t="s">
        <v>854</v>
      </c>
      <c r="I93" t="s">
        <v>853</v>
      </c>
      <c r="J93" t="s">
        <v>985</v>
      </c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7:28"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7:28">
      <c r="K95" s="34">
        <f>K82</f>
        <v>15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7:28"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:28">
      <c r="A97" s="40">
        <v>11</v>
      </c>
      <c r="B97" s="40" t="s">
        <v>879</v>
      </c>
      <c r="C97" s="40" t="s">
        <v>862</v>
      </c>
      <c r="D97" s="41">
        <v>74</v>
      </c>
      <c r="E97" s="40">
        <f>D97-25</f>
        <v>49</v>
      </c>
      <c r="F97" s="40"/>
      <c r="G97" t="s">
        <v>927</v>
      </c>
      <c r="H97" t="s">
        <v>854</v>
      </c>
      <c r="I97" t="s">
        <v>853</v>
      </c>
      <c r="J97" t="s">
        <v>928</v>
      </c>
      <c r="L97" t="s">
        <v>881</v>
      </c>
      <c r="M97" t="s">
        <v>859</v>
      </c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6"/>
      <c r="Y97" s="46"/>
      <c r="Z97" s="46"/>
      <c r="AA97" s="46"/>
      <c r="AB97" s="46"/>
    </row>
    <row r="98" spans="1:28">
      <c r="G98" t="s">
        <v>883</v>
      </c>
      <c r="H98" t="s">
        <v>854</v>
      </c>
      <c r="I98" t="s">
        <v>853</v>
      </c>
      <c r="J98" t="s">
        <v>928</v>
      </c>
      <c r="K98">
        <f>2021-2006</f>
        <v>15</v>
      </c>
      <c r="L98" t="s">
        <v>880</v>
      </c>
      <c r="M98" t="s">
        <v>860</v>
      </c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:28">
      <c r="G99" t="s">
        <v>929</v>
      </c>
      <c r="H99" t="s">
        <v>854</v>
      </c>
      <c r="I99" t="s">
        <v>853</v>
      </c>
      <c r="J99" t="s">
        <v>861</v>
      </c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:28">
      <c r="G100" t="s">
        <v>930</v>
      </c>
      <c r="H100" t="s">
        <v>858</v>
      </c>
      <c r="I100" t="s">
        <v>851</v>
      </c>
      <c r="J100" t="s">
        <v>931</v>
      </c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:28">
      <c r="G101" t="s">
        <v>932</v>
      </c>
      <c r="H101" t="s">
        <v>854</v>
      </c>
      <c r="I101" t="s">
        <v>853</v>
      </c>
      <c r="J101" t="s">
        <v>861</v>
      </c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:28">
      <c r="G102" t="s">
        <v>933</v>
      </c>
      <c r="H102" t="s">
        <v>858</v>
      </c>
      <c r="I102" t="s">
        <v>851</v>
      </c>
      <c r="J102" t="s">
        <v>910</v>
      </c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:28">
      <c r="G103" t="s">
        <v>934</v>
      </c>
      <c r="H103" t="s">
        <v>858</v>
      </c>
      <c r="I103" t="s">
        <v>851</v>
      </c>
      <c r="J103" t="s">
        <v>852</v>
      </c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>
      <c r="K104" s="34">
        <f>K98</f>
        <v>15</v>
      </c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>
      <c r="N105" s="46"/>
      <c r="O105" s="46"/>
      <c r="P105" s="46"/>
      <c r="Q105" s="46"/>
      <c r="R105" s="46"/>
      <c r="S105" s="47"/>
      <c r="T105" s="47"/>
      <c r="U105" s="47"/>
      <c r="V105" s="47"/>
      <c r="W105" s="47"/>
      <c r="X105" s="46"/>
      <c r="Y105" s="46"/>
      <c r="Z105" s="46"/>
      <c r="AA105" s="46"/>
      <c r="AB105" s="46"/>
    </row>
    <row r="106" spans="1:28">
      <c r="B106" s="34" t="s">
        <v>865</v>
      </c>
      <c r="D106" s="35">
        <f>SUM(D4:D97)</f>
        <v>641</v>
      </c>
      <c r="E106" s="35">
        <f>SUM(E4:E97)</f>
        <v>366</v>
      </c>
      <c r="K106" s="35">
        <f>K104+K95+K74+K47+K38+K33+K29+K25+K18+K11+K7</f>
        <v>125</v>
      </c>
      <c r="N106" s="48"/>
      <c r="O106" s="48"/>
      <c r="P106" s="48"/>
      <c r="Q106" s="48"/>
      <c r="R106" s="48"/>
      <c r="S106" s="49"/>
      <c r="T106" s="49"/>
      <c r="U106" s="49"/>
      <c r="V106" s="49"/>
      <c r="W106" s="49"/>
      <c r="X106" s="50"/>
      <c r="Y106" s="50"/>
      <c r="Z106" s="50"/>
      <c r="AA106" s="50"/>
      <c r="AB106" s="50"/>
    </row>
    <row r="107" spans="1:28">
      <c r="B107" s="34" t="s">
        <v>866</v>
      </c>
      <c r="D107" s="43">
        <f>AVERAGE(D4:D97)</f>
        <v>58.272727272727273</v>
      </c>
      <c r="E107" s="43">
        <f>AVERAGE(E4:E97)</f>
        <v>33.272727272727273</v>
      </c>
      <c r="K107" s="43">
        <f>(K104+K95+K74+K47+K38+K33+K29+K25+K18+K11+K7)/11</f>
        <v>11.363636363636363</v>
      </c>
    </row>
  </sheetData>
  <mergeCells count="4">
    <mergeCell ref="G2:J2"/>
    <mergeCell ref="N2:R2"/>
    <mergeCell ref="S2:W2"/>
    <mergeCell ref="X2:A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56C-C190-4AC3-AD29-E0B1CDAAD0D0}">
  <dimension ref="D2:P22"/>
  <sheetViews>
    <sheetView workbookViewId="0">
      <selection activeCell="J15" sqref="J15"/>
    </sheetView>
  </sheetViews>
  <sheetFormatPr defaultRowHeight="14.4"/>
  <cols>
    <col min="4" max="4" width="16" bestFit="1" customWidth="1"/>
    <col min="7" max="9" width="12" bestFit="1" customWidth="1"/>
    <col min="10" max="10" width="14.6640625" bestFit="1" customWidth="1"/>
    <col min="12" max="12" width="16" bestFit="1" customWidth="1"/>
    <col min="14" max="14" width="21.77734375" bestFit="1" customWidth="1"/>
    <col min="16" max="16" width="9.6640625" bestFit="1" customWidth="1"/>
  </cols>
  <sheetData>
    <row r="2" spans="4:16">
      <c r="D2" t="s">
        <v>10</v>
      </c>
      <c r="E2" t="s">
        <v>2</v>
      </c>
      <c r="F2">
        <v>2015</v>
      </c>
      <c r="G2">
        <v>2016</v>
      </c>
      <c r="H2">
        <v>2017</v>
      </c>
      <c r="I2">
        <v>2018</v>
      </c>
      <c r="J2">
        <v>2019</v>
      </c>
      <c r="L2" t="s">
        <v>10</v>
      </c>
      <c r="M2" t="s">
        <v>2</v>
      </c>
      <c r="N2" t="s">
        <v>1003</v>
      </c>
    </row>
    <row r="3" spans="4:16">
      <c r="D3" t="s">
        <v>991</v>
      </c>
      <c r="E3" t="s">
        <v>998</v>
      </c>
      <c r="F3" s="42"/>
      <c r="G3" s="42">
        <f>11.5*10000</f>
        <v>115000</v>
      </c>
      <c r="H3" s="42">
        <f>7.3*10000</f>
        <v>73000</v>
      </c>
      <c r="I3" s="42">
        <f>2.6*10000</f>
        <v>26000</v>
      </c>
      <c r="J3" s="42">
        <f>0.7*10000</f>
        <v>7000</v>
      </c>
      <c r="L3" t="s">
        <v>991</v>
      </c>
      <c r="M3" t="s">
        <v>998</v>
      </c>
      <c r="N3">
        <v>8.141</v>
      </c>
    </row>
    <row r="4" spans="4:16">
      <c r="D4" t="s">
        <v>992</v>
      </c>
      <c r="E4" t="s">
        <v>999</v>
      </c>
      <c r="F4" s="42"/>
      <c r="G4" s="42">
        <f>66.3*10000000</f>
        <v>663000000</v>
      </c>
      <c r="H4" s="42">
        <f>64*10000000</f>
        <v>640000000</v>
      </c>
      <c r="I4" s="42">
        <f>59.7*10000000</f>
        <v>597000000</v>
      </c>
      <c r="J4" s="42">
        <f>59.6*10000000</f>
        <v>596000000</v>
      </c>
      <c r="L4" t="s">
        <v>992</v>
      </c>
      <c r="M4" t="s">
        <v>999</v>
      </c>
      <c r="N4">
        <f>1/1000</f>
        <v>1E-3</v>
      </c>
    </row>
    <row r="5" spans="4:16">
      <c r="D5" t="s">
        <v>993</v>
      </c>
      <c r="E5" t="s">
        <v>999</v>
      </c>
      <c r="F5" s="42"/>
      <c r="G5" s="42">
        <v>0</v>
      </c>
      <c r="H5" s="42">
        <v>0</v>
      </c>
      <c r="I5" s="42">
        <v>0</v>
      </c>
      <c r="J5" s="42">
        <f>0.07*10000000</f>
        <v>700000.00000000012</v>
      </c>
      <c r="L5" t="s">
        <v>993</v>
      </c>
      <c r="M5" t="s">
        <v>999</v>
      </c>
      <c r="N5">
        <f>1/1000</f>
        <v>1E-3</v>
      </c>
    </row>
    <row r="6" spans="4:16">
      <c r="D6" t="s">
        <v>994</v>
      </c>
      <c r="E6" t="s">
        <v>1000</v>
      </c>
      <c r="F6" s="42"/>
      <c r="G6" s="42">
        <f>7.8*10000000</f>
        <v>78000000</v>
      </c>
      <c r="H6" s="42">
        <f>8.2*10000000</f>
        <v>82000000</v>
      </c>
      <c r="I6" s="42">
        <f>7.9*10000000</f>
        <v>79000000</v>
      </c>
      <c r="J6" s="42">
        <f>7.5*10000000</f>
        <v>75000000</v>
      </c>
      <c r="L6" t="s">
        <v>994</v>
      </c>
      <c r="M6" t="s">
        <v>1000</v>
      </c>
      <c r="N6" s="68">
        <f>791250/75000000</f>
        <v>1.055E-2</v>
      </c>
      <c r="P6" s="67"/>
    </row>
    <row r="7" spans="4:16">
      <c r="D7" t="s">
        <v>995</v>
      </c>
      <c r="E7" t="s">
        <v>998</v>
      </c>
      <c r="F7" s="42"/>
      <c r="G7" s="42">
        <v>1400</v>
      </c>
      <c r="H7" s="42">
        <v>1200</v>
      </c>
      <c r="I7" s="42">
        <v>800</v>
      </c>
      <c r="J7" s="42">
        <v>600</v>
      </c>
      <c r="L7" t="s">
        <v>995</v>
      </c>
      <c r="M7" t="s">
        <v>998</v>
      </c>
      <c r="N7">
        <v>11.63</v>
      </c>
    </row>
    <row r="8" spans="4:16">
      <c r="D8" t="s">
        <v>996</v>
      </c>
      <c r="E8" t="s">
        <v>998</v>
      </c>
      <c r="F8" s="42"/>
      <c r="G8" s="42">
        <v>3800</v>
      </c>
      <c r="H8" s="42">
        <v>3300</v>
      </c>
      <c r="I8" s="42">
        <v>3100</v>
      </c>
      <c r="J8" s="42">
        <v>3100</v>
      </c>
      <c r="L8" t="s">
        <v>996</v>
      </c>
      <c r="M8" t="s">
        <v>998</v>
      </c>
      <c r="N8">
        <v>11.528</v>
      </c>
    </row>
    <row r="9" spans="4:16">
      <c r="D9" t="s">
        <v>997</v>
      </c>
      <c r="E9" t="s">
        <v>1002</v>
      </c>
      <c r="F9" s="42"/>
      <c r="G9" s="42">
        <f>3092*1000</f>
        <v>3092000</v>
      </c>
      <c r="H9" s="42">
        <f>2747.8*1000</f>
        <v>2747800</v>
      </c>
      <c r="I9" s="42">
        <f>2765*1000</f>
        <v>2765000</v>
      </c>
      <c r="J9" s="42">
        <f>2854.2*1000</f>
        <v>2854200</v>
      </c>
      <c r="L9" t="s">
        <v>997</v>
      </c>
      <c r="M9" t="s">
        <v>1001</v>
      </c>
      <c r="N9">
        <v>2.7799999999999998E-4</v>
      </c>
    </row>
    <row r="12" spans="4:16">
      <c r="D12" t="s">
        <v>10</v>
      </c>
      <c r="E12" t="s">
        <v>2</v>
      </c>
      <c r="F12">
        <v>2015</v>
      </c>
      <c r="G12">
        <v>2016</v>
      </c>
      <c r="H12">
        <v>2017</v>
      </c>
      <c r="I12">
        <v>2018</v>
      </c>
      <c r="J12">
        <v>2019</v>
      </c>
    </row>
    <row r="13" spans="4:16">
      <c r="D13" t="s">
        <v>991</v>
      </c>
      <c r="E13" t="s">
        <v>51</v>
      </c>
      <c r="F13" s="66">
        <f t="shared" ref="F13:I19" si="0">F3*$N3</f>
        <v>0</v>
      </c>
      <c r="G13" s="66">
        <f t="shared" si="0"/>
        <v>936215</v>
      </c>
      <c r="H13" s="66">
        <f t="shared" si="0"/>
        <v>594293</v>
      </c>
      <c r="I13" s="66">
        <f t="shared" si="0"/>
        <v>211666</v>
      </c>
      <c r="J13" s="66">
        <f>J3*$N3</f>
        <v>56987</v>
      </c>
    </row>
    <row r="14" spans="4:16">
      <c r="D14" t="s">
        <v>992</v>
      </c>
      <c r="E14" t="s">
        <v>51</v>
      </c>
      <c r="F14" s="66">
        <f t="shared" si="0"/>
        <v>0</v>
      </c>
      <c r="G14" s="66">
        <f t="shared" si="0"/>
        <v>663000</v>
      </c>
      <c r="H14" s="66">
        <f t="shared" si="0"/>
        <v>640000</v>
      </c>
      <c r="I14" s="66">
        <f t="shared" si="0"/>
        <v>597000</v>
      </c>
      <c r="J14" s="66">
        <f t="shared" ref="J14:J19" si="1">J4*$N4</f>
        <v>596000</v>
      </c>
    </row>
    <row r="15" spans="4:16">
      <c r="D15" t="s">
        <v>993</v>
      </c>
      <c r="E15" t="s">
        <v>51</v>
      </c>
      <c r="F15" s="66">
        <f t="shared" si="0"/>
        <v>0</v>
      </c>
      <c r="G15" s="66">
        <f t="shared" si="0"/>
        <v>0</v>
      </c>
      <c r="H15" s="66">
        <f t="shared" si="0"/>
        <v>0</v>
      </c>
      <c r="I15" s="66">
        <f t="shared" si="0"/>
        <v>0</v>
      </c>
      <c r="J15" s="66">
        <f t="shared" si="1"/>
        <v>700.00000000000011</v>
      </c>
    </row>
    <row r="16" spans="4:16">
      <c r="D16" t="s">
        <v>994</v>
      </c>
      <c r="E16" t="s">
        <v>51</v>
      </c>
      <c r="F16" s="66">
        <f t="shared" si="0"/>
        <v>0</v>
      </c>
      <c r="G16" s="66">
        <f t="shared" si="0"/>
        <v>822900</v>
      </c>
      <c r="H16" s="66">
        <f t="shared" si="0"/>
        <v>865100</v>
      </c>
      <c r="I16" s="66">
        <f t="shared" si="0"/>
        <v>833450</v>
      </c>
      <c r="J16" s="66">
        <f t="shared" si="1"/>
        <v>791250</v>
      </c>
    </row>
    <row r="17" spans="4:10">
      <c r="D17" t="s">
        <v>995</v>
      </c>
      <c r="E17" t="s">
        <v>51</v>
      </c>
      <c r="F17" s="66">
        <f t="shared" si="0"/>
        <v>0</v>
      </c>
      <c r="G17" s="66">
        <f t="shared" si="0"/>
        <v>16282.000000000002</v>
      </c>
      <c r="H17" s="66">
        <f t="shared" si="0"/>
        <v>13956.000000000002</v>
      </c>
      <c r="I17" s="66">
        <f t="shared" si="0"/>
        <v>9304</v>
      </c>
      <c r="J17" s="66">
        <f t="shared" si="1"/>
        <v>6978.0000000000009</v>
      </c>
    </row>
    <row r="18" spans="4:10">
      <c r="D18" t="s">
        <v>996</v>
      </c>
      <c r="E18" t="s">
        <v>51</v>
      </c>
      <c r="F18" s="66">
        <f t="shared" si="0"/>
        <v>0</v>
      </c>
      <c r="G18" s="66">
        <f t="shared" si="0"/>
        <v>43806.400000000001</v>
      </c>
      <c r="H18" s="66">
        <f t="shared" si="0"/>
        <v>38042.400000000001</v>
      </c>
      <c r="I18" s="66">
        <f t="shared" si="0"/>
        <v>35736.800000000003</v>
      </c>
      <c r="J18" s="66">
        <f t="shared" si="1"/>
        <v>35736.800000000003</v>
      </c>
    </row>
    <row r="19" spans="4:10">
      <c r="D19" t="s">
        <v>997</v>
      </c>
      <c r="E19" t="s">
        <v>51</v>
      </c>
      <c r="F19" s="66">
        <f t="shared" si="0"/>
        <v>0</v>
      </c>
      <c r="G19" s="66">
        <f t="shared" si="0"/>
        <v>859.57599999999991</v>
      </c>
      <c r="H19" s="66">
        <f t="shared" si="0"/>
        <v>763.88839999999993</v>
      </c>
      <c r="I19" s="66">
        <f t="shared" si="0"/>
        <v>768.67</v>
      </c>
      <c r="J19" s="66">
        <f t="shared" si="1"/>
        <v>793.46759999999995</v>
      </c>
    </row>
    <row r="20" spans="4:10">
      <c r="F20" s="66">
        <f t="shared" ref="F20:I20" si="2">SUM(F13:F19)</f>
        <v>0</v>
      </c>
      <c r="G20" s="66">
        <f t="shared" si="2"/>
        <v>2483062.9759999998</v>
      </c>
      <c r="H20" s="66">
        <f t="shared" si="2"/>
        <v>2152155.2884</v>
      </c>
      <c r="I20" s="66">
        <f t="shared" si="2"/>
        <v>1687925.47</v>
      </c>
      <c r="J20" s="66">
        <f>SUM(J13:J19)</f>
        <v>1488445.2676000001</v>
      </c>
    </row>
    <row r="22" spans="4:10">
      <c r="J22" s="69">
        <f>J15/J20</f>
        <v>4.7028937861362855E-4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Prog</vt:lpstr>
      <vt:lpstr>Data validation</vt:lpstr>
      <vt:lpstr>Other Data</vt:lpstr>
      <vt:lpstr>price data</vt:lpstr>
      <vt:lpstr>G5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MHM</cp:lastModifiedBy>
  <dcterms:created xsi:type="dcterms:W3CDTF">2015-06-05T18:17:20Z</dcterms:created>
  <dcterms:modified xsi:type="dcterms:W3CDTF">2021-05-22T14:02:59Z</dcterms:modified>
</cp:coreProperties>
</file>