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G:\My Drive\ESG - Zaid\Samsung Electronics\"/>
    </mc:Choice>
  </mc:AlternateContent>
  <xr:revisionPtr revIDLastSave="0" documentId="13_ncr:1_{B2BD0C37-2B27-4EDB-BA65-ACDF8E93B1E6}" xr6:coauthVersionLast="46" xr6:coauthVersionMax="46" xr10:uidLastSave="{00000000-0000-0000-0000-000000000000}"/>
  <bookViews>
    <workbookView xWindow="-108" yWindow="-108" windowWidth="23256" windowHeight="12576" tabRatio="834" xr2:uid="{00000000-000D-0000-FFFF-FFFF00000000}"/>
  </bookViews>
  <sheets>
    <sheet name="Data for Prog" sheetId="2" r:id="rId1"/>
    <sheet name="Regional Corruption" sheetId="8" r:id="rId2"/>
    <sheet name="Sheet1" sheetId="7" r:id="rId3"/>
    <sheet name="Data validation" sheetId="5" r:id="rId4"/>
    <sheet name="Other Data" sheetId="4" r:id="rId5"/>
    <sheet name="G5" sheetId="6" r:id="rId6"/>
  </sheets>
  <definedNames>
    <definedName name="_xlnm._FilterDatabase" localSheetId="0" hidden="1">'Data for Prog'!$A$2:$AE$318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0" i="2" l="1"/>
  <c r="T225" i="2" l="1"/>
  <c r="T224" i="2"/>
  <c r="K70" i="6"/>
  <c r="E74" i="6"/>
  <c r="E40" i="6"/>
  <c r="E50" i="6"/>
  <c r="E65" i="6"/>
  <c r="E17" i="6"/>
  <c r="E13" i="6"/>
  <c r="E10" i="6"/>
  <c r="E4" i="6"/>
  <c r="N175" i="2"/>
  <c r="N173" i="2"/>
  <c r="O175" i="2"/>
  <c r="P173" i="2"/>
  <c r="N231" i="2"/>
  <c r="N230" i="2"/>
  <c r="O230" i="2"/>
  <c r="P230" i="2"/>
  <c r="Q230" i="2"/>
  <c r="F6" i="8"/>
  <c r="F5" i="8"/>
  <c r="F4" i="8"/>
  <c r="F3" i="8"/>
  <c r="E5" i="8" l="1"/>
  <c r="E4" i="8"/>
  <c r="E6" i="8" s="1"/>
  <c r="E3" i="8"/>
  <c r="Q241" i="2"/>
  <c r="P241" i="2"/>
  <c r="O241" i="2"/>
  <c r="R241" i="2"/>
  <c r="T226" i="2"/>
  <c r="R157" i="2"/>
  <c r="N157" i="2"/>
  <c r="P157" i="2"/>
  <c r="Q157" i="2"/>
  <c r="H9" i="7"/>
  <c r="H8" i="7"/>
  <c r="H7" i="7"/>
  <c r="Q117" i="2"/>
  <c r="R117" i="2"/>
  <c r="S117" i="2"/>
  <c r="R15" i="2" l="1"/>
  <c r="O10" i="2"/>
  <c r="O9" i="2"/>
  <c r="O8" i="2"/>
  <c r="O7" i="2"/>
  <c r="O6" i="2"/>
  <c r="O5" i="2"/>
  <c r="O4" i="2"/>
  <c r="O3" i="2"/>
  <c r="O231" i="2"/>
  <c r="P231" i="2"/>
  <c r="R231" i="2"/>
  <c r="Q231" i="2"/>
  <c r="F3" i="7"/>
  <c r="F4" i="7" s="1"/>
  <c r="G4" i="7"/>
  <c r="G3" i="7"/>
  <c r="H3" i="7"/>
  <c r="H4" i="7" s="1"/>
  <c r="I4" i="7"/>
  <c r="I3" i="7"/>
  <c r="J4" i="7"/>
  <c r="J3" i="7"/>
  <c r="D71" i="6"/>
  <c r="D70" i="6"/>
  <c r="K66" i="6"/>
  <c r="K65" i="6"/>
  <c r="K61" i="6"/>
  <c r="K57" i="6"/>
  <c r="K50" i="6"/>
  <c r="K60" i="6"/>
  <c r="K46" i="6"/>
  <c r="K47" i="6" s="1"/>
  <c r="E44" i="6"/>
  <c r="K42" i="6"/>
  <c r="E42" i="6"/>
  <c r="K40" i="6"/>
  <c r="K36" i="6"/>
  <c r="K38" i="6" s="1"/>
  <c r="E33" i="6"/>
  <c r="K30" i="6"/>
  <c r="K25" i="6"/>
  <c r="K26" i="6" s="1"/>
  <c r="K21" i="6"/>
  <c r="K22" i="6" s="1"/>
  <c r="K17" i="6"/>
  <c r="K18" i="6" s="1"/>
  <c r="K13" i="6"/>
  <c r="K14" i="6" s="1"/>
  <c r="K10" i="6"/>
  <c r="K11" i="6" s="1"/>
  <c r="K6" i="6"/>
  <c r="R70" i="6"/>
  <c r="W70" i="6" s="1"/>
  <c r="Q70" i="6"/>
  <c r="V70" i="6" s="1"/>
  <c r="P70" i="6"/>
  <c r="U70" i="6" s="1"/>
  <c r="O70" i="6"/>
  <c r="T70" i="6" s="1"/>
  <c r="N70" i="6"/>
  <c r="S70" i="6" s="1"/>
  <c r="E36" i="6"/>
  <c r="K34" i="6"/>
  <c r="E29" i="6"/>
  <c r="E25" i="6"/>
  <c r="E21" i="6"/>
  <c r="O173" i="2"/>
  <c r="Q173" i="2"/>
  <c r="R173" i="2"/>
  <c r="E71" i="6" l="1"/>
  <c r="E70" i="6"/>
  <c r="K71" i="6"/>
  <c r="K63" i="6"/>
  <c r="K8" i="6"/>
  <c r="S174" i="2" l="1"/>
  <c r="R182" i="2"/>
  <c r="N182" i="2"/>
  <c r="O182" i="2"/>
  <c r="P182" i="2"/>
  <c r="Q182" i="2"/>
  <c r="T116" i="2" l="1"/>
  <c r="N83" i="2"/>
  <c r="O49" i="2"/>
  <c r="O50" i="2" s="1"/>
  <c r="N49" i="2"/>
  <c r="O30" i="2"/>
  <c r="P49" i="2"/>
  <c r="P50" i="2" s="1"/>
  <c r="O48" i="2"/>
  <c r="O83" i="2" s="1"/>
  <c r="N50" i="2"/>
  <c r="O31" i="2"/>
  <c r="O53" i="2" s="1"/>
  <c r="O54" i="2" s="1"/>
  <c r="O52" i="2"/>
  <c r="R49" i="2"/>
  <c r="R50" i="2" s="1"/>
  <c r="Q49" i="2"/>
  <c r="Q50" i="2" s="1"/>
  <c r="P48" i="2"/>
  <c r="P83" i="2" s="1"/>
  <c r="Q48" i="2"/>
  <c r="Q83" i="2" s="1"/>
  <c r="R48" i="2"/>
  <c r="R83" i="2" s="1"/>
  <c r="N48" i="2"/>
  <c r="R31" i="2"/>
  <c r="R53" i="2" s="1"/>
  <c r="R54" i="2" s="1"/>
  <c r="Q31" i="2"/>
  <c r="Q32" i="2" s="1"/>
  <c r="P31" i="2"/>
  <c r="P32" i="2" s="1"/>
  <c r="N31" i="2"/>
  <c r="N32" i="2" s="1"/>
  <c r="N53" i="2"/>
  <c r="N54" i="2" s="1"/>
  <c r="N27" i="2"/>
  <c r="R32" i="2" l="1"/>
  <c r="Q53" i="2"/>
  <c r="Q54" i="2" s="1"/>
  <c r="P53" i="2"/>
  <c r="P54" i="2" s="1"/>
  <c r="O32" i="2"/>
  <c r="J318" i="2"/>
  <c r="G314" i="2" l="1"/>
  <c r="N96" i="2" l="1"/>
  <c r="Q10" i="2"/>
  <c r="P10" i="2"/>
  <c r="Q6" i="2"/>
  <c r="Q174" i="2" s="1"/>
  <c r="Q175" i="2" s="1"/>
  <c r="P6" i="2"/>
  <c r="P174" i="2" s="1"/>
  <c r="P175" i="2" s="1"/>
  <c r="P5" i="2"/>
  <c r="Q5" i="2"/>
  <c r="Q4" i="2"/>
  <c r="P4" i="2"/>
  <c r="P3" i="2"/>
  <c r="Q3" i="2"/>
  <c r="P9" i="2"/>
  <c r="Q9" i="2"/>
  <c r="P8" i="2"/>
  <c r="Q8" i="2"/>
  <c r="Q7" i="2"/>
  <c r="P7" i="2"/>
  <c r="S6" i="2"/>
  <c r="R6" i="2"/>
  <c r="R174" i="2" s="1"/>
  <c r="R175" i="2" s="1"/>
  <c r="S10" i="2"/>
  <c r="R230" i="2" s="1"/>
  <c r="R10" i="2"/>
  <c r="R8" i="2"/>
  <c r="S8" i="2"/>
  <c r="R9" i="2"/>
  <c r="S9" i="2"/>
  <c r="R7" i="2"/>
  <c r="S7" i="2"/>
  <c r="R5" i="2"/>
  <c r="S5" i="2"/>
  <c r="R4" i="2"/>
  <c r="S4" i="2"/>
  <c r="S3" i="2"/>
  <c r="R3" i="2"/>
  <c r="K202" i="2"/>
  <c r="I202" i="2"/>
  <c r="K308" i="2"/>
  <c r="K241" i="2"/>
  <c r="K221" i="2"/>
  <c r="K201" i="2"/>
  <c r="K187" i="2"/>
  <c r="K182" i="2"/>
  <c r="K91" i="2"/>
  <c r="K82" i="2"/>
  <c r="K9" i="2"/>
  <c r="K309" i="2"/>
  <c r="K245" i="2"/>
  <c r="K244" i="2"/>
  <c r="K231" i="2"/>
  <c r="K177" i="2"/>
  <c r="K174" i="2"/>
  <c r="K173" i="2"/>
  <c r="K94" i="2"/>
  <c r="K11" i="2"/>
  <c r="K8" i="2"/>
  <c r="K7" i="2"/>
  <c r="K6" i="2"/>
  <c r="K5" i="2"/>
  <c r="K4" i="2"/>
  <c r="I309" i="2"/>
  <c r="I308" i="2"/>
  <c r="I245" i="2"/>
  <c r="I244" i="2"/>
  <c r="I241" i="2"/>
  <c r="I231" i="2"/>
  <c r="I221" i="2"/>
  <c r="I201" i="2"/>
  <c r="I187" i="2"/>
  <c r="I182" i="2"/>
  <c r="I177" i="2"/>
  <c r="I174" i="2"/>
  <c r="I173" i="2"/>
  <c r="I94" i="2"/>
  <c r="I91" i="2"/>
  <c r="I82" i="2"/>
  <c r="I11" i="2"/>
  <c r="I9" i="2"/>
  <c r="I8" i="2"/>
  <c r="I7" i="2"/>
  <c r="I6" i="2"/>
  <c r="I5" i="2"/>
  <c r="G6" i="2"/>
  <c r="G10" i="2"/>
  <c r="I4" i="2"/>
  <c r="H4" i="2"/>
  <c r="G4" i="2"/>
  <c r="G194" i="2"/>
  <c r="G94" i="2"/>
  <c r="G87" i="2"/>
  <c r="G74" i="2"/>
  <c r="G21" i="2"/>
  <c r="G102" i="2"/>
  <c r="G100" i="2"/>
  <c r="G90" i="2"/>
  <c r="G86" i="2"/>
  <c r="G85" i="2"/>
  <c r="G81" i="2"/>
  <c r="G78" i="2"/>
  <c r="G72" i="2"/>
  <c r="G66" i="2"/>
  <c r="G64" i="2"/>
  <c r="G61" i="2"/>
  <c r="G60" i="2"/>
  <c r="G58" i="2"/>
  <c r="G9" i="2" l="1"/>
  <c r="G8" i="2"/>
  <c r="G302" i="2" l="1"/>
  <c r="G303" i="2"/>
  <c r="G295" i="2"/>
  <c r="G292" i="2"/>
  <c r="G281" i="2"/>
  <c r="G280" i="2"/>
  <c r="G276" i="2"/>
  <c r="G256" i="2"/>
  <c r="G241" i="2"/>
  <c r="G195" i="2"/>
  <c r="G185" i="2"/>
  <c r="G177" i="2"/>
  <c r="G109" i="2"/>
  <c r="G93" i="2"/>
  <c r="G105" i="2"/>
  <c r="G103" i="2"/>
  <c r="G101" i="2"/>
  <c r="G99" i="2"/>
  <c r="G98" i="2"/>
  <c r="G96" i="2"/>
  <c r="G95" i="2"/>
  <c r="G89" i="2"/>
  <c r="G84" i="2"/>
  <c r="G80" i="2"/>
  <c r="G77" i="2"/>
  <c r="G71" i="2"/>
  <c r="G73" i="2"/>
  <c r="G26" i="2" l="1"/>
  <c r="G16" i="2"/>
  <c r="G12" i="2" l="1"/>
  <c r="G7" i="2"/>
  <c r="G3" i="2"/>
  <c r="G15" i="2"/>
  <c r="G35" i="2"/>
  <c r="G70" i="2"/>
  <c r="G65" i="2"/>
  <c r="G62" i="2"/>
  <c r="G57" i="2"/>
  <c r="G51" i="2"/>
  <c r="G49" i="2"/>
  <c r="G33" i="2"/>
  <c r="G30" i="2"/>
  <c r="G29" i="2"/>
  <c r="G28" i="2"/>
  <c r="G27" i="2"/>
  <c r="G25" i="2"/>
  <c r="G24" i="2"/>
  <c r="G23" i="2"/>
  <c r="G22" i="2"/>
  <c r="G14" i="2"/>
  <c r="G13" i="2"/>
</calcChain>
</file>

<file path=xl/sharedStrings.xml><?xml version="1.0" encoding="utf-8"?>
<sst xmlns="http://schemas.openxmlformats.org/spreadsheetml/2006/main" count="2976" uniqueCount="1058">
  <si>
    <t>Code</t>
  </si>
  <si>
    <t>Type</t>
  </si>
  <si>
    <t>Unit</t>
  </si>
  <si>
    <t>Yes/No</t>
  </si>
  <si>
    <t>%</t>
  </si>
  <si>
    <t>Numeric</t>
  </si>
  <si>
    <t>Subfactor</t>
  </si>
  <si>
    <t>Pillar</t>
  </si>
  <si>
    <t>Indicator</t>
  </si>
  <si>
    <t>Source</t>
  </si>
  <si>
    <t>Weblink</t>
  </si>
  <si>
    <t>Additional Comment</t>
  </si>
  <si>
    <t>Environment</t>
  </si>
  <si>
    <t>Carbon Emissions Scope 1</t>
  </si>
  <si>
    <t>Tons</t>
  </si>
  <si>
    <t>Data</t>
  </si>
  <si>
    <t>Carbon Emissions Scope 2</t>
  </si>
  <si>
    <t>Environment management systems</t>
  </si>
  <si>
    <t>EMS system</t>
  </si>
  <si>
    <t>Policy</t>
  </si>
  <si>
    <t>ISO 14001 certification</t>
  </si>
  <si>
    <t>Carbon emission reduction initiatives</t>
  </si>
  <si>
    <t>Disclosure/initiative</t>
  </si>
  <si>
    <t>Inorganic pollutants</t>
  </si>
  <si>
    <t>Air pollutants</t>
  </si>
  <si>
    <t>NO'x emissions</t>
  </si>
  <si>
    <t>SO'x emissions</t>
  </si>
  <si>
    <t>Business travel</t>
  </si>
  <si>
    <t>Employee commute</t>
  </si>
  <si>
    <t>Usage of company products</t>
  </si>
  <si>
    <t>Transportation and distribution</t>
  </si>
  <si>
    <t>Renewable energy</t>
  </si>
  <si>
    <t>Renewable energy program</t>
  </si>
  <si>
    <t>Green logistics programs</t>
  </si>
  <si>
    <t>Program</t>
  </si>
  <si>
    <t>Emission reduction</t>
  </si>
  <si>
    <t>Solid waste management</t>
  </si>
  <si>
    <t>Solid waste</t>
  </si>
  <si>
    <t>Solid waste recycled</t>
  </si>
  <si>
    <t>Hazardous waste management</t>
  </si>
  <si>
    <t>Hazardous waste</t>
  </si>
  <si>
    <t>Hazardous waste as % of total waste</t>
  </si>
  <si>
    <t>Non-recycled waste</t>
  </si>
  <si>
    <t>Waste recycling programs</t>
  </si>
  <si>
    <t>Energy consumption</t>
  </si>
  <si>
    <t>Total energy consumption</t>
  </si>
  <si>
    <t>MWh</t>
  </si>
  <si>
    <t>Energy consumption from non-renewable resources</t>
  </si>
  <si>
    <t xml:space="preserve">Biodiversity and eco system preservation practices </t>
  </si>
  <si>
    <t>Deforestation</t>
  </si>
  <si>
    <t>Natural species and protected areas</t>
  </si>
  <si>
    <t>Sites impact natural species &amp; protected areas</t>
  </si>
  <si>
    <t xml:space="preserve">Land degradation, desertification, soil sealing </t>
  </si>
  <si>
    <t>FSC certified sourcing</t>
  </si>
  <si>
    <t>Sustainable land / forestry / agri practices</t>
  </si>
  <si>
    <t>Raw material sourcing</t>
  </si>
  <si>
    <t>Raw material policy</t>
  </si>
  <si>
    <t>Co-processing</t>
  </si>
  <si>
    <t>Recycled material use</t>
  </si>
  <si>
    <t>Green procurement policy</t>
  </si>
  <si>
    <t>Electronic Waste</t>
  </si>
  <si>
    <t>Product impact on renewables</t>
  </si>
  <si>
    <t>Electronic waste</t>
  </si>
  <si>
    <t>Qualitative</t>
  </si>
  <si>
    <t>Carbon Emissions Scope 3</t>
  </si>
  <si>
    <t>Apply</t>
  </si>
  <si>
    <t>Financials</t>
  </si>
  <si>
    <t>Revenue</t>
  </si>
  <si>
    <t>Total Assets</t>
  </si>
  <si>
    <t>Production Volume</t>
  </si>
  <si>
    <t>Carbon footprint and intensity trend</t>
  </si>
  <si>
    <t>Ozone depletion substances</t>
  </si>
  <si>
    <t>Alternate fuels</t>
  </si>
  <si>
    <t>Supplier environmental certification</t>
  </si>
  <si>
    <t>Green building council membership</t>
  </si>
  <si>
    <t>Food &amp; beverage sustainability initiatives</t>
  </si>
  <si>
    <t>Sustainable initiatives</t>
  </si>
  <si>
    <t>Nutrition and health program</t>
  </si>
  <si>
    <t>Number</t>
  </si>
  <si>
    <t>GMO policy</t>
  </si>
  <si>
    <t>Organic products</t>
  </si>
  <si>
    <t>Sustainable agri programs</t>
  </si>
  <si>
    <t>Hazardous waste to total waste ratio</t>
  </si>
  <si>
    <t>Last</t>
  </si>
  <si>
    <t>Packing material used</t>
  </si>
  <si>
    <t>Sustainable product innovation</t>
  </si>
  <si>
    <t>Climate change policy</t>
  </si>
  <si>
    <t>Financing environmental policy</t>
  </si>
  <si>
    <t>Funding</t>
  </si>
  <si>
    <t>Exposure to extreme weather</t>
  </si>
  <si>
    <t>Country climate risk index</t>
  </si>
  <si>
    <t>Water consumption</t>
  </si>
  <si>
    <t>Water emission</t>
  </si>
  <si>
    <t>Exposure to areas of high water stress</t>
  </si>
  <si>
    <t>Water stress</t>
  </si>
  <si>
    <t>Untreated discharged waste water</t>
  </si>
  <si>
    <t>Water management initiatives</t>
  </si>
  <si>
    <t>Sustainable oceans / seas practices</t>
  </si>
  <si>
    <t>Water recycled and reused</t>
  </si>
  <si>
    <t>Noncompliance of environmental licenses &amp; permits</t>
  </si>
  <si>
    <t>Noncompliance incidents</t>
  </si>
  <si>
    <t>Environmental audits</t>
  </si>
  <si>
    <t>Green securities</t>
  </si>
  <si>
    <t>Social</t>
  </si>
  <si>
    <t>Human capital development</t>
  </si>
  <si>
    <t>Policy disclosure</t>
  </si>
  <si>
    <t>Employee turnover rate</t>
  </si>
  <si>
    <t>Freedom of association policy</t>
  </si>
  <si>
    <t>Collective bargaining agreement</t>
  </si>
  <si>
    <t>Work hours policy</t>
  </si>
  <si>
    <t>Temporary workers</t>
  </si>
  <si>
    <t>% of temporary workers</t>
  </si>
  <si>
    <t>Employee training</t>
  </si>
  <si>
    <t>Training hours/employee</t>
  </si>
  <si>
    <t>Hours</t>
  </si>
  <si>
    <t>Implementation of fundamental ILO conventions</t>
  </si>
  <si>
    <t>Statement/disclosure</t>
  </si>
  <si>
    <t>Whistleblower protection</t>
  </si>
  <si>
    <t>Occupational health &amp; safety</t>
  </si>
  <si>
    <t>ISO 45001 certification</t>
  </si>
  <si>
    <t>Emergency response program</t>
  </si>
  <si>
    <t>Contractor safety program</t>
  </si>
  <si>
    <t>Number / rate of accidents, injuries, fatalities, frequency</t>
  </si>
  <si>
    <t>Number of days lost for injuries, accidents, fatalities, illness</t>
  </si>
  <si>
    <t>Days</t>
  </si>
  <si>
    <t>Workplace incident prevention policies</t>
  </si>
  <si>
    <t>Human rights policy</t>
  </si>
  <si>
    <t>Human rights due diligence</t>
  </si>
  <si>
    <t xml:space="preserve">Processes and measures to prevent human trafficking </t>
  </si>
  <si>
    <t>Risk of incidents of child labor</t>
  </si>
  <si>
    <t>Risk of child labor</t>
  </si>
  <si>
    <t>Risk</t>
  </si>
  <si>
    <t>Low/High</t>
  </si>
  <si>
    <t>Risk of incidents of forced labor</t>
  </si>
  <si>
    <t>Risk of forced labor</t>
  </si>
  <si>
    <t>S.3.6</t>
  </si>
  <si>
    <t>Number &amp; nature of identified cases of human rights issues &amp; incidents</t>
  </si>
  <si>
    <t>Cases of human rights issues &amp; incidents</t>
  </si>
  <si>
    <t>Exposure to controversial weapons</t>
  </si>
  <si>
    <t>Supplier human right disclosures</t>
  </si>
  <si>
    <t>Supplier human rights audit</t>
  </si>
  <si>
    <t>Social supplier certification</t>
  </si>
  <si>
    <t>Certification consideration</t>
  </si>
  <si>
    <t>Controvertial sourcing</t>
  </si>
  <si>
    <t>Incidents</t>
  </si>
  <si>
    <t>Supplier code of conduct</t>
  </si>
  <si>
    <t>Code disclosure</t>
  </si>
  <si>
    <t>Product safety and quality</t>
  </si>
  <si>
    <t>Number of product controversies</t>
  </si>
  <si>
    <t xml:space="preserve">Board gender diversity </t>
  </si>
  <si>
    <t>Female members to total board members ratio</t>
  </si>
  <si>
    <t>Female employees in top management</t>
  </si>
  <si>
    <t>% Female Executives/ Total Executive Management</t>
  </si>
  <si>
    <t>Female employees in work force</t>
  </si>
  <si>
    <t>% Female Workforce/ Total Staff</t>
  </si>
  <si>
    <t>Anti discrimination policies</t>
  </si>
  <si>
    <t>Discrimination incidents</t>
  </si>
  <si>
    <t>Gender policy</t>
  </si>
  <si>
    <t>Gender discrimination incidents</t>
  </si>
  <si>
    <t>Employee Remuneration/ Satisfaction</t>
  </si>
  <si>
    <t>Employee welfare policy</t>
  </si>
  <si>
    <t>Grievances / complaints handling mechanism</t>
  </si>
  <si>
    <t>Grievance mechanism</t>
  </si>
  <si>
    <t>Supplier diversity</t>
  </si>
  <si>
    <t>S.7.10</t>
  </si>
  <si>
    <t>Gender pay gap</t>
  </si>
  <si>
    <t>Gender pay gap ratio</t>
  </si>
  <si>
    <t>Excessive CEO pay ratio</t>
  </si>
  <si>
    <t>CEO salary</t>
  </si>
  <si>
    <t>Average employee salary</t>
  </si>
  <si>
    <t>Product impact on consumers</t>
  </si>
  <si>
    <t>Product impact</t>
  </si>
  <si>
    <t>Impact</t>
  </si>
  <si>
    <t>Positive/Negative</t>
  </si>
  <si>
    <t>Charity/Philanthropy</t>
  </si>
  <si>
    <t>Social / Labor regulators</t>
  </si>
  <si>
    <t>Social regulatory incident</t>
  </si>
  <si>
    <t>Incident</t>
  </si>
  <si>
    <t>Social certification</t>
  </si>
  <si>
    <t>SA8000 certification</t>
  </si>
  <si>
    <t>Community relation policies</t>
  </si>
  <si>
    <t>CSR activities</t>
  </si>
  <si>
    <t>CSR spending</t>
  </si>
  <si>
    <t>Employment creation</t>
  </si>
  <si>
    <t>Jobs added</t>
  </si>
  <si>
    <t>Tax domicile and compliance</t>
  </si>
  <si>
    <t>Tax incidents/fines</t>
  </si>
  <si>
    <t>Governance</t>
  </si>
  <si>
    <t>Past controversies</t>
  </si>
  <si>
    <t>Large related party transactions</t>
  </si>
  <si>
    <t xml:space="preserve">Significant M&amp;As, sale of property </t>
  </si>
  <si>
    <t>Major M&amp;A (Especially non-core business or Property Investments)</t>
  </si>
  <si>
    <t>Investment Property (IP) – As reported on Balance Sheet</t>
  </si>
  <si>
    <t>Total equity</t>
  </si>
  <si>
    <t>Non- Core Strategic M&amp;A</t>
  </si>
  <si>
    <t>Spinoffs and their success</t>
  </si>
  <si>
    <t>Spin offs</t>
  </si>
  <si>
    <t>Family/ Owner background</t>
  </si>
  <si>
    <t>Number of family members in Business</t>
  </si>
  <si>
    <t>Succession planning</t>
  </si>
  <si>
    <t>Cross shareholding</t>
  </si>
  <si>
    <t>Conflict of interest</t>
  </si>
  <si>
    <t>Other businesses owned by the promoter &amp; potential controversies</t>
  </si>
  <si>
    <t>Recurring related party transactions</t>
  </si>
  <si>
    <t>Governance &amp; Business Practices Controversies</t>
  </si>
  <si>
    <t>No. of controversies</t>
  </si>
  <si>
    <t>Risk oversight</t>
  </si>
  <si>
    <t>Separate risk committee</t>
  </si>
  <si>
    <t>Management level risk committee</t>
  </si>
  <si>
    <t>Risk management system</t>
  </si>
  <si>
    <t>Ownership structure</t>
  </si>
  <si>
    <t>Insiders</t>
  </si>
  <si>
    <t xml:space="preserve">Institutional </t>
  </si>
  <si>
    <t>CEO Termination Scenarios</t>
  </si>
  <si>
    <t>Disclosure</t>
  </si>
  <si>
    <t>Claw back policy</t>
  </si>
  <si>
    <t>Compliance with Corporate Governance practices &amp; policies</t>
  </si>
  <si>
    <t>Code of corporate governance exists</t>
  </si>
  <si>
    <t>Non-compliance incidents</t>
  </si>
  <si>
    <t>Subsidiary disclosures</t>
  </si>
  <si>
    <t>Number of wholly owned subsidiaries</t>
  </si>
  <si>
    <t xml:space="preserve">Number of partially owned </t>
  </si>
  <si>
    <t>Subsidiary disclosure detail</t>
  </si>
  <si>
    <t>Number of regulatory actions, penalties and fines</t>
  </si>
  <si>
    <t>No. of Penalties/ fines</t>
  </si>
  <si>
    <t>Amount</t>
  </si>
  <si>
    <t>Board profile</t>
  </si>
  <si>
    <t>Cumulative board experience</t>
  </si>
  <si>
    <t>Years</t>
  </si>
  <si>
    <t xml:space="preserve">Relevant experience </t>
  </si>
  <si>
    <t>Average total experience</t>
  </si>
  <si>
    <t>Average relevant experience</t>
  </si>
  <si>
    <t>Separate board member / committee responsible for ESG matters</t>
  </si>
  <si>
    <t>Board Committee / member</t>
  </si>
  <si>
    <t>Board continuity</t>
  </si>
  <si>
    <t>Staggered board</t>
  </si>
  <si>
    <t>Continuity risk</t>
  </si>
  <si>
    <t>Director Stock Ownership</t>
  </si>
  <si>
    <t>Director holding %</t>
  </si>
  <si>
    <t>Executive / Board Misconduct</t>
  </si>
  <si>
    <t>No. of incidents</t>
  </si>
  <si>
    <t>Board Independence</t>
  </si>
  <si>
    <t>Independent</t>
  </si>
  <si>
    <t>CEO &amp; Board separation</t>
  </si>
  <si>
    <t>CEO &amp; board relationship</t>
  </si>
  <si>
    <t>CEO &amp; Chair separation</t>
  </si>
  <si>
    <t>Nominating Committee</t>
  </si>
  <si>
    <t>Committee Exists</t>
  </si>
  <si>
    <t>Oversees committee evaluation</t>
  </si>
  <si>
    <t>Non-executive director pay</t>
  </si>
  <si>
    <t>Marketing Practices</t>
  </si>
  <si>
    <t>Marketing Controversies</t>
  </si>
  <si>
    <t>Malpractice Incidents</t>
  </si>
  <si>
    <t>Product Controversies</t>
  </si>
  <si>
    <t>Quality Management System (QMS)</t>
  </si>
  <si>
    <t>Quality Management System</t>
  </si>
  <si>
    <t>Product recall management</t>
  </si>
  <si>
    <t>ESG Reporting Standards</t>
  </si>
  <si>
    <t>Full compliance &amp; detailed disclosures</t>
  </si>
  <si>
    <t>GRI Criteria Compliance</t>
  </si>
  <si>
    <t>Some disclosures without regulatory compliance</t>
  </si>
  <si>
    <t>Verification of ESG Reporting</t>
  </si>
  <si>
    <t>GRI Verification</t>
  </si>
  <si>
    <t>External Verification</t>
  </si>
  <si>
    <t>Global Compact Signatory</t>
  </si>
  <si>
    <t xml:space="preserve">Signatory since </t>
  </si>
  <si>
    <t>ESG Performance Targets</t>
  </si>
  <si>
    <t>SDGs Target</t>
  </si>
  <si>
    <t>Renewable Energy Target</t>
  </si>
  <si>
    <t>Internal Targets</t>
  </si>
  <si>
    <t>Accounting Standards</t>
  </si>
  <si>
    <t>Accounting Standard Applied</t>
  </si>
  <si>
    <t>Anti Competitive practices</t>
  </si>
  <si>
    <t>No. of anti-competitive incidents</t>
  </si>
  <si>
    <t>Intellectual Property</t>
  </si>
  <si>
    <t>Intellectual Property incidents</t>
  </si>
  <si>
    <t>Lobbying/ Political Contributions</t>
  </si>
  <si>
    <t>Business Ethics Programs</t>
  </si>
  <si>
    <t>Animal Welfare Policy</t>
  </si>
  <si>
    <t>Tax Disclosure</t>
  </si>
  <si>
    <t>Tax related penalties</t>
  </si>
  <si>
    <t>Minority rights policy</t>
  </si>
  <si>
    <t>Minority Voting rights Policy</t>
  </si>
  <si>
    <t xml:space="preserve">Voting Proportionality </t>
  </si>
  <si>
    <t>Share class</t>
  </si>
  <si>
    <t>Voting rights</t>
  </si>
  <si>
    <t>Dividend Policy</t>
  </si>
  <si>
    <t>Dividend Payout Ratio</t>
  </si>
  <si>
    <t>Pre-emptive Rights</t>
  </si>
  <si>
    <t>Corporate law</t>
  </si>
  <si>
    <t>Data Privacy and Security Policy</t>
  </si>
  <si>
    <t>Data Privacy and Security Incidents</t>
  </si>
  <si>
    <t>Regional corruption</t>
  </si>
  <si>
    <t>Bribery and corruption policy</t>
  </si>
  <si>
    <t xml:space="preserve">Bribery &amp; corruption incidents </t>
  </si>
  <si>
    <t xml:space="preserve">Insufficient action taken to address breaches of standards of anti-corruption and anti-bribery </t>
  </si>
  <si>
    <t>Insufficient action</t>
  </si>
  <si>
    <t>Remuneration KPIs and their appropriateness</t>
  </si>
  <si>
    <t>Renumeration KPIs</t>
  </si>
  <si>
    <t>Remuneration KPIs are appropriate</t>
  </si>
  <si>
    <t>ESG KPIs in remuneration</t>
  </si>
  <si>
    <t>ESG KPIs in Renumeration KPIs</t>
  </si>
  <si>
    <t>Say on Pay</t>
  </si>
  <si>
    <t>Policy disclosed</t>
  </si>
  <si>
    <t>Pay Controversies</t>
  </si>
  <si>
    <t>Number of controversies</t>
  </si>
  <si>
    <t>STI Performance Metrics</t>
  </si>
  <si>
    <t>LTI Performance Metrics</t>
  </si>
  <si>
    <t>Audit Committee Independence</t>
  </si>
  <si>
    <t>% of Independent Board Members</t>
  </si>
  <si>
    <t>Family links with board</t>
  </si>
  <si>
    <t>Alumni links with board</t>
  </si>
  <si>
    <t>Previous experience in the same company</t>
  </si>
  <si>
    <t>Auditor Fees</t>
  </si>
  <si>
    <t xml:space="preserve">Total Audit Compensation </t>
  </si>
  <si>
    <t>Non audit fees</t>
  </si>
  <si>
    <t>Audit Rotation Policy</t>
  </si>
  <si>
    <t>Current Auditor</t>
  </si>
  <si>
    <t xml:space="preserve">Auditor since </t>
  </si>
  <si>
    <t>Last Auditor</t>
  </si>
  <si>
    <t>Name</t>
  </si>
  <si>
    <t>Reporting Irregularities</t>
  </si>
  <si>
    <t>Low/Med/High</t>
  </si>
  <si>
    <t>Net Income</t>
  </si>
  <si>
    <t>Oil Spill disclosure</t>
  </si>
  <si>
    <t>Offshore well management</t>
  </si>
  <si>
    <t>Tailings management</t>
  </si>
  <si>
    <t xml:space="preserve">Mineral waste management
</t>
  </si>
  <si>
    <t>Site closure &amp; rehabilitation</t>
  </si>
  <si>
    <t>Use of pesticides</t>
  </si>
  <si>
    <t>Product health statement</t>
  </si>
  <si>
    <t>Fleet emissions</t>
  </si>
  <si>
    <t>Access to Communications</t>
  </si>
  <si>
    <t>Access to Finance</t>
  </si>
  <si>
    <t>Access to Health Care</t>
  </si>
  <si>
    <t xml:space="preserve">Strategy to Improve Access to Drugs or Products </t>
  </si>
  <si>
    <t>G.4.8</t>
  </si>
  <si>
    <t>G.5.2</t>
  </si>
  <si>
    <t xml:space="preserve">Board Assessment </t>
  </si>
  <si>
    <t>Leverage ratio</t>
  </si>
  <si>
    <t>Credit &amp; loan standards</t>
  </si>
  <si>
    <t>Asset Quality</t>
  </si>
  <si>
    <t>UNEPFI Signatory</t>
  </si>
  <si>
    <t>Equator Principles Signatory</t>
  </si>
  <si>
    <t>Tier 1 Capital Buffer</t>
  </si>
  <si>
    <t>Trial Data Transparency</t>
  </si>
  <si>
    <t>Neglected Diseases R&amp;D</t>
  </si>
  <si>
    <t>Access to medicine program</t>
  </si>
  <si>
    <t>Access to Intellectual Property</t>
  </si>
  <si>
    <t>Equitable Pricing and Availability</t>
  </si>
  <si>
    <t>Compliance Program</t>
  </si>
  <si>
    <t>Anti-Money Laundering Program</t>
  </si>
  <si>
    <t>Policy on Government Payments</t>
  </si>
  <si>
    <t>Total liabilities</t>
  </si>
  <si>
    <t>Solid fossil fuel sector exposure</t>
  </si>
  <si>
    <t>Count</t>
  </si>
  <si>
    <t>Directors Profile ( 1. total experience, 2. relevant experience 3) other directorships currently held and past controversies in those companies 4) other directorships held in the past and past controversies in those companies)</t>
  </si>
  <si>
    <t xml:space="preserve">G.3.1	</t>
  </si>
  <si>
    <t xml:space="preserve">G.3.2.0	</t>
  </si>
  <si>
    <t xml:space="preserve">E.1.5.0	</t>
  </si>
  <si>
    <t xml:space="preserve">E.1.5.1	</t>
  </si>
  <si>
    <t>E.1.6.0</t>
  </si>
  <si>
    <t xml:space="preserve">E.4.5.0	</t>
  </si>
  <si>
    <t xml:space="preserve">E.5.1.0	</t>
  </si>
  <si>
    <t xml:space="preserve">E.5.1.1	</t>
  </si>
  <si>
    <t xml:space="preserve">E.5.6.0	</t>
  </si>
  <si>
    <t xml:space="preserve">E.5.6.1	</t>
  </si>
  <si>
    <t xml:space="preserve">E.8.8.0	</t>
  </si>
  <si>
    <t xml:space="preserve">E.8.8.1	</t>
  </si>
  <si>
    <t xml:space="preserve">E.8.11	</t>
  </si>
  <si>
    <t xml:space="preserve">E.8.12	</t>
  </si>
  <si>
    <t xml:space="preserve">E.8.14	</t>
  </si>
  <si>
    <t xml:space="preserve">E.8.15	</t>
  </si>
  <si>
    <t xml:space="preserve">E.8.16	</t>
  </si>
  <si>
    <t xml:space="preserve">E.9.2	</t>
  </si>
  <si>
    <t xml:space="preserve">E.10.1	</t>
  </si>
  <si>
    <t xml:space="preserve">E.10.2	</t>
  </si>
  <si>
    <t xml:space="preserve">E.10.3	</t>
  </si>
  <si>
    <t xml:space="preserve">E.10.4	</t>
  </si>
  <si>
    <t xml:space="preserve">E.10.7	</t>
  </si>
  <si>
    <t xml:space="preserve">E.11.1.0	</t>
  </si>
  <si>
    <t xml:space="preserve">S.1.2	</t>
  </si>
  <si>
    <t xml:space="preserve">S.1.6	</t>
  </si>
  <si>
    <t xml:space="preserve">S.1.7	</t>
  </si>
  <si>
    <t xml:space="preserve">S.1.8	</t>
  </si>
  <si>
    <t xml:space="preserve">S.2.1.0	</t>
  </si>
  <si>
    <t xml:space="preserve">S.2.3	</t>
  </si>
  <si>
    <t xml:space="preserve">S.2.4	</t>
  </si>
  <si>
    <t xml:space="preserve">S.2.5	</t>
  </si>
  <si>
    <t xml:space="preserve">S.3.3	</t>
  </si>
  <si>
    <t xml:space="preserve">S.3.4.0	</t>
  </si>
  <si>
    <t xml:space="preserve">S.3.4.1	</t>
  </si>
  <si>
    <t xml:space="preserve">S.3.5.0	</t>
  </si>
  <si>
    <t xml:space="preserve">S.3.5.1	</t>
  </si>
  <si>
    <t xml:space="preserve">S.4.1.0	</t>
  </si>
  <si>
    <t xml:space="preserve">S.4.2	</t>
  </si>
  <si>
    <t xml:space="preserve">S.4.3	</t>
  </si>
  <si>
    <t xml:space="preserve">S.4.4.0	</t>
  </si>
  <si>
    <t xml:space="preserve">S.5.1	</t>
  </si>
  <si>
    <t xml:space="preserve">S.5.3	</t>
  </si>
  <si>
    <t xml:space="preserve">S.6.1.0	</t>
  </si>
  <si>
    <t xml:space="preserve">S.6.1.1	</t>
  </si>
  <si>
    <t xml:space="preserve">S.6.2	</t>
  </si>
  <si>
    <t xml:space="preserve">S.7.1	</t>
  </si>
  <si>
    <t xml:space="preserve">S.7.2	</t>
  </si>
  <si>
    <t xml:space="preserve">S.7.3	</t>
  </si>
  <si>
    <t xml:space="preserve">S.7.4.0	</t>
  </si>
  <si>
    <t xml:space="preserve">S.7.4.1	</t>
  </si>
  <si>
    <t xml:space="preserve">S.7.9	</t>
  </si>
  <si>
    <t xml:space="preserve">S.7.11	</t>
  </si>
  <si>
    <t xml:space="preserve">S.7.12.0	</t>
  </si>
  <si>
    <t xml:space="preserve">S.7.12.1	</t>
  </si>
  <si>
    <t xml:space="preserve">S.7.12.2	</t>
  </si>
  <si>
    <t xml:space="preserve">S.8.1	</t>
  </si>
  <si>
    <t xml:space="preserve">S.8.2	</t>
  </si>
  <si>
    <t xml:space="preserve">S.8.3	</t>
  </si>
  <si>
    <t xml:space="preserve">S.8.4	</t>
  </si>
  <si>
    <t xml:space="preserve">S.9.2	</t>
  </si>
  <si>
    <t xml:space="preserve">S.9.3	</t>
  </si>
  <si>
    <t xml:space="preserve">S.9.4	</t>
  </si>
  <si>
    <t xml:space="preserve">G.1.1	</t>
  </si>
  <si>
    <t xml:space="preserve">G.1.2	</t>
  </si>
  <si>
    <t xml:space="preserve">G.1.3.0	</t>
  </si>
  <si>
    <t xml:space="preserve">G.1.4	</t>
  </si>
  <si>
    <t xml:space="preserve">G.2.3	</t>
  </si>
  <si>
    <t xml:space="preserve">G.2.4	</t>
  </si>
  <si>
    <t xml:space="preserve">G.2.5.0	</t>
  </si>
  <si>
    <t xml:space="preserve">G.2.5.1	</t>
  </si>
  <si>
    <t xml:space="preserve">G.4.1	</t>
  </si>
  <si>
    <t xml:space="preserve">G.4.2.0	</t>
  </si>
  <si>
    <t xml:space="preserve">G.4.2.1	</t>
  </si>
  <si>
    <t xml:space="preserve">G.4.2.2	</t>
  </si>
  <si>
    <t xml:space="preserve">G.4.3.0	</t>
  </si>
  <si>
    <t xml:space="preserve">G.4.3.1	</t>
  </si>
  <si>
    <t xml:space="preserve">G.4.3.2	</t>
  </si>
  <si>
    <t xml:space="preserve">G.4.6.0	</t>
  </si>
  <si>
    <t xml:space="preserve">G.4.6.1	</t>
  </si>
  <si>
    <t xml:space="preserve">G.4.7.0	</t>
  </si>
  <si>
    <t xml:space="preserve">G.4.7.1	</t>
  </si>
  <si>
    <t xml:space="preserve">G.4.7.2	</t>
  </si>
  <si>
    <t xml:space="preserve">G.4.9.0	</t>
  </si>
  <si>
    <t xml:space="preserve">G.4.9.1	</t>
  </si>
  <si>
    <t xml:space="preserve">G.5.1.0	</t>
  </si>
  <si>
    <t xml:space="preserve">G.5.1.1	</t>
  </si>
  <si>
    <t xml:space="preserve">G.5.1.2	</t>
  </si>
  <si>
    <t xml:space="preserve">G.5.1.3	</t>
  </si>
  <si>
    <t xml:space="preserve">G.5.2	</t>
  </si>
  <si>
    <t xml:space="preserve">G.5.3	</t>
  </si>
  <si>
    <t xml:space="preserve">G.5.4.0	</t>
  </si>
  <si>
    <t xml:space="preserve">G.5.4.1	</t>
  </si>
  <si>
    <t xml:space="preserve">G.5.5.0	</t>
  </si>
  <si>
    <t xml:space="preserve">G.5.5.1	</t>
  </si>
  <si>
    <t xml:space="preserve">G.5.6	</t>
  </si>
  <si>
    <t xml:space="preserve">G.5.8	</t>
  </si>
  <si>
    <t xml:space="preserve">G.5.9.0	</t>
  </si>
  <si>
    <t xml:space="preserve">G.5.9.1	</t>
  </si>
  <si>
    <t xml:space="preserve">G.5.10.0	</t>
  </si>
  <si>
    <t xml:space="preserve">G.5.10.1	</t>
  </si>
  <si>
    <t xml:space="preserve">G.5.11.0	</t>
  </si>
  <si>
    <t xml:space="preserve">G.6.1	</t>
  </si>
  <si>
    <t xml:space="preserve">G.6.2	</t>
  </si>
  <si>
    <t xml:space="preserve">G.6.3	</t>
  </si>
  <si>
    <t xml:space="preserve">G.6.4	</t>
  </si>
  <si>
    <t xml:space="preserve">G.6.5	</t>
  </si>
  <si>
    <t xml:space="preserve">G.6.6	</t>
  </si>
  <si>
    <t xml:space="preserve">G.7.1	</t>
  </si>
  <si>
    <t xml:space="preserve">G.7.2	</t>
  </si>
  <si>
    <t xml:space="preserve">G.7.3	</t>
  </si>
  <si>
    <t xml:space="preserve">G.7.4.0	</t>
  </si>
  <si>
    <t xml:space="preserve">G.7.4.1	</t>
  </si>
  <si>
    <t xml:space="preserve">G.7.5	</t>
  </si>
  <si>
    <t xml:space="preserve">G.7.6	</t>
  </si>
  <si>
    <t xml:space="preserve">G.8.1.0	</t>
  </si>
  <si>
    <t xml:space="preserve">G.8.1.1	</t>
  </si>
  <si>
    <t xml:space="preserve">G.8.1.2	</t>
  </si>
  <si>
    <t xml:space="preserve">G.8.2.0	</t>
  </si>
  <si>
    <t xml:space="preserve">G.8.2.1	</t>
  </si>
  <si>
    <t xml:space="preserve">G.8.3.0	</t>
  </si>
  <si>
    <t xml:space="preserve">G.8.3.1	</t>
  </si>
  <si>
    <t xml:space="preserve">G.8.4.0	</t>
  </si>
  <si>
    <t xml:space="preserve">G.8.4.1	</t>
  </si>
  <si>
    <t xml:space="preserve">G.8.4.2	</t>
  </si>
  <si>
    <t xml:space="preserve">G.9.1	</t>
  </si>
  <si>
    <t xml:space="preserve">G.9.2	</t>
  </si>
  <si>
    <t xml:space="preserve">G.9.3	</t>
  </si>
  <si>
    <t xml:space="preserve">G.9.4	</t>
  </si>
  <si>
    <t xml:space="preserve">G.10.1.0	</t>
  </si>
  <si>
    <t xml:space="preserve">G.10.1.1	</t>
  </si>
  <si>
    <t xml:space="preserve">G.10.2	</t>
  </si>
  <si>
    <t xml:space="preserve">G.10.3	</t>
  </si>
  <si>
    <t xml:space="preserve">G.10.5	</t>
  </si>
  <si>
    <t xml:space="preserve">G.10.6	</t>
  </si>
  <si>
    <t xml:space="preserve">G.10.7	</t>
  </si>
  <si>
    <t xml:space="preserve">G.10.8	</t>
  </si>
  <si>
    <t xml:space="preserve">G.10.9	</t>
  </si>
  <si>
    <t xml:space="preserve">G.10.10	</t>
  </si>
  <si>
    <t xml:space="preserve">G.11.1	</t>
  </si>
  <si>
    <t xml:space="preserve">G.11.3	</t>
  </si>
  <si>
    <t xml:space="preserve">G.11.4.0	</t>
  </si>
  <si>
    <t xml:space="preserve">G.11.4.1	</t>
  </si>
  <si>
    <t xml:space="preserve">G.12.2	</t>
  </si>
  <si>
    <t xml:space="preserve">G.13.1	</t>
  </si>
  <si>
    <t xml:space="preserve">G.13.3	</t>
  </si>
  <si>
    <t xml:space="preserve">G.13.4	</t>
  </si>
  <si>
    <t xml:space="preserve">G.14.1.0	</t>
  </si>
  <si>
    <t xml:space="preserve">G.14.1.1	</t>
  </si>
  <si>
    <t xml:space="preserve">G.14.2	</t>
  </si>
  <si>
    <t xml:space="preserve">G.14.3	</t>
  </si>
  <si>
    <t xml:space="preserve">G.14.4	</t>
  </si>
  <si>
    <t xml:space="preserve">G.14.5	</t>
  </si>
  <si>
    <t xml:space="preserve">G.14.6	</t>
  </si>
  <si>
    <t xml:space="preserve">G.15.1.0	</t>
  </si>
  <si>
    <t xml:space="preserve">G.15.1.1	</t>
  </si>
  <si>
    <t xml:space="preserve">G.15.1.2	</t>
  </si>
  <si>
    <t xml:space="preserve">G.15.1.3	</t>
  </si>
  <si>
    <t xml:space="preserve">G.15.2.0	</t>
  </si>
  <si>
    <t xml:space="preserve">G.15.2.1	</t>
  </si>
  <si>
    <t xml:space="preserve">G.15.3.0	</t>
  </si>
  <si>
    <t xml:space="preserve">G.15.3.1	</t>
  </si>
  <si>
    <t xml:space="preserve">G.15.3.2	</t>
  </si>
  <si>
    <t xml:space="preserve">G.15.3.3	</t>
  </si>
  <si>
    <t xml:space="preserve">G.15.4	</t>
  </si>
  <si>
    <t>E.1.6.1</t>
  </si>
  <si>
    <t>E.4.1	.0</t>
  </si>
  <si>
    <t>E.4.1.1</t>
  </si>
  <si>
    <t>E.5.3.1</t>
  </si>
  <si>
    <t>E.5.3.0</t>
  </si>
  <si>
    <t>E.5.4.1</t>
  </si>
  <si>
    <t>E.5.4.0</t>
  </si>
  <si>
    <t>Mineral waste management</t>
  </si>
  <si>
    <t>Policy Exists</t>
  </si>
  <si>
    <t>Policy Disclosure</t>
  </si>
  <si>
    <t>Offshore well</t>
  </si>
  <si>
    <t>Renewable energy as % of Total energy</t>
  </si>
  <si>
    <t>E.5.7.0</t>
  </si>
  <si>
    <t>E.5.7.1</t>
  </si>
  <si>
    <t>Non-recycled waste as % of total waste</t>
  </si>
  <si>
    <t xml:space="preserve">E.7.1.0	</t>
  </si>
  <si>
    <t>E.7.1.1</t>
  </si>
  <si>
    <t>E.7.2.1</t>
  </si>
  <si>
    <t>E.7.2.0</t>
  </si>
  <si>
    <t>E.7.3.0</t>
  </si>
  <si>
    <t>FSC certified sourcing as % of total sourcing</t>
  </si>
  <si>
    <t>E.7.4.0</t>
  </si>
  <si>
    <t>E.7.4.1</t>
  </si>
  <si>
    <t>E.7.8.0</t>
  </si>
  <si>
    <t>E.7.8.1</t>
  </si>
  <si>
    <t xml:space="preserve">E.8.1.0	</t>
  </si>
  <si>
    <t>E.8.1.1</t>
  </si>
  <si>
    <t>Waste used in tons for energy and as raw materials</t>
  </si>
  <si>
    <t>E.8.4.0</t>
  </si>
  <si>
    <t>E.8.4.1</t>
  </si>
  <si>
    <t>E.8.10.0</t>
  </si>
  <si>
    <t>E.8.10.1</t>
  </si>
  <si>
    <t>E.8.13.0</t>
  </si>
  <si>
    <t>E.8.13.1</t>
  </si>
  <si>
    <t>E.9.1.0</t>
  </si>
  <si>
    <t>E.9.1.1</t>
  </si>
  <si>
    <t>Exposure</t>
  </si>
  <si>
    <t xml:space="preserve">E.10.5.0	</t>
  </si>
  <si>
    <t>E.10.5.1</t>
  </si>
  <si>
    <t>E.10.6.0</t>
  </si>
  <si>
    <t>E.10.6.1</t>
  </si>
  <si>
    <t>E.11.2.0</t>
  </si>
  <si>
    <t>E.11.2.1</t>
  </si>
  <si>
    <t>S.1.1.0</t>
  </si>
  <si>
    <t>S.1.1.1</t>
  </si>
  <si>
    <t>S.1.3.0</t>
  </si>
  <si>
    <t>S.1.3.1</t>
  </si>
  <si>
    <t>Work hours policy exists</t>
  </si>
  <si>
    <t>Work hours policy disclosure</t>
  </si>
  <si>
    <t>S.1.4.0</t>
  </si>
  <si>
    <t>S.1.4.1</t>
  </si>
  <si>
    <t>S.1.5.0</t>
  </si>
  <si>
    <t>S.1.5.1</t>
  </si>
  <si>
    <t>S.1.9.0</t>
  </si>
  <si>
    <t>S.1.9.1</t>
  </si>
  <si>
    <t>S.2.1.2</t>
  </si>
  <si>
    <t>S.2.1.1</t>
  </si>
  <si>
    <t>S.2.2.0</t>
  </si>
  <si>
    <t>S.2.2.1</t>
  </si>
  <si>
    <t>S.2.6.1</t>
  </si>
  <si>
    <t>S.2.6.0</t>
  </si>
  <si>
    <t>S.3.1.0</t>
  </si>
  <si>
    <t>S.3.1.1</t>
  </si>
  <si>
    <t>S.3.2.0</t>
  </si>
  <si>
    <t>Policy exist against child labor</t>
  </si>
  <si>
    <t>Policy exist against forced labor</t>
  </si>
  <si>
    <t>S.3.7.0</t>
  </si>
  <si>
    <t>S.3.7.1</t>
  </si>
  <si>
    <t>Exposure to controversial weapons - Present</t>
  </si>
  <si>
    <t>Exposure to controversial weapons - Past</t>
  </si>
  <si>
    <t>Policy exists</t>
  </si>
  <si>
    <t>Policy Disclosures</t>
  </si>
  <si>
    <t>Code exists</t>
  </si>
  <si>
    <t>rural branches as % of total branches</t>
  </si>
  <si>
    <t>Microfinance facility available</t>
  </si>
  <si>
    <t>S.6.1.2</t>
  </si>
  <si>
    <t xml:space="preserve">S.7.6.0	</t>
  </si>
  <si>
    <t xml:space="preserve">S.7.6.1	</t>
  </si>
  <si>
    <t xml:space="preserve">S.7.5	</t>
  </si>
  <si>
    <t>S.7.6.2</t>
  </si>
  <si>
    <t>S.7.7.0</t>
  </si>
  <si>
    <t>S.7.7.1</t>
  </si>
  <si>
    <t>S.7.8.0</t>
  </si>
  <si>
    <t>S.7.8.1</t>
  </si>
  <si>
    <t>F.1.1.0</t>
  </si>
  <si>
    <t>F.1.2.0</t>
  </si>
  <si>
    <t>F.2.1.0</t>
  </si>
  <si>
    <t>F.2.2.0</t>
  </si>
  <si>
    <t>PL</t>
  </si>
  <si>
    <t>BS</t>
  </si>
  <si>
    <t xml:space="preserve"> Tons</t>
  </si>
  <si>
    <t>Drop Down</t>
  </si>
  <si>
    <t>F.2.3.0</t>
  </si>
  <si>
    <t>F.3.1.0</t>
  </si>
  <si>
    <t>E.1.1.0</t>
  </si>
  <si>
    <t>E.1.2.0</t>
  </si>
  <si>
    <t>E.1.3.0</t>
  </si>
  <si>
    <t>E.1.4.0</t>
  </si>
  <si>
    <t>E.1.7.0</t>
  </si>
  <si>
    <t>E.2.1.0</t>
  </si>
  <si>
    <t>E.2.2.0</t>
  </si>
  <si>
    <t>E.2.3.0</t>
  </si>
  <si>
    <t>E.2.4.0</t>
  </si>
  <si>
    <t>E.2.5.0</t>
  </si>
  <si>
    <t>E.3.1.0</t>
  </si>
  <si>
    <t>E.3.2.0</t>
  </si>
  <si>
    <t>Change in carbon intensity (last 1 year)</t>
  </si>
  <si>
    <t>Negative/Positive</t>
  </si>
  <si>
    <t>E.4.5.1</t>
  </si>
  <si>
    <t>Program exists</t>
  </si>
  <si>
    <t>Number of incidents</t>
  </si>
  <si>
    <t>E.6.2.1</t>
  </si>
  <si>
    <t>E.6.2.0</t>
  </si>
  <si>
    <t xml:space="preserve"> non-renewable /total energy consumption</t>
  </si>
  <si>
    <t>membership</t>
  </si>
  <si>
    <t>Initiatives exist</t>
  </si>
  <si>
    <t>Initiatives disclosed</t>
  </si>
  <si>
    <t>Statement disclosed</t>
  </si>
  <si>
    <t>Organic products revenue</t>
  </si>
  <si>
    <t>E.9.3.0</t>
  </si>
  <si>
    <t>No. of instances</t>
  </si>
  <si>
    <t>Environmental audit body / auditor disclosed</t>
  </si>
  <si>
    <t>E.9.4.0</t>
  </si>
  <si>
    <t>E.9.4.1</t>
  </si>
  <si>
    <t>S.4.1.1</t>
  </si>
  <si>
    <t xml:space="preserve">S.4.4.1	</t>
  </si>
  <si>
    <t>S.5.2.0</t>
  </si>
  <si>
    <t>S.5.2.1</t>
  </si>
  <si>
    <t>S.9.1.1</t>
  </si>
  <si>
    <t>S.9.1.0</t>
  </si>
  <si>
    <t>G.1.3.1</t>
  </si>
  <si>
    <t>Spin offs success</t>
  </si>
  <si>
    <t>Shareholding by majority holder</t>
  </si>
  <si>
    <t>Majority holder type</t>
  </si>
  <si>
    <t>Govt/Public/Institution</t>
  </si>
  <si>
    <t>G.2.1.0</t>
  </si>
  <si>
    <t>G.2.1.1</t>
  </si>
  <si>
    <t>G.2.1.2</t>
  </si>
  <si>
    <t>Majority holder name</t>
  </si>
  <si>
    <t xml:space="preserve">G.2.2.0	</t>
  </si>
  <si>
    <t>Politcical connections</t>
  </si>
  <si>
    <t>Cross shareholder name</t>
  </si>
  <si>
    <t>% shares held by cross holder</t>
  </si>
  <si>
    <t>% shares held by company</t>
  </si>
  <si>
    <t>G.2.5.2</t>
  </si>
  <si>
    <t>Related party transactions</t>
  </si>
  <si>
    <t>F.1.1.1</t>
  </si>
  <si>
    <t>Cost of sales</t>
  </si>
  <si>
    <t>No. of controversies over last 5 years</t>
  </si>
  <si>
    <t>Government</t>
  </si>
  <si>
    <t>Others</t>
  </si>
  <si>
    <t>G.4.3.3</t>
  </si>
  <si>
    <t>G.4.4.1</t>
  </si>
  <si>
    <t>G.4.5.0</t>
  </si>
  <si>
    <t>G.4.5.1</t>
  </si>
  <si>
    <t>G.4.4.0</t>
  </si>
  <si>
    <t>List of regulators</t>
  </si>
  <si>
    <t>G.5.1.4</t>
  </si>
  <si>
    <t>% Independent directors</t>
  </si>
  <si>
    <t>Director remuneration</t>
  </si>
  <si>
    <t>Total number of shares</t>
  </si>
  <si>
    <t>F.2.4.0</t>
  </si>
  <si>
    <t>F.2.4.1</t>
  </si>
  <si>
    <t>Avg share price</t>
  </si>
  <si>
    <t>No. of independent directors</t>
  </si>
  <si>
    <t>No. of non-independent directors</t>
  </si>
  <si>
    <t>G.5.7.1</t>
  </si>
  <si>
    <t>G.5.7.0</t>
  </si>
  <si>
    <t>G.5.7.2</t>
  </si>
  <si>
    <t>CEO &amp; Chair separation (Recent)</t>
  </si>
  <si>
    <t>CEO &amp; Chair separation (Last 5 years)</t>
  </si>
  <si>
    <t>Total salary expense</t>
  </si>
  <si>
    <t>F.1.2.1</t>
  </si>
  <si>
    <t>E.3.3.0</t>
  </si>
  <si>
    <t>E.3.4.0</t>
  </si>
  <si>
    <t>E.4.2.0</t>
  </si>
  <si>
    <t>E.4.3.0</t>
  </si>
  <si>
    <t>E.4.4.0</t>
  </si>
  <si>
    <t>E.5.2.0</t>
  </si>
  <si>
    <t>E.5.5.0</t>
  </si>
  <si>
    <t>E.5.5.1</t>
  </si>
  <si>
    <t>E.5.8.0</t>
  </si>
  <si>
    <t>E.6.1.0</t>
  </si>
  <si>
    <t>E.7.5.0</t>
  </si>
  <si>
    <t>E.7.6.0</t>
  </si>
  <si>
    <t>E.7.7.0</t>
  </si>
  <si>
    <t>E.8.2.0</t>
  </si>
  <si>
    <t>E.8.3.0</t>
  </si>
  <si>
    <t>E.8.5.0</t>
  </si>
  <si>
    <t>E.8.6.0</t>
  </si>
  <si>
    <t>E.8.7.0</t>
  </si>
  <si>
    <t>E.8.7.1</t>
  </si>
  <si>
    <t>E.8.9.0</t>
  </si>
  <si>
    <t>Disclosed</t>
  </si>
  <si>
    <t>Gross NPL</t>
  </si>
  <si>
    <t>Total Advances</t>
  </si>
  <si>
    <t>Compliance with Laws/ Regulations/ Practices</t>
  </si>
  <si>
    <t>Certification Name</t>
  </si>
  <si>
    <t>ISO9001</t>
  </si>
  <si>
    <t>G.7.4.2</t>
  </si>
  <si>
    <t>Certification</t>
  </si>
  <si>
    <t>Local/International</t>
  </si>
  <si>
    <t>Name of standard</t>
  </si>
  <si>
    <t>G.10.1.2</t>
  </si>
  <si>
    <t>Compliance with  accounting standards</t>
  </si>
  <si>
    <t>G.10.4.0</t>
  </si>
  <si>
    <t>G.10.4.1</t>
  </si>
  <si>
    <t>G.11.2.0</t>
  </si>
  <si>
    <t>G.11.2.1</t>
  </si>
  <si>
    <t>Equal/Not Equal</t>
  </si>
  <si>
    <t>Ordinary/Ordinary &amp; Preffered</t>
  </si>
  <si>
    <t>G.12.1.0</t>
  </si>
  <si>
    <t>G.12.1.1</t>
  </si>
  <si>
    <t>Weigthed average corruption perception score</t>
  </si>
  <si>
    <t>EUR</t>
  </si>
  <si>
    <t>PKR</t>
  </si>
  <si>
    <t>CNY</t>
  </si>
  <si>
    <t>INR</t>
  </si>
  <si>
    <t>HKD</t>
  </si>
  <si>
    <t>ZAR</t>
  </si>
  <si>
    <t>IDR</t>
  </si>
  <si>
    <t>KRW</t>
  </si>
  <si>
    <t>MYR</t>
  </si>
  <si>
    <t>PHP</t>
  </si>
  <si>
    <t>TWD</t>
  </si>
  <si>
    <t>THB</t>
  </si>
  <si>
    <t>VND</t>
  </si>
  <si>
    <t>SAR</t>
  </si>
  <si>
    <t>ARS</t>
  </si>
  <si>
    <t>HUF</t>
  </si>
  <si>
    <t>KWD</t>
  </si>
  <si>
    <t>MXN</t>
  </si>
  <si>
    <t>PLN</t>
  </si>
  <si>
    <t>BRL</t>
  </si>
  <si>
    <t>QAR</t>
  </si>
  <si>
    <t>RUB</t>
  </si>
  <si>
    <t>March</t>
  </si>
  <si>
    <t>June</t>
  </si>
  <si>
    <t>September</t>
  </si>
  <si>
    <t>December</t>
  </si>
  <si>
    <t>Yes</t>
  </si>
  <si>
    <t>No</t>
  </si>
  <si>
    <t>Low</t>
  </si>
  <si>
    <t>Medium</t>
  </si>
  <si>
    <t>High</t>
  </si>
  <si>
    <t>Positive</t>
  </si>
  <si>
    <t>Negative</t>
  </si>
  <si>
    <t>Ordinary Shares</t>
  </si>
  <si>
    <t>Ordinary &amp; Preference Shares</t>
  </si>
  <si>
    <t>Equal</t>
  </si>
  <si>
    <t>Not Equal</t>
  </si>
  <si>
    <t>P&amp;L / Balance Sheet</t>
  </si>
  <si>
    <t>Year end</t>
  </si>
  <si>
    <t xml:space="preserve">G.3.3.0	</t>
  </si>
  <si>
    <t>Non-arms length transactions</t>
  </si>
  <si>
    <t>S.5.4</t>
  </si>
  <si>
    <t>Access to Education</t>
  </si>
  <si>
    <t>USD</t>
  </si>
  <si>
    <t>Public</t>
  </si>
  <si>
    <t>Institution</t>
  </si>
  <si>
    <t>Local</t>
  </si>
  <si>
    <t>International</t>
  </si>
  <si>
    <t>AR-2020-Pg:68</t>
  </si>
  <si>
    <t>AR-2020-Pg:9</t>
  </si>
  <si>
    <t>AR-2020-Pg:8</t>
  </si>
  <si>
    <t>AR-2020-Pg:7</t>
  </si>
  <si>
    <t>AR-2020-Pg:70</t>
  </si>
  <si>
    <t>AR-2020-Pg:10</t>
  </si>
  <si>
    <t>SR-2016-Pg:168</t>
  </si>
  <si>
    <t>SR-2016-Pg:160</t>
  </si>
  <si>
    <t>SR-2016-Pg:178</t>
  </si>
  <si>
    <t>SR-2016-Pg:146</t>
  </si>
  <si>
    <t>SR-2016-Pg:163</t>
  </si>
  <si>
    <t>SR-2016-Pg:182</t>
  </si>
  <si>
    <t>SR-2016-Pg:156</t>
  </si>
  <si>
    <t>SR-2016-Pg:82</t>
  </si>
  <si>
    <t>SR-2016-Pg:124</t>
  </si>
  <si>
    <t>SR-2016-Pg:148</t>
  </si>
  <si>
    <t>G.13.2.0</t>
  </si>
  <si>
    <t>G.13.2.1</t>
  </si>
  <si>
    <t>Policy Exist</t>
  </si>
  <si>
    <t>G.10.10.1</t>
  </si>
  <si>
    <t>Business ethics</t>
  </si>
  <si>
    <t>SR 2016 Pg 173</t>
  </si>
  <si>
    <t>SR-2017-Pg:38</t>
  </si>
  <si>
    <t>SR-2017-Pg:39</t>
  </si>
  <si>
    <t>SR-2017-Pg:27</t>
  </si>
  <si>
    <t>SR-2020-Pg:121</t>
  </si>
  <si>
    <t>SR-2020-Pg:120</t>
  </si>
  <si>
    <t>SR-2019-Pg:128</t>
  </si>
  <si>
    <t>SR 2020 Pg 111</t>
  </si>
  <si>
    <t>SR 2020 Pg 86</t>
  </si>
  <si>
    <t>SR 2020 Pg 114</t>
  </si>
  <si>
    <t>https://www.samsung.com/semiconductor/global.semi.static/ISO45001_OHS18_50350240_OHS18_EN.pdf</t>
  </si>
  <si>
    <t>https://www.samsung.com/semiconductor/about-us/safety-management/</t>
  </si>
  <si>
    <t>https://www.business-humanrights.org/en/latest-news/france-samsung-electronics-indicted-for-misleading-advertising-re-alleged-labour-abuses-child-labour-in-china-s-korea-vietnam/#:~:text=ActionAid%20and%20Sherpa%20have%20accused,breaches%20and%20other%20labour%20abuses.</t>
  </si>
  <si>
    <t xml:space="preserve"> </t>
  </si>
  <si>
    <t>https://www.theneweconomy.com/business/samsung-survives-exploding-phones-and-allegations-of-bribery-to-start-2017-strongly</t>
  </si>
  <si>
    <t>SR:2019 Pg 108</t>
  </si>
  <si>
    <t>SR 2016 Pg 31</t>
  </si>
  <si>
    <t>SR 2019 Pg 121</t>
  </si>
  <si>
    <t>SR 2020 Pg 113</t>
  </si>
  <si>
    <t>SR:2020 Pg 38</t>
  </si>
  <si>
    <t>SR:2020 Pg 86</t>
  </si>
  <si>
    <t>SR:2020 Pg 101</t>
  </si>
  <si>
    <t>SR:2020 Pg 114</t>
  </si>
  <si>
    <t>SR:2020 Pg 115</t>
  </si>
  <si>
    <t>SR:2020 Pg 34</t>
  </si>
  <si>
    <t>SR:2020 Pg 51</t>
  </si>
  <si>
    <t>SR:2020 Pg 90</t>
  </si>
  <si>
    <t>SR:2020 Pg 32</t>
  </si>
  <si>
    <t>SR:2020 Pg 33</t>
  </si>
  <si>
    <t>SR:2020 Pg 21</t>
  </si>
  <si>
    <t>SR:2020 Pg 96</t>
  </si>
  <si>
    <t>SR:2020 Pg 64</t>
  </si>
  <si>
    <t>SR:2020 Pg 128</t>
  </si>
  <si>
    <t>https://images.samsung.com/is/content/samsung/p5/global/ir/docs/2020_Half_Year_Report.pdf</t>
  </si>
  <si>
    <t>Page 163</t>
  </si>
  <si>
    <t>https://news.samsung.com/global/samsung-electronics-announces-support-for-five-new-startups-spun-off-from-its-c-lab-program</t>
  </si>
  <si>
    <t>Business Report 2016 Page 196</t>
  </si>
  <si>
    <t>Business Report 2017 Page 223</t>
  </si>
  <si>
    <t>Business Report 2018 Page 226</t>
  </si>
  <si>
    <t>Business Report 2019 Page 214</t>
  </si>
  <si>
    <t>2019 Business Report Page 151</t>
  </si>
  <si>
    <t>SR 2020 Page 51</t>
  </si>
  <si>
    <t>https://images.samsung.com/is/content/samsung/p5/global/ir/docs/2019_Business_Report.pdf</t>
  </si>
  <si>
    <t>2019 Business Report Page 206</t>
  </si>
  <si>
    <t>Business Report 2019 Pg 24</t>
  </si>
  <si>
    <t>Business Report 2016 Pg 21</t>
  </si>
  <si>
    <t xml:space="preserve">No </t>
  </si>
  <si>
    <t>SR 2020 Pg 36</t>
  </si>
  <si>
    <t>Samsung Global Code of Conduct Para 1-4</t>
  </si>
  <si>
    <t>https://images.samsung.com/is/content/samsung/assets/global/ir/docs/SAMSUNG_globalcode_of_conduct_2020.pdf</t>
  </si>
  <si>
    <t>https://www.intellectualpropertynews.com/tag/samsung-electronics/</t>
  </si>
  <si>
    <t>K-IFRS</t>
  </si>
  <si>
    <t>https://www.samsung.com/semiconductor/global.semi.static/(ISO)+System_Lsi.pdf</t>
  </si>
  <si>
    <t>https://www.cnbc.com/2016/09/15/consumer-safety-agency-plans-recall-of-samsung-galaxy-note-7-dj-citing-official.html</t>
  </si>
  <si>
    <t>SR 2020 Pg 123</t>
  </si>
  <si>
    <t>SR 2020 Pg 110</t>
  </si>
  <si>
    <t>Directors</t>
  </si>
  <si>
    <t>Designation</t>
  </si>
  <si>
    <t>Age</t>
  </si>
  <si>
    <t>Experience</t>
  </si>
  <si>
    <t>Education</t>
  </si>
  <si>
    <t>Board memberships</t>
  </si>
  <si>
    <t>Relevent experience</t>
  </si>
  <si>
    <t>Committee membership</t>
  </si>
  <si>
    <t>Status</t>
  </si>
  <si>
    <t>Stock ownership</t>
  </si>
  <si>
    <t>Mkt. Value of Stock</t>
  </si>
  <si>
    <t>Remuneration</t>
  </si>
  <si>
    <t>company</t>
  </si>
  <si>
    <t>Function</t>
  </si>
  <si>
    <t>Year on board</t>
  </si>
  <si>
    <t>Chairman of the Board (Prior), Member of the Board of Directors (Prior)</t>
  </si>
  <si>
    <t>Prior</t>
  </si>
  <si>
    <t>-</t>
  </si>
  <si>
    <t>Chairman of the Board, Member of the Board of Directors</t>
  </si>
  <si>
    <t>Current</t>
  </si>
  <si>
    <t>Member of the Board of Directors</t>
  </si>
  <si>
    <t>2014-Present</t>
  </si>
  <si>
    <t>Vice Chairman, Member of the Board of Directors</t>
  </si>
  <si>
    <t>Unit Chairman, Unit Board Member</t>
  </si>
  <si>
    <t>Member of the Board of Directors (Prior)</t>
  </si>
  <si>
    <t>Nomination &amp; Remun. Comm.</t>
  </si>
  <si>
    <t>Chairman</t>
  </si>
  <si>
    <t>Audit committee</t>
  </si>
  <si>
    <t>Member</t>
  </si>
  <si>
    <t>Independent Director</t>
  </si>
  <si>
    <t>2014-Unknown</t>
  </si>
  <si>
    <t>2016-Present</t>
  </si>
  <si>
    <t>Cummulative</t>
  </si>
  <si>
    <t>Average</t>
  </si>
  <si>
    <t>Dr. Jae-Wan Bahk, Ph.D.</t>
  </si>
  <si>
    <t>Independent Chairman of the Board</t>
  </si>
  <si>
    <t xml:space="preserve">Seoul National University (BA, Economics, 1977;), Harvard University (Unknown/Other Education, 1988; PhD, Public Policy, 1992;) </t>
  </si>
  <si>
    <t>Mirae Corporation (KOSE:A025560)</t>
  </si>
  <si>
    <t>Samsung Electronics (UK) Limited</t>
  </si>
  <si>
    <t>Samsung Electronics Co., Ltd. (KOSE:A005930)</t>
  </si>
  <si>
    <t>Samsung India Electronics Pvt. Ltd.</t>
  </si>
  <si>
    <t>Mr. Hyun-Suk Kim</t>
  </si>
  <si>
    <t>President, CEO, Head of Consumer Electronics &amp; Executive Director</t>
  </si>
  <si>
    <t>M.S. in Electrical Engineering from Portland State University in 1987 and B.S. in Electrical Engineering from Hanyang University in 1983.</t>
  </si>
  <si>
    <t>2018-Present</t>
  </si>
  <si>
    <t>Mr. Ki-Nam Kim, Ph.D.</t>
  </si>
  <si>
    <t>Vice Chairman, CEO &amp; Head of Device Solutions</t>
  </si>
  <si>
    <t>Ph.D. in Electrical Engineering from University of California, Los Angeles in 1994, M.S. in Electrical Engineering from Korea Advanced Institute of Science and Technology in 1983 and B.S. in Electrical Engineering from Seoul National University in 1981.</t>
  </si>
  <si>
    <t>Mr. Dong-Jin Koh</t>
  </si>
  <si>
    <t>President, CEO, Head of IT &amp; Mobile Communications and Executive Director</t>
  </si>
  <si>
    <t xml:space="preserve">University of Sussex (MS;), Sungkyunkwan University (BS, Industrial Engineering;) </t>
  </si>
  <si>
    <t>Mr. Yoon-Ho Choi</t>
  </si>
  <si>
    <t>President, CFO &amp; Executive Director</t>
  </si>
  <si>
    <t>2020-Present</t>
  </si>
  <si>
    <t>Mr. Jong-Hee Han</t>
  </si>
  <si>
    <t>President and Head of Visual Display Business &amp; Executive Director</t>
  </si>
  <si>
    <t>Mr. Ji-Sung Choi</t>
  </si>
  <si>
    <t>Vice Chairman of Samsung Group and Head of the Future Strategy Office - Samsung Group</t>
  </si>
  <si>
    <t>Mr. Soo-Bin Lee</t>
  </si>
  <si>
    <t>Chairman of Samsung Life Insurance</t>
  </si>
  <si>
    <t>Mr. Gee Chan Won</t>
  </si>
  <si>
    <t>Chief Executive Officer of Samsung Card, President of Samsung Card and Director of Samsung Card</t>
  </si>
  <si>
    <t>Samsung Card Co., Ltd. (KOSE:A029780)</t>
  </si>
  <si>
    <t>Unit Board Member</t>
  </si>
  <si>
    <t>Mr. Byung-Gook Park, Ph.D.</t>
  </si>
  <si>
    <t xml:space="preserve">Seoul National University (MS, Electrical Engineering, 1984; BS, Electrical Engineering, 1982;), Stanford University (PhD, Electrical Engineering, 1990;) </t>
  </si>
  <si>
    <t>Ms. Curie Ahn</t>
  </si>
  <si>
    <t xml:space="preserve">Seoul National University (Unknown/Other Education;) </t>
  </si>
  <si>
    <t>2019-Present</t>
  </si>
  <si>
    <t>Mr. Han-Jo Kim</t>
  </si>
  <si>
    <t xml:space="preserve">Yonsei University (BA, Literature; BA, Languages;) </t>
  </si>
  <si>
    <t>Hana Bank</t>
  </si>
  <si>
    <t>2015-Unknown</t>
  </si>
  <si>
    <t>KEB Hana Bank</t>
  </si>
  <si>
    <t>2014-2015</t>
  </si>
  <si>
    <t>Dr. Jeong-Hun Kim</t>
  </si>
  <si>
    <t xml:space="preserve">Johns Hopkins University (MS, Technical Management, 1989; BS, Computer Science, 1982; BS, Electrical Engineering, 1982;) </t>
  </si>
  <si>
    <t>ARRIS International Limited</t>
  </si>
  <si>
    <t>Central Intelligence Agency</t>
  </si>
  <si>
    <t>2007-2011</t>
  </si>
  <si>
    <t>Cibernet Corporation</t>
  </si>
  <si>
    <t>Core Management II Corporation</t>
  </si>
  <si>
    <t>Member of Advisory Board</t>
  </si>
  <si>
    <t>Global Internet Ventures, LLC</t>
  </si>
  <si>
    <t>In-Q-Tel, Inc.</t>
  </si>
  <si>
    <t>Kiswe Mobile, Inc.</t>
  </si>
  <si>
    <t>McLeodUSA, LLC</t>
  </si>
  <si>
    <t>2002-2005</t>
  </si>
  <si>
    <t>MeOH Power, Inc.</t>
  </si>
  <si>
    <t>MTI Technology Corporation</t>
  </si>
  <si>
    <t>2002-Unknown</t>
  </si>
  <si>
    <t>Schneider Electric S.E. (ENXTPA:SU)</t>
  </si>
  <si>
    <t>2011-2016</t>
  </si>
  <si>
    <t>Yurie Systems, Inc.</t>
  </si>
  <si>
    <t>1992-Unknown</t>
  </si>
  <si>
    <t>Member of Advisory Board (Prior)</t>
  </si>
  <si>
    <t>Unit Board Member (Prior)</t>
  </si>
  <si>
    <t>Member of the Board of Directors (Prior), Member of Supervisory Board (Prior)</t>
  </si>
  <si>
    <t>Ms. Sun-Uk Kim, Ph.D.</t>
  </si>
  <si>
    <t xml:space="preserve">Universität Konstanz (JD, Administrative Law, 1988;), Ewha Womans University (LLB, 1975; Master's Degree, Public Law, 1977;) </t>
  </si>
  <si>
    <t>National Pension Services</t>
  </si>
  <si>
    <t>SR 2020 Pg 46</t>
  </si>
  <si>
    <t>AR 2020</t>
  </si>
  <si>
    <t>Business Report 2019</t>
  </si>
  <si>
    <t>Business Report 2016</t>
  </si>
  <si>
    <t>Business Report 2018</t>
  </si>
  <si>
    <t>Business Report 2017</t>
  </si>
  <si>
    <t>Lee Jong Jae</t>
  </si>
  <si>
    <t>AR 2020 Pg 4</t>
  </si>
  <si>
    <t>AR 2020 pg 18</t>
  </si>
  <si>
    <t>Deloitte</t>
  </si>
  <si>
    <t>PwC</t>
  </si>
  <si>
    <t>SR 2017 Pg 38</t>
  </si>
  <si>
    <t>SR 2019 Pg 128</t>
  </si>
  <si>
    <t>SR 2020 Pg 120</t>
  </si>
  <si>
    <t xml:space="preserve">G.13.2	</t>
  </si>
  <si>
    <t>G.11.3.1</t>
  </si>
  <si>
    <t>F.2.5</t>
  </si>
  <si>
    <t>Minority treatment</t>
  </si>
  <si>
    <t>Employees</t>
  </si>
  <si>
    <t>Total no. of employees</t>
  </si>
  <si>
    <t>Total no.of employees</t>
  </si>
  <si>
    <t>Factor</t>
  </si>
  <si>
    <t>Shares</t>
  </si>
  <si>
    <t>Production</t>
  </si>
  <si>
    <t>Carbon Emissions</t>
  </si>
  <si>
    <t>Non-carbon emissions</t>
  </si>
  <si>
    <t>Other emissions</t>
  </si>
  <si>
    <t>Waste management</t>
  </si>
  <si>
    <t>Wastage Management</t>
  </si>
  <si>
    <t>Biodiversity</t>
  </si>
  <si>
    <t>Product stewardship</t>
  </si>
  <si>
    <t>Product Stewardship</t>
  </si>
  <si>
    <t>Climate</t>
  </si>
  <si>
    <t>Water usage</t>
  </si>
  <si>
    <t>Regulations</t>
  </si>
  <si>
    <t>Human capital</t>
  </si>
  <si>
    <t>Human rights</t>
  </si>
  <si>
    <t>Human Rights</t>
  </si>
  <si>
    <t>Supply chain</t>
  </si>
  <si>
    <t>Social Opportunity</t>
  </si>
  <si>
    <t>Product availability</t>
  </si>
  <si>
    <t>Product Liability</t>
  </si>
  <si>
    <t>Diversity</t>
  </si>
  <si>
    <t>Social impact</t>
  </si>
  <si>
    <t>Community relations</t>
  </si>
  <si>
    <t>Company profile</t>
  </si>
  <si>
    <t>Owner/ Promoter Profile</t>
  </si>
  <si>
    <t>Governance framework</t>
  </si>
  <si>
    <t>Board assessment</t>
  </si>
  <si>
    <t>Financial Integration</t>
  </si>
  <si>
    <t>Product governance</t>
  </si>
  <si>
    <t>Product Governance</t>
  </si>
  <si>
    <t xml:space="preserve">ESG Reporting </t>
  </si>
  <si>
    <t>Access to Healthcare</t>
  </si>
  <si>
    <t>Business Ethics</t>
  </si>
  <si>
    <t>Data security</t>
  </si>
  <si>
    <t>Bribery &amp; Corruption</t>
  </si>
  <si>
    <t>Remuneration Policies</t>
  </si>
  <si>
    <t>Audit</t>
  </si>
  <si>
    <t>SR 2020 Pg 115</t>
  </si>
  <si>
    <t>SR 2018 Pg 121</t>
  </si>
  <si>
    <t>Business report 2015 pg 171</t>
  </si>
  <si>
    <t>Business report 2016 pg 182</t>
  </si>
  <si>
    <t>SR 2018 Pg 99</t>
  </si>
  <si>
    <t>SR 2019 Pg 108</t>
  </si>
  <si>
    <t>SR 2020 Pg 047</t>
  </si>
  <si>
    <t>Not Reported</t>
  </si>
  <si>
    <t>https://www.capitaliq.com/CIQDotNet/Ownership/CompanySummary.aspx?CompanyId=91868</t>
  </si>
  <si>
    <t>SR 2020 pg 47</t>
  </si>
  <si>
    <t>Fact Set</t>
  </si>
  <si>
    <t>Fact set</t>
  </si>
  <si>
    <t>Business Report 2019 Pg 210</t>
  </si>
  <si>
    <t>SR-2020 Pg 58</t>
  </si>
  <si>
    <t>SR 2020 Pg 86, Previous years Not Reported</t>
  </si>
  <si>
    <t>https://news.samsung.com/global/three-new-projects-spin-off-from-samsung-electronics-c-lab</t>
  </si>
  <si>
    <t>Annual Report</t>
  </si>
  <si>
    <t>Capital IQ</t>
  </si>
  <si>
    <t>Working on Sheet G5</t>
  </si>
  <si>
    <t>SR 2020 Pg 47</t>
  </si>
  <si>
    <t>Sheet G5</t>
  </si>
  <si>
    <t>Business Report 2019 Pg 213</t>
  </si>
  <si>
    <t>Business Report 2016 Pg 195</t>
  </si>
  <si>
    <t>Business Report 2017 Pg 223</t>
  </si>
  <si>
    <t>Business Report 2018 Pg 226</t>
  </si>
  <si>
    <t>SR 2020 Pg 51</t>
  </si>
  <si>
    <t>https://image-us.samsung.com/SamsungUS/samsungbusiness/solutions/industries/government/aljp-2013/2013-iso9001.pdf</t>
  </si>
  <si>
    <t>SR 2020 Pg 107</t>
  </si>
  <si>
    <t>2020 Half Year Business Report Page 155</t>
  </si>
  <si>
    <t>% of Sales</t>
  </si>
  <si>
    <t>Score</t>
  </si>
  <si>
    <t>China</t>
  </si>
  <si>
    <t>US</t>
  </si>
  <si>
    <t>Korea</t>
  </si>
  <si>
    <t>Sheet Regional Corruption</t>
  </si>
  <si>
    <t>SR 2017 Pg 30, 34</t>
  </si>
  <si>
    <t>SR 2017 Pg 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</si>
</sst>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_(* #,##0_);_(* \(#,##0\);_(* &quot;-&quot;??_);_(@_)"/>
    <numFmt numFmtId="165" formatCode="0.0%"/>
    <numFmt numFmtId="166" formatCode="0.0"/>
    <numFmt numFmtId="167" formatCode="0.0000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8"/>
      <color rgb="FF000000"/>
      <name val="Calibri Light"/>
      <family val="2"/>
    </font>
    <font>
      <sz val="8"/>
      <color theme="1"/>
      <name val="Calibri Light"/>
      <family val="2"/>
    </font>
    <font>
      <u/>
      <sz val="11"/>
      <color theme="10"/>
      <name val="Calibri"/>
      <family val="2"/>
      <scheme val="minor"/>
    </font>
    <font>
      <b/>
      <i/>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rgb="FFD9E2F3"/>
      </bottom>
      <diagonal/>
    </border>
    <border>
      <left/>
      <right/>
      <top style="medium">
        <color rgb="FFD9E2F3"/>
      </top>
      <bottom style="medium">
        <color rgb="FFD9E2F3"/>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cellStyleXfs>
  <cellXfs count="62">
    <xf numFmtId="0" fontId="0" fillId="0" borderId="0" xfId="0"/>
    <xf numFmtId="0" fontId="2" fillId="2" borderId="0" xfId="0" applyFont="1" applyFill="1"/>
    <xf numFmtId="0" fontId="2" fillId="3" borderId="1" xfId="0" applyFont="1" applyFill="1" applyBorder="1" applyAlignment="1"/>
    <xf numFmtId="0" fontId="2" fillId="3" borderId="2" xfId="0" applyFont="1" applyFill="1" applyBorder="1" applyAlignment="1"/>
    <xf numFmtId="0" fontId="2" fillId="4" borderId="1" xfId="0" applyFont="1" applyFill="1" applyBorder="1" applyAlignment="1"/>
    <xf numFmtId="0" fontId="2" fillId="4" borderId="2" xfId="0" applyFont="1" applyFill="1" applyBorder="1" applyAlignment="1"/>
    <xf numFmtId="0" fontId="2" fillId="0" borderId="0" xfId="0" applyFont="1" applyFill="1"/>
    <xf numFmtId="0" fontId="0" fillId="0" borderId="0" xfId="0" applyFill="1"/>
    <xf numFmtId="164" fontId="0" fillId="0" borderId="0" xfId="2" applyNumberFormat="1" applyFont="1" applyFill="1"/>
    <xf numFmtId="0" fontId="2" fillId="4" borderId="0" xfId="0" applyFont="1" applyFill="1" applyBorder="1" applyAlignment="1"/>
    <xf numFmtId="0" fontId="0" fillId="0" borderId="0" xfId="0" applyFont="1" applyFill="1"/>
    <xf numFmtId="41" fontId="0" fillId="0" borderId="0" xfId="0" applyNumberFormat="1" applyFill="1" applyAlignment="1">
      <alignment horizontal="right"/>
    </xf>
    <xf numFmtId="43" fontId="0" fillId="0" borderId="0" xfId="2" applyFont="1" applyFill="1"/>
    <xf numFmtId="43" fontId="0" fillId="0" borderId="0" xfId="0" applyNumberFormat="1" applyFill="1"/>
    <xf numFmtId="10" fontId="0" fillId="0" borderId="0" xfId="0" applyNumberFormat="1" applyFill="1"/>
    <xf numFmtId="9" fontId="0" fillId="0" borderId="0" xfId="0" applyNumberFormat="1" applyFill="1"/>
    <xf numFmtId="164" fontId="0" fillId="0" borderId="0" xfId="0" applyNumberFormat="1" applyFill="1"/>
    <xf numFmtId="0" fontId="5" fillId="0" borderId="0" xfId="3" applyFill="1"/>
    <xf numFmtId="0" fontId="3" fillId="0" borderId="3" xfId="0" applyFont="1" applyFill="1" applyBorder="1" applyAlignment="1">
      <alignment horizontal="center" vertical="center"/>
    </xf>
    <xf numFmtId="166" fontId="0" fillId="0" borderId="0" xfId="0" applyNumberFormat="1" applyFill="1"/>
    <xf numFmtId="10" fontId="0" fillId="0" borderId="0" xfId="1" applyNumberFormat="1" applyFont="1" applyFill="1"/>
    <xf numFmtId="10" fontId="3" fillId="0" borderId="4" xfId="0" applyNumberFormat="1" applyFont="1" applyFill="1" applyBorder="1" applyAlignment="1">
      <alignment horizontal="center" vertical="center"/>
    </xf>
    <xf numFmtId="10" fontId="3" fillId="0" borderId="3" xfId="0" applyNumberFormat="1" applyFont="1" applyFill="1" applyBorder="1" applyAlignment="1">
      <alignment horizontal="center" vertical="center"/>
    </xf>
    <xf numFmtId="10" fontId="4" fillId="0" borderId="3" xfId="0" applyNumberFormat="1" applyFont="1" applyFill="1" applyBorder="1" applyAlignment="1">
      <alignment horizontal="center" vertical="center"/>
    </xf>
    <xf numFmtId="10" fontId="3" fillId="0" borderId="0" xfId="0" applyNumberFormat="1" applyFont="1" applyFill="1" applyBorder="1" applyAlignment="1">
      <alignment horizontal="center" vertical="center"/>
    </xf>
    <xf numFmtId="0" fontId="0" fillId="4" borderId="0" xfId="0" applyFill="1"/>
    <xf numFmtId="0" fontId="0" fillId="0" borderId="0" xfId="0" applyFill="1" applyAlignment="1">
      <alignment horizontal="left"/>
    </xf>
    <xf numFmtId="0" fontId="2" fillId="2" borderId="0" xfId="0" applyFont="1" applyFill="1" applyAlignment="1">
      <alignment horizontal="center"/>
    </xf>
    <xf numFmtId="0" fontId="0" fillId="0" borderId="0" xfId="0" applyAlignment="1">
      <alignment horizontal="center"/>
    </xf>
    <xf numFmtId="3" fontId="0" fillId="0" borderId="0" xfId="0" applyNumberFormat="1" applyFill="1"/>
    <xf numFmtId="9" fontId="0" fillId="0" borderId="0" xfId="1" applyFont="1" applyFill="1"/>
    <xf numFmtId="0" fontId="0" fillId="5" borderId="0" xfId="0" applyFill="1"/>
    <xf numFmtId="164" fontId="0" fillId="6" borderId="0" xfId="2" applyNumberFormat="1" applyFont="1" applyFill="1"/>
    <xf numFmtId="165" fontId="0" fillId="6" borderId="0" xfId="1" applyNumberFormat="1" applyFont="1" applyFill="1"/>
    <xf numFmtId="0" fontId="2" fillId="0" borderId="0" xfId="0" applyFont="1"/>
    <xf numFmtId="0" fontId="2" fillId="0" borderId="0" xfId="0" applyFont="1" applyAlignment="1">
      <alignment horizontal="center"/>
    </xf>
    <xf numFmtId="0" fontId="2" fillId="0" borderId="0" xfId="0" applyFont="1" applyAlignment="1">
      <alignment horizontal="left"/>
    </xf>
    <xf numFmtId="0" fontId="6" fillId="0" borderId="0" xfId="0" applyFont="1"/>
    <xf numFmtId="0" fontId="6" fillId="0" borderId="0" xfId="0" applyFont="1" applyAlignment="1">
      <alignment horizontal="center"/>
    </xf>
    <xf numFmtId="167" fontId="0" fillId="0" borderId="0" xfId="0" applyNumberFormat="1"/>
    <xf numFmtId="0" fontId="0" fillId="5" borderId="0" xfId="0" applyFill="1" applyAlignment="1">
      <alignment horizontal="center"/>
    </xf>
    <xf numFmtId="164" fontId="0" fillId="0" borderId="0" xfId="2" applyNumberFormat="1" applyFont="1"/>
    <xf numFmtId="167" fontId="2" fillId="0" borderId="0" xfId="0" applyNumberFormat="1" applyFont="1"/>
    <xf numFmtId="164" fontId="2" fillId="0" borderId="0" xfId="2" applyNumberFormat="1" applyFont="1"/>
    <xf numFmtId="3" fontId="2" fillId="2" borderId="0" xfId="0" applyNumberFormat="1" applyFont="1" applyFill="1"/>
    <xf numFmtId="1" fontId="2" fillId="0" borderId="0" xfId="0" applyNumberFormat="1" applyFont="1" applyAlignment="1">
      <alignment horizontal="center"/>
    </xf>
    <xf numFmtId="0" fontId="0" fillId="0" borderId="0" xfId="0" applyFont="1"/>
    <xf numFmtId="0" fontId="0" fillId="6" borderId="0" xfId="0" applyFill="1"/>
    <xf numFmtId="43" fontId="0" fillId="6" borderId="0" xfId="0" applyNumberFormat="1" applyFill="1"/>
    <xf numFmtId="0" fontId="0" fillId="6" borderId="0" xfId="0" applyFont="1" applyFill="1"/>
    <xf numFmtId="9" fontId="0" fillId="6" borderId="0" xfId="0" applyNumberFormat="1" applyFill="1"/>
    <xf numFmtId="0" fontId="0" fillId="6" borderId="0" xfId="0" applyFill="1" applyBorder="1"/>
    <xf numFmtId="0" fontId="0" fillId="6" borderId="0" xfId="0" applyFont="1" applyFill="1" applyBorder="1"/>
    <xf numFmtId="43" fontId="0" fillId="6" borderId="0" xfId="0" applyNumberFormat="1" applyFill="1" applyBorder="1"/>
    <xf numFmtId="0" fontId="5" fillId="6" borderId="0" xfId="3" applyFill="1" applyBorder="1"/>
    <xf numFmtId="0" fontId="3" fillId="6" borderId="0" xfId="0" applyFont="1" applyFill="1" applyBorder="1" applyAlignment="1">
      <alignment horizontal="center" vertical="center"/>
    </xf>
    <xf numFmtId="10" fontId="0" fillId="0" borderId="0" xfId="0" applyNumberFormat="1"/>
    <xf numFmtId="3" fontId="3" fillId="0" borderId="3" xfId="0" applyNumberFormat="1" applyFont="1" applyFill="1" applyBorder="1" applyAlignment="1">
      <alignment horizontal="center" vertical="center"/>
    </xf>
    <xf numFmtId="164" fontId="0" fillId="0" borderId="0" xfId="0" applyNumberFormat="1"/>
    <xf numFmtId="0" fontId="0" fillId="7" borderId="0" xfId="0" applyFill="1" applyAlignment="1">
      <alignment horizontal="center"/>
    </xf>
    <xf numFmtId="0" fontId="2" fillId="2" borderId="0" xfId="0" applyFont="1" applyFill="1" applyAlignment="1">
      <alignment horizontal="center"/>
    </xf>
    <xf numFmtId="0" fontId="0" fillId="0" borderId="0" xfId="0" applyFill="1" applyAlignment="1">
      <alignment wrapText="1"/>
    </xf>
  </cellXfs>
  <cellStyles count="4">
    <cellStyle name="Comma" xfId="2" builtinId="3"/>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B21BF-24AC-456B-88AA-F4B0B72F4C5B}">
  <dimension ref="B1:AD318"/>
  <sheetViews>
    <sheetView tabSelected="1" zoomScale="67" zoomScaleNormal="115" workbookViewId="0">
      <pane xSplit="4" ySplit="2" topLeftCell="E3" activePane="bottomRight" state="frozen"/>
      <selection pane="topRight" activeCell="D1" sqref="D1"/>
      <selection pane="bottomLeft" activeCell="A3" sqref="A3"/>
      <selection pane="bottomRight" activeCell="T20" sqref="T20"/>
    </sheetView>
  </sheetViews>
  <sheetFormatPr defaultRowHeight="14.4" x14ac:dyDescent="0.3"/>
  <cols>
    <col min="1" max="1" width="1.88671875" style="7" customWidth="1"/>
    <col min="2" max="2" width="9.33203125" bestFit="1" customWidth="1"/>
    <col min="3" max="3" width="9.33203125" style="7" bestFit="1" customWidth="1"/>
    <col min="4" max="4" width="14.88671875" style="7" customWidth="1"/>
    <col min="5" max="5" width="21.5546875" bestFit="1" customWidth="1"/>
    <col min="6" max="6" width="23.109375" style="7" customWidth="1"/>
    <col min="7" max="7" width="27.88671875" style="7" customWidth="1"/>
    <col min="8" max="8" width="15.44140625" style="7" bestFit="1" customWidth="1"/>
    <col min="9" max="9" width="12" style="7" customWidth="1"/>
    <col min="10" max="10" width="5.77734375" style="7" customWidth="1"/>
    <col min="11" max="11" width="12.5546875" style="7" customWidth="1"/>
    <col min="12" max="12" width="5.88671875" style="7" bestFit="1" customWidth="1"/>
    <col min="13" max="13" width="2.88671875" style="7" customWidth="1"/>
    <col min="14" max="14" width="17.6640625" style="7" bestFit="1" customWidth="1"/>
    <col min="15" max="18" width="19.21875" style="7" bestFit="1" customWidth="1"/>
    <col min="19" max="19" width="19.109375" style="7" bestFit="1" customWidth="1"/>
    <col min="20" max="20" width="18.21875" style="7" bestFit="1" customWidth="1"/>
    <col min="21" max="21" width="3.6640625" style="7" customWidth="1"/>
    <col min="22" max="22" width="13.88671875" style="7" customWidth="1"/>
    <col min="23" max="25" width="13.109375" style="7" customWidth="1"/>
    <col min="26" max="26" width="13.33203125" style="7" customWidth="1"/>
    <col min="27" max="27" width="16.77734375" style="7" customWidth="1"/>
    <col min="28" max="28" width="10" style="7" bestFit="1" customWidth="1"/>
    <col min="29" max="29" width="13.88671875" style="7" bestFit="1" customWidth="1"/>
    <col min="30" max="30" width="29.21875" style="7" bestFit="1" customWidth="1"/>
    <col min="31" max="16384" width="8.88671875" style="7"/>
  </cols>
  <sheetData>
    <row r="1" spans="2:30" customFormat="1" x14ac:dyDescent="0.3">
      <c r="D1" s="7" t="s">
        <v>3</v>
      </c>
      <c r="K1" t="s">
        <v>613</v>
      </c>
      <c r="N1" s="4" t="s">
        <v>15</v>
      </c>
      <c r="O1" s="5"/>
      <c r="P1" s="5"/>
      <c r="Q1" s="5"/>
      <c r="R1" s="5"/>
      <c r="S1" s="5"/>
      <c r="T1" s="9"/>
      <c r="V1" s="2" t="s">
        <v>9</v>
      </c>
      <c r="W1" s="3"/>
      <c r="X1" s="3"/>
      <c r="Y1" s="3"/>
      <c r="Z1" s="3"/>
      <c r="AA1" s="3"/>
      <c r="AB1" s="3"/>
      <c r="AC1" s="3"/>
      <c r="AD1" s="3"/>
    </row>
    <row r="2" spans="2:30" customFormat="1" x14ac:dyDescent="0.3">
      <c r="B2" s="1" t="s">
        <v>0</v>
      </c>
      <c r="C2" s="1" t="s">
        <v>0</v>
      </c>
      <c r="D2" s="1" t="s">
        <v>7</v>
      </c>
      <c r="E2" s="1" t="s">
        <v>983</v>
      </c>
      <c r="F2" s="1" t="s">
        <v>6</v>
      </c>
      <c r="G2" s="1" t="s">
        <v>8</v>
      </c>
      <c r="H2" s="1" t="s">
        <v>1</v>
      </c>
      <c r="I2" s="1" t="s">
        <v>2</v>
      </c>
      <c r="J2" s="1" t="s">
        <v>773</v>
      </c>
      <c r="K2" s="1" t="s">
        <v>774</v>
      </c>
      <c r="L2" s="1" t="s">
        <v>65</v>
      </c>
      <c r="M2" s="6"/>
      <c r="N2" s="27">
        <v>2015</v>
      </c>
      <c r="O2" s="27">
        <v>2016</v>
      </c>
      <c r="P2" s="27">
        <v>2017</v>
      </c>
      <c r="Q2" s="27">
        <v>2018</v>
      </c>
      <c r="R2" s="27">
        <v>2019</v>
      </c>
      <c r="S2" s="27">
        <v>2020</v>
      </c>
      <c r="T2" s="27" t="s">
        <v>83</v>
      </c>
      <c r="U2" s="28"/>
      <c r="V2" s="27">
        <v>2015</v>
      </c>
      <c r="W2" s="27">
        <v>2016</v>
      </c>
      <c r="X2" s="27">
        <v>2017</v>
      </c>
      <c r="Y2" s="27">
        <v>2018</v>
      </c>
      <c r="Z2" s="27">
        <v>2019</v>
      </c>
      <c r="AA2" s="27">
        <v>2020</v>
      </c>
      <c r="AB2" s="27" t="s">
        <v>83</v>
      </c>
      <c r="AC2" s="27" t="s">
        <v>10</v>
      </c>
      <c r="AD2" s="27" t="s">
        <v>11</v>
      </c>
    </row>
    <row r="3" spans="2:30" x14ac:dyDescent="0.3">
      <c r="B3" t="s">
        <v>606</v>
      </c>
      <c r="C3" s="7" t="s">
        <v>606</v>
      </c>
      <c r="D3" s="7" t="s">
        <v>66</v>
      </c>
      <c r="E3" t="s">
        <v>610</v>
      </c>
      <c r="F3" s="7" t="s">
        <v>67</v>
      </c>
      <c r="G3" s="7" t="str">
        <f>+F3</f>
        <v>Revenue</v>
      </c>
      <c r="H3" s="7" t="s">
        <v>5</v>
      </c>
      <c r="I3" s="25" t="s">
        <v>743</v>
      </c>
      <c r="J3" s="7" t="s">
        <v>610</v>
      </c>
      <c r="K3" s="25" t="s">
        <v>761</v>
      </c>
      <c r="N3" s="8"/>
      <c r="O3" s="8">
        <f>201866745*10^6</f>
        <v>201866745000000</v>
      </c>
      <c r="P3" s="8">
        <f>239575376*10^6</f>
        <v>239575376000000</v>
      </c>
      <c r="Q3" s="8">
        <f>243771415*10^6</f>
        <v>243771415000000</v>
      </c>
      <c r="R3" s="8">
        <f>230400881*10^6</f>
        <v>230400881000000</v>
      </c>
      <c r="S3" s="8">
        <f>236806988*10^6</f>
        <v>236806988000000</v>
      </c>
      <c r="AA3" s="7" t="s">
        <v>789</v>
      </c>
    </row>
    <row r="4" spans="2:30" x14ac:dyDescent="0.3">
      <c r="B4" t="s">
        <v>668</v>
      </c>
      <c r="C4" s="7" t="s">
        <v>668</v>
      </c>
      <c r="D4" s="7" t="s">
        <v>66</v>
      </c>
      <c r="E4" t="s">
        <v>610</v>
      </c>
      <c r="F4" s="7" t="s">
        <v>669</v>
      </c>
      <c r="G4" s="7" t="str">
        <f>+F4</f>
        <v>Cost of sales</v>
      </c>
      <c r="H4" s="7" t="str">
        <f>+H3</f>
        <v>Numeric</v>
      </c>
      <c r="I4" s="7" t="str">
        <f>+I3</f>
        <v>KRW</v>
      </c>
      <c r="J4" s="7" t="s">
        <v>610</v>
      </c>
      <c r="K4" s="7" t="str">
        <f>K3</f>
        <v>December</v>
      </c>
      <c r="N4" s="8"/>
      <c r="O4" s="8">
        <f>120277715*10^6</f>
        <v>120277715000000</v>
      </c>
      <c r="P4" s="8">
        <f>132394411*10^6</f>
        <v>132394411000000</v>
      </c>
      <c r="Q4" s="8">
        <f>129290661*10^6</f>
        <v>129290661000000</v>
      </c>
      <c r="R4" s="8">
        <f>147239549*10^6</f>
        <v>147239549000000</v>
      </c>
      <c r="S4" s="8">
        <f>144488296*10^6</f>
        <v>144488296000000</v>
      </c>
      <c r="AA4" s="7" t="s">
        <v>789</v>
      </c>
    </row>
    <row r="5" spans="2:30" x14ac:dyDescent="0.3">
      <c r="B5" t="s">
        <v>607</v>
      </c>
      <c r="C5" s="7" t="s">
        <v>607</v>
      </c>
      <c r="D5" s="7" t="s">
        <v>66</v>
      </c>
      <c r="E5" t="s">
        <v>610</v>
      </c>
      <c r="F5" s="7" t="s">
        <v>323</v>
      </c>
      <c r="G5" s="7" t="s">
        <v>323</v>
      </c>
      <c r="H5" s="7" t="s">
        <v>5</v>
      </c>
      <c r="I5" s="7" t="str">
        <f>I3</f>
        <v>KRW</v>
      </c>
      <c r="J5" s="7" t="s">
        <v>610</v>
      </c>
      <c r="K5" s="7" t="str">
        <f>K3</f>
        <v>December</v>
      </c>
      <c r="N5" s="8"/>
      <c r="O5" s="8">
        <f>22726092*10^6</f>
        <v>22726092000000</v>
      </c>
      <c r="P5" s="8">
        <f>42186747*10^6</f>
        <v>42186747000000</v>
      </c>
      <c r="Q5" s="8">
        <f>44344857*10^6</f>
        <v>44344857000000</v>
      </c>
      <c r="R5" s="8">
        <f>21738865*10^6</f>
        <v>21738865000000</v>
      </c>
      <c r="S5" s="8">
        <f>26407832*10^6</f>
        <v>26407832000000</v>
      </c>
      <c r="AA5" s="7" t="s">
        <v>789</v>
      </c>
    </row>
    <row r="6" spans="2:30" x14ac:dyDescent="0.3">
      <c r="B6" t="s">
        <v>694</v>
      </c>
      <c r="C6" s="7" t="s">
        <v>694</v>
      </c>
      <c r="D6" s="7" t="s">
        <v>66</v>
      </c>
      <c r="E6" t="s">
        <v>610</v>
      </c>
      <c r="F6" s="7" t="s">
        <v>693</v>
      </c>
      <c r="G6" s="7" t="str">
        <f>+F6</f>
        <v>Total salary expense</v>
      </c>
      <c r="H6" s="7" t="s">
        <v>5</v>
      </c>
      <c r="I6" s="7" t="str">
        <f>I3</f>
        <v>KRW</v>
      </c>
      <c r="J6" s="7" t="s">
        <v>610</v>
      </c>
      <c r="K6" s="7" t="str">
        <f>K3</f>
        <v>December</v>
      </c>
      <c r="N6" s="8"/>
      <c r="O6" s="8">
        <f>5687494*10^6</f>
        <v>5687494000000</v>
      </c>
      <c r="P6" s="8">
        <f>22727468*10^6</f>
        <v>22727468000000</v>
      </c>
      <c r="Q6" s="8">
        <f>22380595*10^6</f>
        <v>22380595000000</v>
      </c>
      <c r="R6" s="8">
        <f>25054684*10^6</f>
        <v>25054684000000</v>
      </c>
      <c r="S6" s="8">
        <f>22453030*10^6</f>
        <v>22453030000000</v>
      </c>
      <c r="AA6" s="7" t="s">
        <v>788</v>
      </c>
    </row>
    <row r="7" spans="2:30" x14ac:dyDescent="0.3">
      <c r="B7" t="s">
        <v>608</v>
      </c>
      <c r="C7" s="7" t="s">
        <v>608</v>
      </c>
      <c r="D7" s="7" t="s">
        <v>66</v>
      </c>
      <c r="E7" t="s">
        <v>611</v>
      </c>
      <c r="F7" s="7" t="s">
        <v>68</v>
      </c>
      <c r="G7" s="7" t="str">
        <f>+F7</f>
        <v>Total Assets</v>
      </c>
      <c r="H7" s="7" t="s">
        <v>5</v>
      </c>
      <c r="I7" s="7" t="str">
        <f>I3</f>
        <v>KRW</v>
      </c>
      <c r="J7" s="7" t="s">
        <v>611</v>
      </c>
      <c r="K7" s="7" t="str">
        <f>K3</f>
        <v>December</v>
      </c>
      <c r="N7" s="8"/>
      <c r="O7" s="8">
        <f>262174324*10^6</f>
        <v>262174324000000</v>
      </c>
      <c r="P7" s="8">
        <f>301752090*10^6</f>
        <v>301752090000000</v>
      </c>
      <c r="Q7" s="8">
        <f>339357244*10^6</f>
        <v>339357244000000</v>
      </c>
      <c r="R7" s="8">
        <f>352564497*10^6</f>
        <v>352564497000000</v>
      </c>
      <c r="S7" s="8">
        <f>378235718*10^6</f>
        <v>378235718000000</v>
      </c>
      <c r="T7" s="8"/>
      <c r="AA7" s="7" t="s">
        <v>787</v>
      </c>
      <c r="AB7" s="8"/>
    </row>
    <row r="8" spans="2:30" x14ac:dyDescent="0.3">
      <c r="B8" t="s">
        <v>609</v>
      </c>
      <c r="C8" s="7" t="s">
        <v>609</v>
      </c>
      <c r="D8" s="7" t="s">
        <v>66</v>
      </c>
      <c r="E8" t="s">
        <v>611</v>
      </c>
      <c r="F8" s="7" t="s">
        <v>353</v>
      </c>
      <c r="G8" s="7" t="str">
        <f>F8</f>
        <v>Total liabilities</v>
      </c>
      <c r="H8" s="7" t="s">
        <v>5</v>
      </c>
      <c r="I8" s="7" t="str">
        <f>I3</f>
        <v>KRW</v>
      </c>
      <c r="J8" s="7" t="s">
        <v>611</v>
      </c>
      <c r="K8" s="7" t="str">
        <f>K3</f>
        <v>December</v>
      </c>
      <c r="N8" s="8"/>
      <c r="O8" s="8">
        <f>69211291*10^6</f>
        <v>69211291000000</v>
      </c>
      <c r="P8" s="8">
        <f>87260662*10^6</f>
        <v>87260662000000</v>
      </c>
      <c r="Q8" s="8">
        <f>91604067*10^6</f>
        <v>91604067000000</v>
      </c>
      <c r="R8" s="8">
        <f>89684076*10^6</f>
        <v>89684076000000</v>
      </c>
      <c r="S8" s="8">
        <f>102287702*10^6</f>
        <v>102287702000000</v>
      </c>
      <c r="AA8" s="7" t="s">
        <v>786</v>
      </c>
    </row>
    <row r="9" spans="2:30" x14ac:dyDescent="0.3">
      <c r="B9" t="s">
        <v>614</v>
      </c>
      <c r="C9" s="7" t="s">
        <v>614</v>
      </c>
      <c r="D9" s="7" t="s">
        <v>66</v>
      </c>
      <c r="E9" t="s">
        <v>611</v>
      </c>
      <c r="F9" s="7" t="s">
        <v>193</v>
      </c>
      <c r="G9" s="7" t="str">
        <f>F9</f>
        <v>Total equity</v>
      </c>
      <c r="H9" s="7" t="s">
        <v>5</v>
      </c>
      <c r="I9" s="7" t="str">
        <f>I3</f>
        <v>KRW</v>
      </c>
      <c r="J9" s="7" t="s">
        <v>611</v>
      </c>
      <c r="K9" s="7" t="str">
        <f>K3</f>
        <v>December</v>
      </c>
      <c r="N9" s="8"/>
      <c r="O9" s="8">
        <f>192963033*10^6</f>
        <v>192963033000000</v>
      </c>
      <c r="P9" s="8">
        <f>214491428*10^6</f>
        <v>214491428000000</v>
      </c>
      <c r="Q9" s="8">
        <f>247753177*10^6</f>
        <v>247753177000000</v>
      </c>
      <c r="R9" s="8">
        <f>262880421*10^6</f>
        <v>262880421000000</v>
      </c>
      <c r="S9" s="8">
        <f>275948016*10^6</f>
        <v>275948016000000</v>
      </c>
      <c r="AA9" s="7" t="s">
        <v>785</v>
      </c>
    </row>
    <row r="10" spans="2:30" x14ac:dyDescent="0.3">
      <c r="B10" t="s">
        <v>683</v>
      </c>
      <c r="C10" s="7" t="s">
        <v>683</v>
      </c>
      <c r="D10" s="7" t="s">
        <v>66</v>
      </c>
      <c r="E10" t="s">
        <v>984</v>
      </c>
      <c r="F10" s="7" t="s">
        <v>682</v>
      </c>
      <c r="G10" s="7" t="str">
        <f>F10</f>
        <v>Total number of shares</v>
      </c>
      <c r="H10" s="7" t="s">
        <v>5</v>
      </c>
      <c r="N10" s="8"/>
      <c r="O10" s="8">
        <f t="shared" ref="O10:Q10" si="0">5969782550+822886700</f>
        <v>6792669250</v>
      </c>
      <c r="P10" s="8">
        <f t="shared" si="0"/>
        <v>6792669250</v>
      </c>
      <c r="Q10" s="8">
        <f t="shared" si="0"/>
        <v>6792669250</v>
      </c>
      <c r="R10" s="8">
        <f>5969782550+822886700</f>
        <v>6792669250</v>
      </c>
      <c r="S10" s="8">
        <f>5969782550+822886700</f>
        <v>6792669250</v>
      </c>
      <c r="AA10" s="7" t="s">
        <v>784</v>
      </c>
    </row>
    <row r="11" spans="2:30" x14ac:dyDescent="0.3">
      <c r="B11" t="s">
        <v>684</v>
      </c>
      <c r="C11" s="7" t="s">
        <v>684</v>
      </c>
      <c r="D11" s="7" t="s">
        <v>66</v>
      </c>
      <c r="E11" t="s">
        <v>685</v>
      </c>
      <c r="F11" s="7" t="s">
        <v>685</v>
      </c>
      <c r="H11" s="7" t="s">
        <v>5</v>
      </c>
      <c r="I11" s="7" t="str">
        <f>I3</f>
        <v>KRW</v>
      </c>
      <c r="J11" s="7" t="s">
        <v>611</v>
      </c>
      <c r="K11" s="7" t="str">
        <f>K3</f>
        <v>December</v>
      </c>
      <c r="N11" s="8"/>
      <c r="O11" s="8"/>
      <c r="P11" s="8"/>
      <c r="Q11" s="8"/>
      <c r="R11" s="8"/>
      <c r="S11" s="8"/>
    </row>
    <row r="12" spans="2:30" x14ac:dyDescent="0.3">
      <c r="B12" t="s">
        <v>615</v>
      </c>
      <c r="C12" s="7" t="s">
        <v>615</v>
      </c>
      <c r="D12" s="7" t="s">
        <v>66</v>
      </c>
      <c r="E12" t="s">
        <v>985</v>
      </c>
      <c r="F12" s="7" t="s">
        <v>69</v>
      </c>
      <c r="G12" s="7" t="str">
        <f>+F12</f>
        <v>Production Volume</v>
      </c>
      <c r="H12" s="7" t="s">
        <v>5</v>
      </c>
      <c r="I12" s="26" t="s">
        <v>612</v>
      </c>
      <c r="N12" s="11"/>
      <c r="O12" s="11"/>
      <c r="P12" s="11"/>
      <c r="Q12" s="11"/>
      <c r="R12" s="11"/>
      <c r="S12" s="11"/>
    </row>
    <row r="13" spans="2:30" x14ac:dyDescent="0.3">
      <c r="B13" t="s">
        <v>616</v>
      </c>
      <c r="C13" s="7" t="s">
        <v>616</v>
      </c>
      <c r="D13" s="7" t="s">
        <v>12</v>
      </c>
      <c r="E13" t="s">
        <v>986</v>
      </c>
      <c r="F13" s="7" t="s">
        <v>13</v>
      </c>
      <c r="G13" s="7" t="str">
        <f>+F13</f>
        <v>Carbon Emissions Scope 1</v>
      </c>
      <c r="H13" s="7" t="s">
        <v>5</v>
      </c>
      <c r="I13" s="26" t="s">
        <v>612</v>
      </c>
      <c r="L13" s="7">
        <v>10</v>
      </c>
      <c r="N13" s="29">
        <v>2445000</v>
      </c>
      <c r="O13" s="29">
        <v>2554000</v>
      </c>
      <c r="P13" s="29">
        <v>3668000</v>
      </c>
      <c r="Q13" s="29">
        <v>4855000</v>
      </c>
      <c r="R13" s="29">
        <v>5067000</v>
      </c>
      <c r="S13" s="29"/>
      <c r="V13" s="7" t="s">
        <v>790</v>
      </c>
      <c r="W13" s="7" t="s">
        <v>806</v>
      </c>
    </row>
    <row r="14" spans="2:30" x14ac:dyDescent="0.3">
      <c r="B14" t="s">
        <v>617</v>
      </c>
      <c r="C14" s="7" t="s">
        <v>617</v>
      </c>
      <c r="D14" s="7" t="s">
        <v>12</v>
      </c>
      <c r="E14" t="s">
        <v>986</v>
      </c>
      <c r="F14" s="7" t="s">
        <v>16</v>
      </c>
      <c r="G14" s="7" t="str">
        <f>F14</f>
        <v>Carbon Emissions Scope 2</v>
      </c>
      <c r="H14" s="7" t="s">
        <v>5</v>
      </c>
      <c r="I14" s="26" t="s">
        <v>612</v>
      </c>
      <c r="L14" s="7">
        <v>10</v>
      </c>
      <c r="N14" s="29">
        <v>7747000</v>
      </c>
      <c r="O14" s="29">
        <v>9046000</v>
      </c>
      <c r="P14" s="29">
        <v>9907000</v>
      </c>
      <c r="Q14" s="29">
        <v>10296000</v>
      </c>
      <c r="R14" s="29">
        <v>8733000</v>
      </c>
      <c r="S14" s="29"/>
      <c r="V14" s="7" t="s">
        <v>790</v>
      </c>
      <c r="W14" s="7" t="s">
        <v>806</v>
      </c>
    </row>
    <row r="15" spans="2:30" x14ac:dyDescent="0.3">
      <c r="B15" t="s">
        <v>618</v>
      </c>
      <c r="C15" s="7" t="s">
        <v>618</v>
      </c>
      <c r="D15" s="7" t="s">
        <v>12</v>
      </c>
      <c r="E15" t="s">
        <v>986</v>
      </c>
      <c r="F15" s="7" t="s">
        <v>64</v>
      </c>
      <c r="G15" s="7" t="str">
        <f>F15</f>
        <v>Carbon Emissions Scope 3</v>
      </c>
      <c r="H15" s="7" t="s">
        <v>5</v>
      </c>
      <c r="I15" s="26" t="s">
        <v>612</v>
      </c>
      <c r="L15" s="7">
        <v>10</v>
      </c>
      <c r="N15" s="7">
        <v>18528000</v>
      </c>
      <c r="O15" s="29">
        <v>13975000</v>
      </c>
      <c r="P15" s="29">
        <v>14782000</v>
      </c>
      <c r="Q15" s="29">
        <v>15908000</v>
      </c>
      <c r="R15" s="29">
        <f>16607*1000</f>
        <v>16607000</v>
      </c>
      <c r="S15" s="29"/>
      <c r="V15" s="7" t="s">
        <v>973</v>
      </c>
      <c r="W15" s="7" t="s">
        <v>974</v>
      </c>
      <c r="X15" s="7" t="s">
        <v>974</v>
      </c>
      <c r="Y15" s="7" t="s">
        <v>974</v>
      </c>
      <c r="Z15" s="7" t="s">
        <v>975</v>
      </c>
    </row>
    <row r="16" spans="2:30" x14ac:dyDescent="0.3">
      <c r="B16" t="s">
        <v>619</v>
      </c>
      <c r="C16" s="7" t="s">
        <v>619</v>
      </c>
      <c r="D16" s="7" t="s">
        <v>12</v>
      </c>
      <c r="E16" t="s">
        <v>986</v>
      </c>
      <c r="F16" s="7" t="s">
        <v>70</v>
      </c>
      <c r="G16" s="7" t="str">
        <f>F16</f>
        <v>Carbon footprint and intensity trend</v>
      </c>
      <c r="H16" s="7" t="s">
        <v>5</v>
      </c>
      <c r="I16" s="26" t="s">
        <v>612</v>
      </c>
      <c r="L16" s="7">
        <v>10</v>
      </c>
      <c r="N16" s="29">
        <v>10192000</v>
      </c>
      <c r="O16" s="8">
        <v>11600000</v>
      </c>
      <c r="P16" s="12">
        <v>13575000</v>
      </c>
      <c r="Q16" s="12">
        <v>15151000</v>
      </c>
      <c r="R16" s="12">
        <v>13800000</v>
      </c>
      <c r="S16" s="12"/>
      <c r="V16" s="7" t="s">
        <v>790</v>
      </c>
      <c r="W16" s="7" t="s">
        <v>806</v>
      </c>
      <c r="Z16" s="7" t="s">
        <v>808</v>
      </c>
    </row>
    <row r="17" spans="2:28" x14ac:dyDescent="0.3">
      <c r="B17" t="s">
        <v>359</v>
      </c>
      <c r="C17" s="7" t="s">
        <v>359</v>
      </c>
      <c r="D17" s="7" t="s">
        <v>12</v>
      </c>
      <c r="E17" t="s">
        <v>986</v>
      </c>
      <c r="F17" s="7" t="s">
        <v>17</v>
      </c>
      <c r="G17" s="7" t="s">
        <v>18</v>
      </c>
      <c r="I17" s="7" t="s">
        <v>3</v>
      </c>
      <c r="L17" s="7">
        <v>1</v>
      </c>
      <c r="O17" s="13"/>
      <c r="T17" s="7" t="s">
        <v>762</v>
      </c>
      <c r="AB17" s="7" t="s">
        <v>792</v>
      </c>
    </row>
    <row r="18" spans="2:28" x14ac:dyDescent="0.3">
      <c r="B18" t="s">
        <v>360</v>
      </c>
      <c r="C18" s="7" t="s">
        <v>360</v>
      </c>
      <c r="D18" s="7" t="s">
        <v>12</v>
      </c>
      <c r="E18" t="s">
        <v>986</v>
      </c>
      <c r="F18" s="7" t="s">
        <v>17</v>
      </c>
      <c r="G18" s="7" t="s">
        <v>20</v>
      </c>
      <c r="I18" s="7" t="s">
        <v>3</v>
      </c>
      <c r="L18" s="7">
        <v>1</v>
      </c>
      <c r="O18" s="13"/>
      <c r="T18" s="7" t="s">
        <v>762</v>
      </c>
      <c r="AB18" s="7" t="s">
        <v>792</v>
      </c>
    </row>
    <row r="19" spans="2:28" x14ac:dyDescent="0.3">
      <c r="B19" t="s">
        <v>361</v>
      </c>
      <c r="C19" s="7" t="s">
        <v>361</v>
      </c>
      <c r="D19" s="7" t="s">
        <v>12</v>
      </c>
      <c r="E19" t="s">
        <v>986</v>
      </c>
      <c r="F19" s="7" t="s">
        <v>21</v>
      </c>
      <c r="G19" s="7" t="s">
        <v>22</v>
      </c>
      <c r="H19" s="7" t="s">
        <v>214</v>
      </c>
      <c r="I19" s="7" t="s">
        <v>3</v>
      </c>
      <c r="L19" s="7">
        <v>1</v>
      </c>
      <c r="O19" s="13"/>
      <c r="T19" s="7" t="s">
        <v>762</v>
      </c>
      <c r="AB19" s="7" t="s">
        <v>793</v>
      </c>
    </row>
    <row r="20" spans="2:28" x14ac:dyDescent="0.3">
      <c r="B20" t="s">
        <v>522</v>
      </c>
      <c r="C20" s="7" t="s">
        <v>522</v>
      </c>
      <c r="D20" s="7" t="s">
        <v>12</v>
      </c>
      <c r="E20" t="s">
        <v>986</v>
      </c>
      <c r="F20" s="7" t="s">
        <v>21</v>
      </c>
      <c r="G20" s="7" t="s">
        <v>628</v>
      </c>
      <c r="H20" s="7" t="s">
        <v>5</v>
      </c>
      <c r="I20" s="7" t="s">
        <v>4</v>
      </c>
      <c r="L20" s="7">
        <v>1</v>
      </c>
      <c r="T20" s="20">
        <f>R16/Q16-1</f>
        <v>-8.9169031747079353E-2</v>
      </c>
    </row>
    <row r="21" spans="2:28" x14ac:dyDescent="0.3">
      <c r="B21" t="s">
        <v>620</v>
      </c>
      <c r="C21" s="7" t="s">
        <v>620</v>
      </c>
      <c r="D21" s="7" t="s">
        <v>12</v>
      </c>
      <c r="E21" t="s">
        <v>986</v>
      </c>
      <c r="F21" s="7" t="s">
        <v>354</v>
      </c>
      <c r="G21" s="7" t="str">
        <f>+F21</f>
        <v>Solid fossil fuel sector exposure</v>
      </c>
      <c r="L21" s="7">
        <v>1</v>
      </c>
      <c r="T21" s="7">
        <v>0</v>
      </c>
    </row>
    <row r="22" spans="2:28" x14ac:dyDescent="0.3">
      <c r="B22" t="s">
        <v>621</v>
      </c>
      <c r="C22" s="7" t="s">
        <v>621</v>
      </c>
      <c r="D22" s="7" t="s">
        <v>12</v>
      </c>
      <c r="E22" t="s">
        <v>987</v>
      </c>
      <c r="F22" s="7" t="s">
        <v>23</v>
      </c>
      <c r="G22" s="7" t="str">
        <f t="shared" ref="G22:G33" si="1">F22</f>
        <v>Inorganic pollutants</v>
      </c>
      <c r="H22" s="7" t="s">
        <v>5</v>
      </c>
      <c r="I22" s="7" t="s">
        <v>14</v>
      </c>
      <c r="L22" s="7">
        <v>1</v>
      </c>
      <c r="T22" s="7">
        <v>0</v>
      </c>
    </row>
    <row r="23" spans="2:28" x14ac:dyDescent="0.3">
      <c r="B23" t="s">
        <v>622</v>
      </c>
      <c r="C23" s="7" t="s">
        <v>622</v>
      </c>
      <c r="D23" s="7" t="s">
        <v>12</v>
      </c>
      <c r="E23" t="s">
        <v>987</v>
      </c>
      <c r="F23" s="7" t="s">
        <v>24</v>
      </c>
      <c r="G23" s="7" t="str">
        <f t="shared" si="1"/>
        <v>Air pollutants</v>
      </c>
      <c r="H23" s="7" t="s">
        <v>5</v>
      </c>
      <c r="I23" s="7" t="s">
        <v>14</v>
      </c>
      <c r="L23" s="7">
        <v>1</v>
      </c>
      <c r="N23" s="7">
        <v>1222</v>
      </c>
      <c r="O23" s="7">
        <v>2062</v>
      </c>
      <c r="P23" s="7">
        <v>1311</v>
      </c>
      <c r="Q23" s="7">
        <v>1060</v>
      </c>
      <c r="R23" s="7">
        <v>974</v>
      </c>
    </row>
    <row r="24" spans="2:28" x14ac:dyDescent="0.3">
      <c r="B24" t="s">
        <v>623</v>
      </c>
      <c r="C24" s="7" t="s">
        <v>623</v>
      </c>
      <c r="D24" s="7" t="s">
        <v>12</v>
      </c>
      <c r="E24" t="s">
        <v>987</v>
      </c>
      <c r="F24" s="7" t="s">
        <v>25</v>
      </c>
      <c r="G24" s="7" t="str">
        <f t="shared" si="1"/>
        <v>NO'x emissions</v>
      </c>
      <c r="H24" s="7" t="s">
        <v>5</v>
      </c>
      <c r="I24" s="7" t="s">
        <v>14</v>
      </c>
      <c r="L24" s="7">
        <v>1</v>
      </c>
      <c r="N24" s="7">
        <v>642</v>
      </c>
      <c r="O24" s="7">
        <v>635</v>
      </c>
      <c r="P24" s="7">
        <v>685</v>
      </c>
      <c r="Q24" s="7">
        <v>616</v>
      </c>
      <c r="R24" s="7">
        <v>661</v>
      </c>
    </row>
    <row r="25" spans="2:28" x14ac:dyDescent="0.3">
      <c r="B25" t="s">
        <v>624</v>
      </c>
      <c r="C25" s="7" t="s">
        <v>624</v>
      </c>
      <c r="D25" s="7" t="s">
        <v>12</v>
      </c>
      <c r="E25" t="s">
        <v>987</v>
      </c>
      <c r="F25" s="7" t="s">
        <v>26</v>
      </c>
      <c r="G25" s="7" t="str">
        <f t="shared" si="1"/>
        <v>SO'x emissions</v>
      </c>
      <c r="H25" s="7" t="s">
        <v>5</v>
      </c>
      <c r="I25" s="7" t="s">
        <v>14</v>
      </c>
      <c r="L25" s="7">
        <v>1</v>
      </c>
      <c r="N25" s="7">
        <v>117</v>
      </c>
      <c r="O25" s="7">
        <v>196</v>
      </c>
      <c r="P25" s="7">
        <v>69</v>
      </c>
      <c r="Q25" s="7">
        <v>55</v>
      </c>
      <c r="R25" s="7">
        <v>13</v>
      </c>
    </row>
    <row r="26" spans="2:28" x14ac:dyDescent="0.3">
      <c r="B26" t="s">
        <v>625</v>
      </c>
      <c r="C26" s="7" t="s">
        <v>625</v>
      </c>
      <c r="D26" s="7" t="s">
        <v>12</v>
      </c>
      <c r="E26" t="s">
        <v>987</v>
      </c>
      <c r="F26" s="7" t="s">
        <v>71</v>
      </c>
      <c r="G26" s="7" t="str">
        <f>F26</f>
        <v>Ozone depletion substances</v>
      </c>
      <c r="H26" s="7" t="s">
        <v>5</v>
      </c>
      <c r="I26" s="7" t="s">
        <v>14</v>
      </c>
      <c r="L26" s="7">
        <v>1</v>
      </c>
      <c r="N26" s="7">
        <v>13</v>
      </c>
      <c r="O26" s="7">
        <v>5</v>
      </c>
      <c r="P26" s="7">
        <v>3</v>
      </c>
      <c r="Q26" s="7">
        <v>2</v>
      </c>
      <c r="R26" s="7">
        <v>2</v>
      </c>
      <c r="W26" s="7" t="s">
        <v>807</v>
      </c>
      <c r="X26" s="7" t="s">
        <v>809</v>
      </c>
      <c r="Y26" s="7" t="s">
        <v>809</v>
      </c>
      <c r="Z26" s="7" t="s">
        <v>809</v>
      </c>
    </row>
    <row r="27" spans="2:28" x14ac:dyDescent="0.3">
      <c r="B27" t="s">
        <v>626</v>
      </c>
      <c r="C27" s="7" t="s">
        <v>626</v>
      </c>
      <c r="D27" s="7" t="s">
        <v>12</v>
      </c>
      <c r="E27" t="s">
        <v>988</v>
      </c>
      <c r="F27" s="7" t="s">
        <v>27</v>
      </c>
      <c r="G27" s="7" t="str">
        <f t="shared" si="1"/>
        <v>Business travel</v>
      </c>
      <c r="H27" s="7" t="s">
        <v>5</v>
      </c>
      <c r="I27" s="7" t="s">
        <v>14</v>
      </c>
      <c r="L27" s="7">
        <v>1</v>
      </c>
      <c r="N27" s="8">
        <f>104050+3091+344+347+185</f>
        <v>108017</v>
      </c>
      <c r="O27" s="8">
        <v>87000</v>
      </c>
      <c r="P27" s="12">
        <v>7625000</v>
      </c>
      <c r="Q27" s="12">
        <v>7846000</v>
      </c>
      <c r="R27" s="7">
        <v>8223000</v>
      </c>
      <c r="X27" s="7" t="s">
        <v>810</v>
      </c>
      <c r="Y27" s="7" t="s">
        <v>810</v>
      </c>
      <c r="Z27" s="7" t="s">
        <v>810</v>
      </c>
    </row>
    <row r="28" spans="2:28" x14ac:dyDescent="0.3">
      <c r="B28" t="s">
        <v>627</v>
      </c>
      <c r="C28" s="7" t="s">
        <v>627</v>
      </c>
      <c r="D28" s="7" t="s">
        <v>12</v>
      </c>
      <c r="E28" t="s">
        <v>988</v>
      </c>
      <c r="F28" s="7" t="s">
        <v>28</v>
      </c>
      <c r="G28" s="7" t="str">
        <f t="shared" si="1"/>
        <v>Employee commute</v>
      </c>
      <c r="H28" s="7" t="s">
        <v>5</v>
      </c>
      <c r="I28" s="7" t="s">
        <v>14</v>
      </c>
      <c r="L28" s="7">
        <v>1</v>
      </c>
      <c r="P28" s="12"/>
      <c r="Q28" s="12"/>
    </row>
    <row r="29" spans="2:28" x14ac:dyDescent="0.3">
      <c r="B29" t="s">
        <v>695</v>
      </c>
      <c r="C29" s="7" t="s">
        <v>695</v>
      </c>
      <c r="D29" s="7" t="s">
        <v>12</v>
      </c>
      <c r="E29" t="s">
        <v>988</v>
      </c>
      <c r="F29" s="7" t="s">
        <v>29</v>
      </c>
      <c r="G29" s="7" t="str">
        <f t="shared" si="1"/>
        <v>Usage of company products</v>
      </c>
      <c r="H29" s="7" t="s">
        <v>5</v>
      </c>
      <c r="I29" s="7" t="s">
        <v>14</v>
      </c>
      <c r="L29" s="7">
        <v>1</v>
      </c>
    </row>
    <row r="30" spans="2:28" x14ac:dyDescent="0.3">
      <c r="B30" t="s">
        <v>696</v>
      </c>
      <c r="C30" s="7" t="s">
        <v>696</v>
      </c>
      <c r="D30" s="7" t="s">
        <v>12</v>
      </c>
      <c r="E30" t="s">
        <v>988</v>
      </c>
      <c r="F30" s="7" t="s">
        <v>30</v>
      </c>
      <c r="G30" s="7" t="str">
        <f t="shared" si="1"/>
        <v>Transportation and distribution</v>
      </c>
      <c r="H30" s="7" t="s">
        <v>5</v>
      </c>
      <c r="I30" s="7" t="s">
        <v>14</v>
      </c>
      <c r="L30" s="7">
        <v>1</v>
      </c>
      <c r="N30" s="8">
        <v>10478000</v>
      </c>
      <c r="O30" s="8">
        <f>7562*1000</f>
        <v>7562000</v>
      </c>
      <c r="P30" s="8">
        <v>7038000</v>
      </c>
      <c r="Q30" s="8">
        <v>7952000</v>
      </c>
      <c r="R30" s="8">
        <v>8278000</v>
      </c>
    </row>
    <row r="31" spans="2:28" x14ac:dyDescent="0.3">
      <c r="B31" t="s">
        <v>523</v>
      </c>
      <c r="C31" s="7" t="s">
        <v>523</v>
      </c>
      <c r="D31" s="7" t="s">
        <v>12</v>
      </c>
      <c r="E31" t="s">
        <v>31</v>
      </c>
      <c r="F31" s="7" t="s">
        <v>32</v>
      </c>
      <c r="G31" s="7" t="s">
        <v>31</v>
      </c>
      <c r="H31" s="7" t="s">
        <v>5</v>
      </c>
      <c r="I31" s="7" t="s">
        <v>46</v>
      </c>
      <c r="L31" s="7">
        <v>10</v>
      </c>
      <c r="N31" s="8">
        <f>92.06*1000</f>
        <v>92060</v>
      </c>
      <c r="O31" s="8">
        <f>181.77*1000</f>
        <v>181770</v>
      </c>
      <c r="P31" s="8">
        <f>229*1000</f>
        <v>229000</v>
      </c>
      <c r="Q31" s="8">
        <f>1356*1000</f>
        <v>1356000</v>
      </c>
      <c r="R31" s="8">
        <f>3220*1000</f>
        <v>3220000</v>
      </c>
      <c r="W31" s="7" t="s">
        <v>806</v>
      </c>
      <c r="X31" s="7" t="s">
        <v>810</v>
      </c>
      <c r="Y31" s="7" t="s">
        <v>810</v>
      </c>
      <c r="Z31" s="7" t="s">
        <v>810</v>
      </c>
    </row>
    <row r="32" spans="2:28" x14ac:dyDescent="0.3">
      <c r="B32" t="s">
        <v>524</v>
      </c>
      <c r="C32" s="7" t="s">
        <v>524</v>
      </c>
      <c r="D32" s="7" t="s">
        <v>12</v>
      </c>
      <c r="E32" t="s">
        <v>31</v>
      </c>
      <c r="F32" s="7" t="s">
        <v>32</v>
      </c>
      <c r="G32" s="7" t="s">
        <v>533</v>
      </c>
      <c r="H32" s="7" t="s">
        <v>5</v>
      </c>
      <c r="I32" s="7" t="s">
        <v>4</v>
      </c>
      <c r="L32" s="7">
        <v>10</v>
      </c>
      <c r="N32" s="30">
        <f t="shared" ref="N32:R32" si="2">+N31/N52</f>
        <v>4.7263579422938701E-3</v>
      </c>
      <c r="O32" s="30">
        <f>+O31/O52</f>
        <v>8.6257296066056099E-3</v>
      </c>
      <c r="P32" s="30">
        <f t="shared" si="2"/>
        <v>9.7783850719501252E-3</v>
      </c>
      <c r="Q32" s="30">
        <f t="shared" si="2"/>
        <v>5.2097740894421395E-2</v>
      </c>
      <c r="R32" s="30">
        <f t="shared" si="2"/>
        <v>0.11970705230677721</v>
      </c>
    </row>
    <row r="33" spans="2:28" x14ac:dyDescent="0.3">
      <c r="B33" t="s">
        <v>697</v>
      </c>
      <c r="C33" s="7" t="s">
        <v>697</v>
      </c>
      <c r="D33" s="7" t="s">
        <v>12</v>
      </c>
      <c r="E33" t="s">
        <v>31</v>
      </c>
      <c r="F33" s="7" t="s">
        <v>72</v>
      </c>
      <c r="G33" s="7" t="str">
        <f t="shared" si="1"/>
        <v>Alternate fuels</v>
      </c>
      <c r="H33" s="7" t="s">
        <v>5</v>
      </c>
      <c r="I33" s="7" t="s">
        <v>14</v>
      </c>
      <c r="L33" s="7">
        <v>1</v>
      </c>
    </row>
    <row r="34" spans="2:28" x14ac:dyDescent="0.3">
      <c r="B34" t="s">
        <v>698</v>
      </c>
      <c r="C34" s="7" t="s">
        <v>698</v>
      </c>
      <c r="D34" s="7" t="s">
        <v>12</v>
      </c>
      <c r="E34" t="s">
        <v>31</v>
      </c>
      <c r="F34" s="7" t="s">
        <v>60</v>
      </c>
      <c r="G34" s="7" t="s">
        <v>62</v>
      </c>
      <c r="H34" s="7" t="s">
        <v>5</v>
      </c>
      <c r="I34" s="7" t="s">
        <v>14</v>
      </c>
      <c r="L34" s="7">
        <v>10</v>
      </c>
    </row>
    <row r="35" spans="2:28" x14ac:dyDescent="0.3">
      <c r="B35" t="s">
        <v>699</v>
      </c>
      <c r="C35" s="7" t="s">
        <v>699</v>
      </c>
      <c r="D35" s="7" t="s">
        <v>12</v>
      </c>
      <c r="E35" t="s">
        <v>31</v>
      </c>
      <c r="F35" s="7" t="s">
        <v>61</v>
      </c>
      <c r="G35" s="7" t="str">
        <f>+F35</f>
        <v>Product impact on renewables</v>
      </c>
      <c r="H35" s="7" t="s">
        <v>63</v>
      </c>
      <c r="I35" s="7" t="s">
        <v>629</v>
      </c>
      <c r="L35" s="7">
        <v>1</v>
      </c>
      <c r="O35" s="13"/>
      <c r="T35" s="7" t="s">
        <v>767</v>
      </c>
    </row>
    <row r="36" spans="2:28" x14ac:dyDescent="0.3">
      <c r="B36" t="s">
        <v>362</v>
      </c>
      <c r="C36" s="7" t="s">
        <v>362</v>
      </c>
      <c r="D36" s="7" t="s">
        <v>12</v>
      </c>
      <c r="E36" t="s">
        <v>31</v>
      </c>
      <c r="F36" s="7" t="s">
        <v>33</v>
      </c>
      <c r="G36" s="7" t="s">
        <v>34</v>
      </c>
      <c r="H36" s="7" t="s">
        <v>631</v>
      </c>
      <c r="I36" s="7" t="s">
        <v>3</v>
      </c>
      <c r="L36" s="7">
        <v>1</v>
      </c>
      <c r="O36" s="13"/>
      <c r="T36" s="7" t="s">
        <v>762</v>
      </c>
      <c r="AB36" s="7" t="s">
        <v>791</v>
      </c>
    </row>
    <row r="37" spans="2:28" x14ac:dyDescent="0.3">
      <c r="B37" t="s">
        <v>630</v>
      </c>
      <c r="C37" s="31" t="s">
        <v>630</v>
      </c>
      <c r="D37" s="7" t="s">
        <v>12</v>
      </c>
      <c r="E37" t="s">
        <v>31</v>
      </c>
      <c r="F37" s="7" t="s">
        <v>33</v>
      </c>
      <c r="G37" s="7" t="s">
        <v>35</v>
      </c>
      <c r="H37" s="7" t="s">
        <v>5</v>
      </c>
      <c r="I37" s="7" t="s">
        <v>14</v>
      </c>
      <c r="L37" s="7">
        <v>1</v>
      </c>
      <c r="N37" s="8">
        <v>14398</v>
      </c>
      <c r="O37" s="8"/>
      <c r="P37" s="8"/>
      <c r="Q37" s="8"/>
      <c r="R37" s="8"/>
      <c r="T37" s="7" t="s">
        <v>763</v>
      </c>
    </row>
    <row r="38" spans="2:28" x14ac:dyDescent="0.3">
      <c r="B38" t="s">
        <v>363</v>
      </c>
      <c r="C38" s="7" t="s">
        <v>363</v>
      </c>
      <c r="D38" s="7" t="s">
        <v>12</v>
      </c>
      <c r="E38" t="s">
        <v>989</v>
      </c>
      <c r="F38" s="7" t="s">
        <v>36</v>
      </c>
      <c r="G38" s="7" t="s">
        <v>37</v>
      </c>
      <c r="H38" s="7" t="s">
        <v>5</v>
      </c>
      <c r="I38" s="7" t="s">
        <v>14</v>
      </c>
      <c r="L38" s="7">
        <v>10</v>
      </c>
      <c r="N38" s="8">
        <v>937341</v>
      </c>
      <c r="O38" s="8">
        <v>1078309</v>
      </c>
      <c r="P38" s="8">
        <v>1146812</v>
      </c>
      <c r="Q38" s="8">
        <v>1210521</v>
      </c>
      <c r="R38" s="8">
        <v>1099197</v>
      </c>
      <c r="W38" s="7" t="s">
        <v>807</v>
      </c>
      <c r="X38" s="7" t="s">
        <v>809</v>
      </c>
      <c r="Y38" s="7" t="s">
        <v>809</v>
      </c>
      <c r="Z38" s="7" t="s">
        <v>809</v>
      </c>
    </row>
    <row r="39" spans="2:28" x14ac:dyDescent="0.3">
      <c r="B39" t="s">
        <v>364</v>
      </c>
      <c r="C39" s="7" t="s">
        <v>364</v>
      </c>
      <c r="D39" s="7" t="s">
        <v>12</v>
      </c>
      <c r="E39" t="s">
        <v>989</v>
      </c>
      <c r="F39" s="7" t="s">
        <v>36</v>
      </c>
      <c r="G39" s="7" t="s">
        <v>38</v>
      </c>
      <c r="H39" s="7" t="s">
        <v>5</v>
      </c>
      <c r="I39" s="7" t="s">
        <v>4</v>
      </c>
      <c r="L39" s="7">
        <v>10</v>
      </c>
      <c r="N39" s="15">
        <v>0.93</v>
      </c>
      <c r="O39" s="15">
        <v>0.95</v>
      </c>
      <c r="P39" s="15">
        <v>0.95</v>
      </c>
      <c r="Q39" s="15">
        <v>0.96</v>
      </c>
      <c r="R39" s="15">
        <v>0.95</v>
      </c>
      <c r="X39" s="7" t="s">
        <v>809</v>
      </c>
      <c r="Y39" s="7" t="s">
        <v>809</v>
      </c>
      <c r="Z39" s="7" t="s">
        <v>809</v>
      </c>
    </row>
    <row r="40" spans="2:28" x14ac:dyDescent="0.3">
      <c r="B40" t="s">
        <v>700</v>
      </c>
      <c r="C40" s="7" t="s">
        <v>700</v>
      </c>
      <c r="D40" s="7" t="s">
        <v>12</v>
      </c>
      <c r="E40" t="s">
        <v>990</v>
      </c>
      <c r="F40" s="7" t="s">
        <v>324</v>
      </c>
      <c r="G40" s="7" t="s">
        <v>632</v>
      </c>
      <c r="H40" s="7" t="s">
        <v>5</v>
      </c>
      <c r="L40" s="7">
        <v>0</v>
      </c>
    </row>
    <row r="41" spans="2:28" x14ac:dyDescent="0.3">
      <c r="B41" t="s">
        <v>526</v>
      </c>
      <c r="C41" s="7" t="s">
        <v>526</v>
      </c>
      <c r="D41" s="7" t="s">
        <v>12</v>
      </c>
      <c r="E41" t="s">
        <v>990</v>
      </c>
      <c r="F41" s="7" t="s">
        <v>325</v>
      </c>
      <c r="G41" s="7" t="s">
        <v>532</v>
      </c>
      <c r="H41" s="7" t="s">
        <v>530</v>
      </c>
      <c r="I41" s="7" t="s">
        <v>3</v>
      </c>
      <c r="L41" s="7">
        <v>0</v>
      </c>
      <c r="O41" s="13"/>
    </row>
    <row r="42" spans="2:28" x14ac:dyDescent="0.3">
      <c r="B42" t="s">
        <v>525</v>
      </c>
      <c r="C42" s="7" t="s">
        <v>525</v>
      </c>
      <c r="D42" s="7" t="s">
        <v>12</v>
      </c>
      <c r="E42" t="s">
        <v>990</v>
      </c>
      <c r="F42" s="7" t="s">
        <v>325</v>
      </c>
      <c r="G42" s="7" t="s">
        <v>532</v>
      </c>
      <c r="H42" s="7" t="s">
        <v>531</v>
      </c>
      <c r="I42" s="7" t="s">
        <v>3</v>
      </c>
      <c r="L42" s="7">
        <v>0</v>
      </c>
      <c r="O42" s="13"/>
    </row>
    <row r="43" spans="2:28" x14ac:dyDescent="0.3">
      <c r="B43" t="s">
        <v>528</v>
      </c>
      <c r="C43" s="7" t="s">
        <v>528</v>
      </c>
      <c r="D43" s="7" t="s">
        <v>12</v>
      </c>
      <c r="E43" t="s">
        <v>990</v>
      </c>
      <c r="F43" s="7" t="s">
        <v>326</v>
      </c>
      <c r="G43" s="7" t="s">
        <v>326</v>
      </c>
      <c r="H43" s="7" t="s">
        <v>530</v>
      </c>
      <c r="I43" s="7" t="s">
        <v>3</v>
      </c>
      <c r="L43" s="7">
        <v>0</v>
      </c>
      <c r="O43" s="13"/>
    </row>
    <row r="44" spans="2:28" x14ac:dyDescent="0.3">
      <c r="B44" t="s">
        <v>527</v>
      </c>
      <c r="C44" s="7" t="s">
        <v>527</v>
      </c>
      <c r="D44" s="7" t="s">
        <v>12</v>
      </c>
      <c r="E44" t="s">
        <v>990</v>
      </c>
      <c r="F44" s="7" t="s">
        <v>326</v>
      </c>
      <c r="G44" s="7" t="s">
        <v>326</v>
      </c>
      <c r="H44" s="7" t="s">
        <v>531</v>
      </c>
      <c r="I44" s="7" t="s">
        <v>3</v>
      </c>
      <c r="L44" s="7">
        <v>0</v>
      </c>
      <c r="O44" s="13"/>
    </row>
    <row r="45" spans="2:28" x14ac:dyDescent="0.3">
      <c r="B45" t="s">
        <v>701</v>
      </c>
      <c r="C45" s="7" t="s">
        <v>701</v>
      </c>
      <c r="D45" s="7" t="s">
        <v>12</v>
      </c>
      <c r="E45" t="s">
        <v>990</v>
      </c>
      <c r="F45" s="7" t="s">
        <v>327</v>
      </c>
      <c r="G45" s="7" t="s">
        <v>529</v>
      </c>
      <c r="H45" s="7" t="s">
        <v>530</v>
      </c>
      <c r="I45" s="7" t="s">
        <v>3</v>
      </c>
      <c r="L45" s="7">
        <v>0</v>
      </c>
      <c r="O45" s="13"/>
    </row>
    <row r="46" spans="2:28" x14ac:dyDescent="0.3">
      <c r="B46" t="s">
        <v>702</v>
      </c>
      <c r="C46" s="7" t="s">
        <v>702</v>
      </c>
      <c r="D46" s="7" t="s">
        <v>12</v>
      </c>
      <c r="E46" t="s">
        <v>990</v>
      </c>
      <c r="F46" s="7" t="s">
        <v>327</v>
      </c>
      <c r="G46" s="7" t="s">
        <v>529</v>
      </c>
      <c r="H46" s="7" t="s">
        <v>531</v>
      </c>
      <c r="I46" s="7" t="s">
        <v>3</v>
      </c>
      <c r="L46" s="7">
        <v>0</v>
      </c>
      <c r="O46" s="13"/>
    </row>
    <row r="47" spans="2:28" x14ac:dyDescent="0.3">
      <c r="B47" t="s">
        <v>365</v>
      </c>
      <c r="C47" s="7" t="s">
        <v>365</v>
      </c>
      <c r="D47" s="7" t="s">
        <v>12</v>
      </c>
      <c r="E47" t="s">
        <v>989</v>
      </c>
      <c r="F47" s="7" t="s">
        <v>39</v>
      </c>
      <c r="G47" s="7" t="s">
        <v>40</v>
      </c>
      <c r="H47" s="7" t="s">
        <v>5</v>
      </c>
      <c r="I47" s="7" t="s">
        <v>14</v>
      </c>
      <c r="L47" s="7">
        <v>10</v>
      </c>
      <c r="N47" s="29">
        <v>256727</v>
      </c>
      <c r="O47" s="7">
        <v>349404</v>
      </c>
      <c r="P47" s="7">
        <v>386349</v>
      </c>
      <c r="Q47" s="7">
        <v>396690</v>
      </c>
      <c r="R47" s="7">
        <v>321627</v>
      </c>
      <c r="W47" s="7" t="s">
        <v>807</v>
      </c>
      <c r="X47" s="7" t="s">
        <v>809</v>
      </c>
      <c r="Y47" s="7" t="s">
        <v>809</v>
      </c>
      <c r="Z47" s="7" t="s">
        <v>809</v>
      </c>
    </row>
    <row r="48" spans="2:28" x14ac:dyDescent="0.3">
      <c r="B48" t="s">
        <v>366</v>
      </c>
      <c r="C48" s="7" t="s">
        <v>366</v>
      </c>
      <c r="D48" s="7" t="s">
        <v>12</v>
      </c>
      <c r="E48" t="s">
        <v>989</v>
      </c>
      <c r="F48" s="7" t="s">
        <v>39</v>
      </c>
      <c r="G48" s="7" t="s">
        <v>41</v>
      </c>
      <c r="H48" s="7" t="s">
        <v>5</v>
      </c>
      <c r="I48" s="7" t="s">
        <v>4</v>
      </c>
      <c r="L48" s="7">
        <v>10</v>
      </c>
      <c r="N48" s="15">
        <f>N47/937341</f>
        <v>0.27388858483732176</v>
      </c>
      <c r="O48" s="30">
        <f>+O47/O38</f>
        <v>0.32402956851885684</v>
      </c>
      <c r="P48" s="30">
        <f t="shared" ref="P48:R48" si="3">+P47/P38</f>
        <v>0.33688956864769465</v>
      </c>
      <c r="Q48" s="30">
        <f t="shared" si="3"/>
        <v>0.32770187382127197</v>
      </c>
      <c r="R48" s="30">
        <f t="shared" si="3"/>
        <v>0.29260178111839824</v>
      </c>
      <c r="S48" s="14"/>
    </row>
    <row r="49" spans="2:28" x14ac:dyDescent="0.3">
      <c r="B49" t="s">
        <v>534</v>
      </c>
      <c r="C49" s="7" t="s">
        <v>534</v>
      </c>
      <c r="D49" s="7" t="s">
        <v>12</v>
      </c>
      <c r="E49" t="s">
        <v>989</v>
      </c>
      <c r="F49" s="7" t="s">
        <v>42</v>
      </c>
      <c r="G49" s="7" t="str">
        <f>F49</f>
        <v>Non-recycled waste</v>
      </c>
      <c r="H49" s="7" t="s">
        <v>5</v>
      </c>
      <c r="I49" s="7" t="s">
        <v>14</v>
      </c>
      <c r="L49" s="7">
        <v>10</v>
      </c>
      <c r="N49" s="29">
        <f>937341-875828</f>
        <v>61513</v>
      </c>
      <c r="O49" s="16">
        <f>+O38-1022686</f>
        <v>55623</v>
      </c>
      <c r="P49" s="16">
        <f>+P38-1088979</f>
        <v>57833</v>
      </c>
      <c r="Q49" s="16">
        <f>+Q38-1157621</f>
        <v>52900</v>
      </c>
      <c r="R49" s="16">
        <f>+R38-1045122</f>
        <v>54075</v>
      </c>
    </row>
    <row r="50" spans="2:28" x14ac:dyDescent="0.3">
      <c r="B50" t="s">
        <v>535</v>
      </c>
      <c r="C50" s="7" t="s">
        <v>535</v>
      </c>
      <c r="D50" s="7" t="s">
        <v>12</v>
      </c>
      <c r="E50" t="s">
        <v>989</v>
      </c>
      <c r="F50" s="7" t="s">
        <v>42</v>
      </c>
      <c r="G50" s="7" t="s">
        <v>536</v>
      </c>
      <c r="H50" s="7" t="s">
        <v>5</v>
      </c>
      <c r="I50" s="7" t="s">
        <v>4</v>
      </c>
      <c r="L50" s="7">
        <v>10</v>
      </c>
      <c r="N50" s="30">
        <f>875828/937341</f>
        <v>0.93437500333389878</v>
      </c>
      <c r="O50" s="30">
        <f t="shared" ref="O50:R50" si="4">+O49/O38</f>
        <v>5.1583544234537593E-2</v>
      </c>
      <c r="P50" s="30">
        <f t="shared" si="4"/>
        <v>5.042936418523699E-2</v>
      </c>
      <c r="Q50" s="30">
        <f t="shared" si="4"/>
        <v>4.3700191900842698E-2</v>
      </c>
      <c r="R50" s="30">
        <f t="shared" si="4"/>
        <v>4.9195003261471783E-2</v>
      </c>
    </row>
    <row r="51" spans="2:28" x14ac:dyDescent="0.3">
      <c r="B51" t="s">
        <v>703</v>
      </c>
      <c r="C51" s="7" t="s">
        <v>703</v>
      </c>
      <c r="D51" s="7" t="s">
        <v>12</v>
      </c>
      <c r="E51" t="s">
        <v>989</v>
      </c>
      <c r="F51" s="7" t="s">
        <v>43</v>
      </c>
      <c r="G51" s="7" t="str">
        <f>F51</f>
        <v>Waste recycling programs</v>
      </c>
      <c r="H51" s="7" t="s">
        <v>34</v>
      </c>
      <c r="I51" s="7" t="s">
        <v>3</v>
      </c>
      <c r="L51" s="7">
        <v>10</v>
      </c>
      <c r="O51" s="13"/>
      <c r="P51" s="8"/>
      <c r="T51" s="7" t="s">
        <v>762</v>
      </c>
      <c r="AB51" s="7" t="s">
        <v>794</v>
      </c>
    </row>
    <row r="52" spans="2:28" x14ac:dyDescent="0.3">
      <c r="B52" t="s">
        <v>704</v>
      </c>
      <c r="C52" s="7" t="s">
        <v>704</v>
      </c>
      <c r="D52" s="7" t="s">
        <v>12</v>
      </c>
      <c r="E52" t="s">
        <v>44</v>
      </c>
      <c r="F52" s="7" t="s">
        <v>44</v>
      </c>
      <c r="G52" s="7" t="s">
        <v>45</v>
      </c>
      <c r="H52" s="7" t="s">
        <v>5</v>
      </c>
      <c r="I52" s="7" t="s">
        <v>46</v>
      </c>
      <c r="L52" s="7">
        <v>10</v>
      </c>
      <c r="N52" s="32">
        <v>19478000</v>
      </c>
      <c r="O52" s="8">
        <f>21073*1000</f>
        <v>21073000</v>
      </c>
      <c r="P52" s="8">
        <v>23419000</v>
      </c>
      <c r="Q52" s="8">
        <v>26028000</v>
      </c>
      <c r="R52" s="8">
        <v>26899000</v>
      </c>
      <c r="S52" s="12"/>
      <c r="W52" s="7" t="s">
        <v>806</v>
      </c>
      <c r="X52" s="7" t="s">
        <v>810</v>
      </c>
      <c r="Y52" s="7" t="s">
        <v>810</v>
      </c>
      <c r="Z52" s="7" t="s">
        <v>810</v>
      </c>
    </row>
    <row r="53" spans="2:28" x14ac:dyDescent="0.3">
      <c r="B53" t="s">
        <v>633</v>
      </c>
      <c r="C53" s="7" t="s">
        <v>633</v>
      </c>
      <c r="D53" s="7" t="s">
        <v>12</v>
      </c>
      <c r="E53" t="s">
        <v>44</v>
      </c>
      <c r="F53" s="7" t="s">
        <v>47</v>
      </c>
      <c r="G53" s="7" t="s">
        <v>47</v>
      </c>
      <c r="H53" s="7" t="s">
        <v>5</v>
      </c>
      <c r="I53" s="7" t="s">
        <v>46</v>
      </c>
      <c r="L53" s="7">
        <v>10</v>
      </c>
      <c r="N53" s="32">
        <f>N52-92060</f>
        <v>19385940</v>
      </c>
      <c r="O53" s="8">
        <f>+O52-O31</f>
        <v>20891230</v>
      </c>
      <c r="P53" s="8">
        <f>+P52-P31</f>
        <v>23190000</v>
      </c>
      <c r="Q53" s="8">
        <f>+Q52-Q31</f>
        <v>24672000</v>
      </c>
      <c r="R53" s="8">
        <f t="shared" ref="R53" si="5">+R52-R31</f>
        <v>23679000</v>
      </c>
    </row>
    <row r="54" spans="2:28" x14ac:dyDescent="0.3">
      <c r="B54" t="s">
        <v>634</v>
      </c>
      <c r="C54" s="7" t="s">
        <v>634</v>
      </c>
      <c r="D54" s="7" t="s">
        <v>12</v>
      </c>
      <c r="E54" t="s">
        <v>44</v>
      </c>
      <c r="F54" s="7" t="s">
        <v>47</v>
      </c>
      <c r="G54" s="7" t="s">
        <v>635</v>
      </c>
      <c r="H54" s="7" t="s">
        <v>5</v>
      </c>
      <c r="I54" s="7" t="s">
        <v>4</v>
      </c>
      <c r="L54" s="7">
        <v>10</v>
      </c>
      <c r="N54" s="33">
        <f>+N53/N52</f>
        <v>0.99527364205770608</v>
      </c>
      <c r="O54" s="33">
        <f>+O53/O52</f>
        <v>0.99137427039339443</v>
      </c>
      <c r="P54" s="33">
        <f>+P53/P52</f>
        <v>0.99022161492804983</v>
      </c>
      <c r="Q54" s="33">
        <f>+Q53/Q52</f>
        <v>0.94790225910557857</v>
      </c>
      <c r="R54" s="33">
        <f>+R53/R52</f>
        <v>0.88029294769322275</v>
      </c>
    </row>
    <row r="55" spans="2:28" x14ac:dyDescent="0.3">
      <c r="B55" t="s">
        <v>537</v>
      </c>
      <c r="C55" s="7" t="s">
        <v>537</v>
      </c>
      <c r="D55" s="7" t="s">
        <v>12</v>
      </c>
      <c r="E55" t="s">
        <v>991</v>
      </c>
      <c r="F55" s="7" t="s">
        <v>48</v>
      </c>
      <c r="G55" s="7" t="s">
        <v>48</v>
      </c>
      <c r="H55" s="7" t="s">
        <v>530</v>
      </c>
      <c r="I55" s="7" t="s">
        <v>3</v>
      </c>
      <c r="L55" s="7">
        <v>1</v>
      </c>
      <c r="O55" s="13"/>
      <c r="T55" s="7" t="s">
        <v>762</v>
      </c>
      <c r="AB55" s="7" t="s">
        <v>795</v>
      </c>
    </row>
    <row r="56" spans="2:28" x14ac:dyDescent="0.3">
      <c r="B56" t="s">
        <v>538</v>
      </c>
      <c r="C56" s="7" t="s">
        <v>538</v>
      </c>
      <c r="D56" s="7" t="s">
        <v>12</v>
      </c>
      <c r="E56" t="s">
        <v>991</v>
      </c>
      <c r="F56" s="7" t="s">
        <v>48</v>
      </c>
      <c r="G56" s="7" t="s">
        <v>48</v>
      </c>
      <c r="H56" s="7" t="s">
        <v>531</v>
      </c>
      <c r="I56" s="7" t="s">
        <v>3</v>
      </c>
      <c r="L56" s="7">
        <v>1</v>
      </c>
      <c r="O56" s="13"/>
      <c r="T56" s="7" t="s">
        <v>763</v>
      </c>
    </row>
    <row r="57" spans="2:28" x14ac:dyDescent="0.3">
      <c r="B57" t="s">
        <v>540</v>
      </c>
      <c r="C57" s="7" t="s">
        <v>540</v>
      </c>
      <c r="D57" s="7" t="s">
        <v>12</v>
      </c>
      <c r="E57" t="s">
        <v>991</v>
      </c>
      <c r="F57" s="7" t="s">
        <v>49</v>
      </c>
      <c r="G57" s="7" t="str">
        <f>F57</f>
        <v>Deforestation</v>
      </c>
      <c r="H57" s="7" t="s">
        <v>530</v>
      </c>
      <c r="I57" s="7" t="s">
        <v>3</v>
      </c>
      <c r="L57" s="7">
        <v>1</v>
      </c>
      <c r="O57" s="13"/>
    </row>
    <row r="58" spans="2:28" x14ac:dyDescent="0.3">
      <c r="B58" t="s">
        <v>539</v>
      </c>
      <c r="C58" s="7" t="s">
        <v>539</v>
      </c>
      <c r="D58" s="7" t="s">
        <v>12</v>
      </c>
      <c r="E58" t="s">
        <v>991</v>
      </c>
      <c r="F58" s="7" t="s">
        <v>49</v>
      </c>
      <c r="G58" s="7" t="str">
        <f>F58</f>
        <v>Deforestation</v>
      </c>
      <c r="H58" s="7" t="s">
        <v>531</v>
      </c>
      <c r="I58" s="7" t="s">
        <v>3</v>
      </c>
      <c r="L58" s="7">
        <v>1</v>
      </c>
      <c r="O58" s="13"/>
    </row>
    <row r="59" spans="2:28" x14ac:dyDescent="0.3">
      <c r="B59" t="s">
        <v>541</v>
      </c>
      <c r="C59" s="7" t="s">
        <v>541</v>
      </c>
      <c r="D59" s="7" t="s">
        <v>12</v>
      </c>
      <c r="E59" t="s">
        <v>991</v>
      </c>
      <c r="F59" s="7" t="s">
        <v>50</v>
      </c>
      <c r="G59" s="7" t="s">
        <v>51</v>
      </c>
      <c r="H59" s="7" t="s">
        <v>531</v>
      </c>
      <c r="I59" s="7" t="s">
        <v>3</v>
      </c>
      <c r="L59" s="7">
        <v>1</v>
      </c>
      <c r="O59" s="13"/>
    </row>
    <row r="60" spans="2:28" x14ac:dyDescent="0.3">
      <c r="B60" t="s">
        <v>543</v>
      </c>
      <c r="C60" s="7" t="s">
        <v>543</v>
      </c>
      <c r="D60" s="7" t="s">
        <v>12</v>
      </c>
      <c r="E60" t="s">
        <v>991</v>
      </c>
      <c r="F60" s="7" t="s">
        <v>328</v>
      </c>
      <c r="G60" s="7" t="str">
        <f>F60</f>
        <v>Site closure &amp; rehabilitation</v>
      </c>
      <c r="H60" s="7" t="s">
        <v>530</v>
      </c>
      <c r="I60" s="7" t="s">
        <v>3</v>
      </c>
      <c r="L60" s="7">
        <v>1</v>
      </c>
      <c r="O60" s="13"/>
    </row>
    <row r="61" spans="2:28" x14ac:dyDescent="0.3">
      <c r="B61" t="s">
        <v>544</v>
      </c>
      <c r="C61" s="7" t="s">
        <v>544</v>
      </c>
      <c r="D61" s="7" t="s">
        <v>12</v>
      </c>
      <c r="E61" t="s">
        <v>991</v>
      </c>
      <c r="F61" s="7" t="s">
        <v>328</v>
      </c>
      <c r="G61" s="7" t="str">
        <f>F61</f>
        <v>Site closure &amp; rehabilitation</v>
      </c>
      <c r="H61" s="7" t="s">
        <v>531</v>
      </c>
      <c r="I61" s="7" t="s">
        <v>3</v>
      </c>
      <c r="L61" s="7">
        <v>1</v>
      </c>
      <c r="O61" s="13"/>
    </row>
    <row r="62" spans="2:28" x14ac:dyDescent="0.3">
      <c r="B62" t="s">
        <v>705</v>
      </c>
      <c r="C62" s="7" t="s">
        <v>705</v>
      </c>
      <c r="D62" s="7" t="s">
        <v>12</v>
      </c>
      <c r="E62" t="s">
        <v>991</v>
      </c>
      <c r="F62" s="7" t="s">
        <v>52</v>
      </c>
      <c r="G62" s="7" t="str">
        <f>F62</f>
        <v xml:space="preserve">Land degradation, desertification, soil sealing </v>
      </c>
      <c r="H62" s="7" t="s">
        <v>5</v>
      </c>
      <c r="I62" s="7" t="s">
        <v>4</v>
      </c>
      <c r="L62" s="7">
        <v>1</v>
      </c>
    </row>
    <row r="63" spans="2:28" x14ac:dyDescent="0.3">
      <c r="B63" t="s">
        <v>706</v>
      </c>
      <c r="C63" s="7" t="s">
        <v>706</v>
      </c>
      <c r="D63" s="7" t="s">
        <v>12</v>
      </c>
      <c r="E63" t="s">
        <v>991</v>
      </c>
      <c r="F63" s="7" t="s">
        <v>53</v>
      </c>
      <c r="G63" s="7" t="s">
        <v>542</v>
      </c>
      <c r="H63" s="7" t="s">
        <v>5</v>
      </c>
      <c r="I63" s="7" t="s">
        <v>4</v>
      </c>
      <c r="L63" s="7">
        <v>0</v>
      </c>
    </row>
    <row r="64" spans="2:28" x14ac:dyDescent="0.3">
      <c r="B64" t="s">
        <v>707</v>
      </c>
      <c r="C64" s="7" t="s">
        <v>707</v>
      </c>
      <c r="D64" s="7" t="s">
        <v>12</v>
      </c>
      <c r="E64" t="s">
        <v>991</v>
      </c>
      <c r="F64" s="7" t="s">
        <v>329</v>
      </c>
      <c r="G64" s="7" t="str">
        <f>F64</f>
        <v>Use of pesticides</v>
      </c>
      <c r="H64" s="7" t="s">
        <v>5</v>
      </c>
      <c r="I64" s="7" t="s">
        <v>14</v>
      </c>
      <c r="L64" s="7">
        <v>0</v>
      </c>
    </row>
    <row r="65" spans="2:28" x14ac:dyDescent="0.3">
      <c r="B65" t="s">
        <v>545</v>
      </c>
      <c r="C65" s="7" t="s">
        <v>545</v>
      </c>
      <c r="D65" s="7" t="s">
        <v>12</v>
      </c>
      <c r="E65" t="s">
        <v>991</v>
      </c>
      <c r="F65" s="7" t="s">
        <v>54</v>
      </c>
      <c r="G65" s="7" t="str">
        <f>F65</f>
        <v>Sustainable land / forestry / agri practices</v>
      </c>
      <c r="H65" s="7" t="s">
        <v>530</v>
      </c>
      <c r="I65" s="7" t="s">
        <v>3</v>
      </c>
      <c r="L65" s="7">
        <v>0</v>
      </c>
      <c r="O65" s="13"/>
    </row>
    <row r="66" spans="2:28" x14ac:dyDescent="0.3">
      <c r="B66" t="s">
        <v>546</v>
      </c>
      <c r="C66" s="7" t="s">
        <v>546</v>
      </c>
      <c r="D66" s="7" t="s">
        <v>12</v>
      </c>
      <c r="E66" t="s">
        <v>991</v>
      </c>
      <c r="F66" s="7" t="s">
        <v>54</v>
      </c>
      <c r="G66" s="7" t="str">
        <f>F66</f>
        <v>Sustainable land / forestry / agri practices</v>
      </c>
      <c r="H66" s="7" t="s">
        <v>531</v>
      </c>
      <c r="I66" s="7" t="s">
        <v>3</v>
      </c>
      <c r="L66" s="7">
        <v>0</v>
      </c>
      <c r="O66" s="13"/>
    </row>
    <row r="67" spans="2:28" x14ac:dyDescent="0.3">
      <c r="B67" t="s">
        <v>547</v>
      </c>
      <c r="C67" s="7" t="s">
        <v>547</v>
      </c>
      <c r="D67" s="7" t="s">
        <v>12</v>
      </c>
      <c r="E67" t="s">
        <v>992</v>
      </c>
      <c r="F67" s="7" t="s">
        <v>55</v>
      </c>
      <c r="G67" s="7" t="s">
        <v>56</v>
      </c>
      <c r="H67" s="7" t="s">
        <v>530</v>
      </c>
      <c r="I67" s="7" t="s">
        <v>3</v>
      </c>
      <c r="L67" s="7">
        <v>1</v>
      </c>
      <c r="O67" s="13"/>
      <c r="T67" s="7" t="s">
        <v>762</v>
      </c>
      <c r="AB67" s="7" t="s">
        <v>796</v>
      </c>
    </row>
    <row r="68" spans="2:28" x14ac:dyDescent="0.3">
      <c r="B68" t="s">
        <v>548</v>
      </c>
      <c r="C68" s="7" t="s">
        <v>548</v>
      </c>
      <c r="D68" s="7" t="s">
        <v>12</v>
      </c>
      <c r="E68" t="s">
        <v>992</v>
      </c>
      <c r="F68" s="7" t="s">
        <v>55</v>
      </c>
      <c r="G68" s="7" t="s">
        <v>56</v>
      </c>
      <c r="H68" s="7" t="s">
        <v>531</v>
      </c>
      <c r="I68" s="7" t="s">
        <v>3</v>
      </c>
      <c r="L68" s="7">
        <v>1</v>
      </c>
      <c r="O68" s="13"/>
      <c r="T68" s="7" t="s">
        <v>763</v>
      </c>
    </row>
    <row r="69" spans="2:28" x14ac:dyDescent="0.3">
      <c r="B69" t="s">
        <v>708</v>
      </c>
      <c r="C69" s="7" t="s">
        <v>708</v>
      </c>
      <c r="D69" s="7" t="s">
        <v>12</v>
      </c>
      <c r="E69" t="s">
        <v>992</v>
      </c>
      <c r="F69" s="7" t="s">
        <v>57</v>
      </c>
      <c r="G69" s="7" t="s">
        <v>549</v>
      </c>
      <c r="H69" s="7" t="s">
        <v>5</v>
      </c>
      <c r="I69" s="7" t="s">
        <v>14</v>
      </c>
      <c r="L69" s="7">
        <v>1</v>
      </c>
    </row>
    <row r="70" spans="2:28" x14ac:dyDescent="0.3">
      <c r="B70" t="s">
        <v>709</v>
      </c>
      <c r="C70" s="7" t="s">
        <v>709</v>
      </c>
      <c r="D70" s="7" t="s">
        <v>12</v>
      </c>
      <c r="E70" t="s">
        <v>992</v>
      </c>
      <c r="F70" s="7" t="s">
        <v>58</v>
      </c>
      <c r="G70" s="7" t="str">
        <f>F70</f>
        <v>Recycled material use</v>
      </c>
      <c r="H70" s="7" t="s">
        <v>5</v>
      </c>
      <c r="I70" s="7" t="s">
        <v>14</v>
      </c>
      <c r="L70" s="7">
        <v>1</v>
      </c>
      <c r="N70" s="8">
        <v>875828</v>
      </c>
      <c r="O70" s="8">
        <v>1022686</v>
      </c>
      <c r="P70" s="8">
        <v>1088979</v>
      </c>
      <c r="Q70" s="8">
        <v>1157621</v>
      </c>
      <c r="R70" s="8">
        <v>1045122</v>
      </c>
      <c r="W70" s="7" t="s">
        <v>807</v>
      </c>
      <c r="X70" s="7" t="s">
        <v>809</v>
      </c>
      <c r="Y70" s="7" t="s">
        <v>809</v>
      </c>
      <c r="Z70" s="7" t="s">
        <v>809</v>
      </c>
    </row>
    <row r="71" spans="2:28" x14ac:dyDescent="0.3">
      <c r="B71" t="s">
        <v>550</v>
      </c>
      <c r="C71" s="7" t="s">
        <v>550</v>
      </c>
      <c r="D71" s="7" t="s">
        <v>12</v>
      </c>
      <c r="E71" t="s">
        <v>992</v>
      </c>
      <c r="F71" s="7" t="s">
        <v>59</v>
      </c>
      <c r="G71" s="7" t="str">
        <f>F71</f>
        <v>Green procurement policy</v>
      </c>
      <c r="H71" s="7" t="s">
        <v>530</v>
      </c>
      <c r="I71" s="7" t="s">
        <v>3</v>
      </c>
      <c r="L71" s="7">
        <v>1</v>
      </c>
      <c r="O71" s="13"/>
      <c r="T71" s="7" t="s">
        <v>762</v>
      </c>
      <c r="AB71" s="7" t="s">
        <v>796</v>
      </c>
    </row>
    <row r="72" spans="2:28" x14ac:dyDescent="0.3">
      <c r="B72" t="s">
        <v>551</v>
      </c>
      <c r="C72" s="7" t="s">
        <v>551</v>
      </c>
      <c r="D72" s="7" t="s">
        <v>12</v>
      </c>
      <c r="E72" t="s">
        <v>992</v>
      </c>
      <c r="F72" s="7" t="s">
        <v>59</v>
      </c>
      <c r="G72" s="7" t="str">
        <f>F72</f>
        <v>Green procurement policy</v>
      </c>
      <c r="H72" s="7" t="s">
        <v>531</v>
      </c>
      <c r="I72" s="7" t="s">
        <v>3</v>
      </c>
      <c r="L72" s="7">
        <v>1</v>
      </c>
      <c r="O72" s="13"/>
      <c r="T72" s="7" t="s">
        <v>763</v>
      </c>
    </row>
    <row r="73" spans="2:28" x14ac:dyDescent="0.3">
      <c r="B73" t="s">
        <v>710</v>
      </c>
      <c r="C73" s="7" t="s">
        <v>710</v>
      </c>
      <c r="D73" s="7" t="s">
        <v>12</v>
      </c>
      <c r="E73" t="s">
        <v>992</v>
      </c>
      <c r="F73" s="7" t="s">
        <v>73</v>
      </c>
      <c r="G73" s="7" t="str">
        <f>F73</f>
        <v>Supplier environmental certification</v>
      </c>
      <c r="H73" s="7" t="s">
        <v>722</v>
      </c>
      <c r="I73" s="7" t="s">
        <v>3</v>
      </c>
      <c r="L73" s="7">
        <v>1</v>
      </c>
      <c r="O73" s="13"/>
      <c r="T73" s="7" t="s">
        <v>762</v>
      </c>
      <c r="AB73" s="7" t="s">
        <v>797</v>
      </c>
    </row>
    <row r="74" spans="2:28" x14ac:dyDescent="0.3">
      <c r="B74" t="s">
        <v>711</v>
      </c>
      <c r="C74" s="7" t="s">
        <v>711</v>
      </c>
      <c r="D74" s="7" t="s">
        <v>12</v>
      </c>
      <c r="E74" t="s">
        <v>992</v>
      </c>
      <c r="F74" s="7" t="s">
        <v>74</v>
      </c>
      <c r="G74" s="7" t="str">
        <f>+F74</f>
        <v>Green building council membership</v>
      </c>
      <c r="H74" s="7" t="s">
        <v>636</v>
      </c>
      <c r="I74" s="7" t="s">
        <v>3</v>
      </c>
      <c r="L74" s="7">
        <v>1</v>
      </c>
      <c r="O74" s="13"/>
      <c r="T74" s="7" t="s">
        <v>763</v>
      </c>
    </row>
    <row r="75" spans="2:28" x14ac:dyDescent="0.3">
      <c r="B75" t="s">
        <v>712</v>
      </c>
      <c r="C75" s="7" t="s">
        <v>712</v>
      </c>
      <c r="D75" s="7" t="s">
        <v>12</v>
      </c>
      <c r="E75" t="s">
        <v>992</v>
      </c>
      <c r="F75" s="7" t="s">
        <v>75</v>
      </c>
      <c r="G75" s="7" t="s">
        <v>76</v>
      </c>
      <c r="H75" s="7" t="s">
        <v>637</v>
      </c>
      <c r="I75" s="7" t="s">
        <v>3</v>
      </c>
      <c r="L75" s="7">
        <v>0</v>
      </c>
      <c r="O75" s="13"/>
    </row>
    <row r="76" spans="2:28" x14ac:dyDescent="0.3">
      <c r="B76" t="s">
        <v>713</v>
      </c>
      <c r="C76" s="7" t="s">
        <v>713</v>
      </c>
      <c r="D76" s="7" t="s">
        <v>12</v>
      </c>
      <c r="E76" t="s">
        <v>992</v>
      </c>
      <c r="F76" s="7" t="s">
        <v>75</v>
      </c>
      <c r="G76" s="7" t="s">
        <v>76</v>
      </c>
      <c r="H76" s="7" t="s">
        <v>638</v>
      </c>
      <c r="I76" s="7" t="s">
        <v>3</v>
      </c>
      <c r="L76" s="7">
        <v>0</v>
      </c>
      <c r="O76" s="13"/>
    </row>
    <row r="77" spans="2:28" x14ac:dyDescent="0.3">
      <c r="B77" t="s">
        <v>367</v>
      </c>
      <c r="C77" s="7" t="s">
        <v>367</v>
      </c>
      <c r="D77" s="7" t="s">
        <v>12</v>
      </c>
      <c r="E77" t="s">
        <v>992</v>
      </c>
      <c r="F77" s="7" t="s">
        <v>77</v>
      </c>
      <c r="G77" s="7" t="str">
        <f>F77</f>
        <v>Nutrition and health program</v>
      </c>
      <c r="H77" s="7" t="s">
        <v>530</v>
      </c>
      <c r="I77" s="7" t="s">
        <v>3</v>
      </c>
      <c r="L77" s="7">
        <v>0</v>
      </c>
      <c r="O77" s="13"/>
    </row>
    <row r="78" spans="2:28" x14ac:dyDescent="0.3">
      <c r="B78" t="s">
        <v>368</v>
      </c>
      <c r="C78" s="7" t="s">
        <v>368</v>
      </c>
      <c r="D78" s="7" t="s">
        <v>12</v>
      </c>
      <c r="E78" t="s">
        <v>992</v>
      </c>
      <c r="F78" s="7" t="s">
        <v>77</v>
      </c>
      <c r="G78" s="7" t="str">
        <f>F78</f>
        <v>Nutrition and health program</v>
      </c>
      <c r="H78" s="7" t="s">
        <v>531</v>
      </c>
      <c r="I78" s="7" t="s">
        <v>3</v>
      </c>
      <c r="L78" s="7">
        <v>0</v>
      </c>
      <c r="O78" s="13"/>
    </row>
    <row r="79" spans="2:28" x14ac:dyDescent="0.3">
      <c r="B79" t="s">
        <v>714</v>
      </c>
      <c r="C79" s="7" t="s">
        <v>714</v>
      </c>
      <c r="D79" s="7" t="s">
        <v>12</v>
      </c>
      <c r="E79" t="s">
        <v>993</v>
      </c>
      <c r="F79" s="7" t="s">
        <v>330</v>
      </c>
      <c r="H79" s="7" t="s">
        <v>639</v>
      </c>
      <c r="I79" s="7" t="s">
        <v>3</v>
      </c>
      <c r="L79" s="7">
        <v>0</v>
      </c>
      <c r="O79" s="13"/>
    </row>
    <row r="80" spans="2:28" x14ac:dyDescent="0.3">
      <c r="B80" t="s">
        <v>552</v>
      </c>
      <c r="C80" s="7" t="s">
        <v>552</v>
      </c>
      <c r="D80" s="7" t="s">
        <v>12</v>
      </c>
      <c r="E80" t="s">
        <v>992</v>
      </c>
      <c r="F80" s="7" t="s">
        <v>79</v>
      </c>
      <c r="G80" s="7" t="str">
        <f>F80</f>
        <v>GMO policy</v>
      </c>
      <c r="H80" s="7" t="s">
        <v>530</v>
      </c>
      <c r="I80" s="7" t="s">
        <v>3</v>
      </c>
      <c r="L80" s="7">
        <v>0</v>
      </c>
      <c r="O80" s="13"/>
    </row>
    <row r="81" spans="2:28" x14ac:dyDescent="0.3">
      <c r="B81" t="s">
        <v>553</v>
      </c>
      <c r="C81" s="7" t="s">
        <v>553</v>
      </c>
      <c r="D81" s="7" t="s">
        <v>12</v>
      </c>
      <c r="E81" t="s">
        <v>992</v>
      </c>
      <c r="F81" s="7" t="s">
        <v>79</v>
      </c>
      <c r="G81" s="7" t="str">
        <f>F81</f>
        <v>GMO policy</v>
      </c>
      <c r="H81" s="7" t="s">
        <v>531</v>
      </c>
      <c r="I81" s="7" t="s">
        <v>3</v>
      </c>
      <c r="L81" s="7">
        <v>0</v>
      </c>
      <c r="O81" s="13"/>
    </row>
    <row r="82" spans="2:28" x14ac:dyDescent="0.3">
      <c r="B82" t="s">
        <v>369</v>
      </c>
      <c r="C82" s="7" t="s">
        <v>369</v>
      </c>
      <c r="D82" s="7" t="s">
        <v>12</v>
      </c>
      <c r="E82" t="s">
        <v>992</v>
      </c>
      <c r="F82" s="7" t="s">
        <v>80</v>
      </c>
      <c r="G82" s="7" t="s">
        <v>640</v>
      </c>
      <c r="H82" s="7" t="s">
        <v>5</v>
      </c>
      <c r="I82" s="7" t="str">
        <f>I3</f>
        <v>KRW</v>
      </c>
      <c r="J82" s="7" t="s">
        <v>610</v>
      </c>
      <c r="K82" s="7" t="str">
        <f>K3</f>
        <v>December</v>
      </c>
      <c r="L82" s="7">
        <v>0</v>
      </c>
    </row>
    <row r="83" spans="2:28" x14ac:dyDescent="0.3">
      <c r="B83" t="s">
        <v>370</v>
      </c>
      <c r="C83" s="7" t="s">
        <v>370</v>
      </c>
      <c r="D83" s="7" t="s">
        <v>12</v>
      </c>
      <c r="E83" t="s">
        <v>992</v>
      </c>
      <c r="F83" s="7" t="s">
        <v>40</v>
      </c>
      <c r="G83" s="7" t="s">
        <v>82</v>
      </c>
      <c r="H83" s="7" t="s">
        <v>5</v>
      </c>
      <c r="I83" s="7" t="s">
        <v>4</v>
      </c>
      <c r="L83" s="7">
        <v>1</v>
      </c>
      <c r="N83" s="30">
        <f>256727/937341</f>
        <v>0.27388858483732176</v>
      </c>
      <c r="O83" s="30">
        <f>+O48</f>
        <v>0.32402956851885684</v>
      </c>
      <c r="P83" s="30">
        <f>+P48</f>
        <v>0.33688956864769465</v>
      </c>
      <c r="Q83" s="30">
        <f>+Q48</f>
        <v>0.32770187382127197</v>
      </c>
      <c r="R83" s="30">
        <f>+R48</f>
        <v>0.29260178111839824</v>
      </c>
      <c r="S83" s="15"/>
    </row>
    <row r="84" spans="2:28" x14ac:dyDescent="0.3">
      <c r="B84" t="s">
        <v>554</v>
      </c>
      <c r="C84" s="7" t="s">
        <v>554</v>
      </c>
      <c r="D84" s="7" t="s">
        <v>12</v>
      </c>
      <c r="E84" t="s">
        <v>992</v>
      </c>
      <c r="F84" s="7" t="s">
        <v>81</v>
      </c>
      <c r="G84" s="7" t="str">
        <f>F84</f>
        <v>Sustainable agri programs</v>
      </c>
      <c r="H84" s="7" t="s">
        <v>530</v>
      </c>
      <c r="I84" s="7" t="s">
        <v>3</v>
      </c>
      <c r="L84" s="7">
        <v>0</v>
      </c>
      <c r="O84" s="13"/>
    </row>
    <row r="85" spans="2:28" x14ac:dyDescent="0.3">
      <c r="B85" t="s">
        <v>555</v>
      </c>
      <c r="C85" s="7" t="s">
        <v>555</v>
      </c>
      <c r="D85" s="7" t="s">
        <v>12</v>
      </c>
      <c r="E85" t="s">
        <v>992</v>
      </c>
      <c r="F85" s="7" t="s">
        <v>81</v>
      </c>
      <c r="G85" s="7" t="str">
        <f>F85</f>
        <v>Sustainable agri programs</v>
      </c>
      <c r="H85" s="7" t="s">
        <v>531</v>
      </c>
      <c r="I85" s="7" t="s">
        <v>3</v>
      </c>
      <c r="L85" s="7">
        <v>0</v>
      </c>
      <c r="O85" s="13"/>
    </row>
    <row r="86" spans="2:28" x14ac:dyDescent="0.3">
      <c r="B86" t="s">
        <v>371</v>
      </c>
      <c r="C86" s="7" t="s">
        <v>371</v>
      </c>
      <c r="D86" s="7" t="s">
        <v>12</v>
      </c>
      <c r="E86" t="s">
        <v>993</v>
      </c>
      <c r="F86" s="7" t="s">
        <v>331</v>
      </c>
      <c r="G86" s="7" t="str">
        <f>F86</f>
        <v>Fleet emissions</v>
      </c>
      <c r="H86" s="7" t="s">
        <v>5</v>
      </c>
      <c r="I86" s="7" t="s">
        <v>14</v>
      </c>
      <c r="L86" s="7">
        <v>0</v>
      </c>
    </row>
    <row r="87" spans="2:28" x14ac:dyDescent="0.3">
      <c r="B87" t="s">
        <v>372</v>
      </c>
      <c r="C87" s="7" t="s">
        <v>372</v>
      </c>
      <c r="D87" s="7" t="s">
        <v>12</v>
      </c>
      <c r="E87" t="s">
        <v>992</v>
      </c>
      <c r="F87" s="7" t="s">
        <v>84</v>
      </c>
      <c r="G87" s="7" t="str">
        <f>F87</f>
        <v>Packing material used</v>
      </c>
      <c r="H87" s="7" t="s">
        <v>5</v>
      </c>
      <c r="I87" s="7" t="s">
        <v>14</v>
      </c>
      <c r="L87" s="7">
        <v>1</v>
      </c>
      <c r="N87" s="16"/>
      <c r="O87" s="16"/>
      <c r="P87" s="16"/>
      <c r="Q87" s="16"/>
      <c r="R87" s="16"/>
      <c r="S87" s="16"/>
    </row>
    <row r="88" spans="2:28" x14ac:dyDescent="0.3">
      <c r="B88" t="s">
        <v>373</v>
      </c>
      <c r="C88" s="7" t="s">
        <v>373</v>
      </c>
      <c r="D88" s="7" t="s">
        <v>12</v>
      </c>
      <c r="E88" t="s">
        <v>992</v>
      </c>
      <c r="F88" s="7" t="s">
        <v>85</v>
      </c>
      <c r="G88" s="7" t="s">
        <v>81</v>
      </c>
      <c r="H88" s="7" t="s">
        <v>34</v>
      </c>
      <c r="I88" s="7" t="s">
        <v>3</v>
      </c>
      <c r="L88" s="7">
        <v>1</v>
      </c>
      <c r="O88" s="13"/>
      <c r="T88" s="7" t="s">
        <v>762</v>
      </c>
      <c r="AB88" s="7" t="s">
        <v>798</v>
      </c>
    </row>
    <row r="89" spans="2:28" x14ac:dyDescent="0.3">
      <c r="B89" t="s">
        <v>556</v>
      </c>
      <c r="C89" s="7" t="s">
        <v>556</v>
      </c>
      <c r="D89" s="7" t="s">
        <v>12</v>
      </c>
      <c r="E89" t="s">
        <v>994</v>
      </c>
      <c r="F89" s="7" t="s">
        <v>86</v>
      </c>
      <c r="G89" s="7" t="str">
        <f>F89</f>
        <v>Climate change policy</v>
      </c>
      <c r="H89" s="7" t="s">
        <v>530</v>
      </c>
      <c r="I89" s="7" t="s">
        <v>3</v>
      </c>
      <c r="L89" s="7">
        <v>1</v>
      </c>
      <c r="O89" s="13"/>
      <c r="T89" s="7" t="s">
        <v>762</v>
      </c>
      <c r="AB89" s="7" t="s">
        <v>799</v>
      </c>
    </row>
    <row r="90" spans="2:28" x14ac:dyDescent="0.3">
      <c r="B90" t="s">
        <v>557</v>
      </c>
      <c r="C90" s="7" t="s">
        <v>557</v>
      </c>
      <c r="D90" s="7" t="s">
        <v>12</v>
      </c>
      <c r="E90" t="s">
        <v>994</v>
      </c>
      <c r="F90" s="7" t="s">
        <v>86</v>
      </c>
      <c r="G90" s="7" t="str">
        <f>F90</f>
        <v>Climate change policy</v>
      </c>
      <c r="H90" s="7" t="s">
        <v>531</v>
      </c>
      <c r="I90" s="7" t="s">
        <v>3</v>
      </c>
      <c r="L90" s="7">
        <v>1</v>
      </c>
      <c r="O90" s="13"/>
      <c r="T90" s="7" t="s">
        <v>763</v>
      </c>
    </row>
    <row r="91" spans="2:28" x14ac:dyDescent="0.3">
      <c r="B91" t="s">
        <v>374</v>
      </c>
      <c r="C91" s="7" t="s">
        <v>374</v>
      </c>
      <c r="D91" s="7" t="s">
        <v>12</v>
      </c>
      <c r="E91" t="s">
        <v>994</v>
      </c>
      <c r="F91" s="7" t="s">
        <v>87</v>
      </c>
      <c r="G91" s="7" t="s">
        <v>88</v>
      </c>
      <c r="H91" s="7" t="s">
        <v>5</v>
      </c>
      <c r="I91" s="7" t="str">
        <f>I3</f>
        <v>KRW</v>
      </c>
      <c r="J91" s="7" t="s">
        <v>611</v>
      </c>
      <c r="K91" s="7" t="str">
        <f>K3</f>
        <v>December</v>
      </c>
      <c r="L91" s="7">
        <v>1</v>
      </c>
    </row>
    <row r="92" spans="2:28" x14ac:dyDescent="0.3">
      <c r="B92" t="s">
        <v>641</v>
      </c>
      <c r="C92" s="7" t="s">
        <v>641</v>
      </c>
      <c r="D92" s="7" t="s">
        <v>12</v>
      </c>
      <c r="E92" t="s">
        <v>994</v>
      </c>
      <c r="F92" s="7" t="s">
        <v>89</v>
      </c>
      <c r="G92" s="7" t="s">
        <v>90</v>
      </c>
      <c r="H92" s="7" t="s">
        <v>131</v>
      </c>
      <c r="I92" s="7" t="s">
        <v>322</v>
      </c>
      <c r="L92" s="7">
        <v>1</v>
      </c>
      <c r="O92" s="13"/>
      <c r="T92" s="7" t="s">
        <v>765</v>
      </c>
    </row>
    <row r="93" spans="2:28" x14ac:dyDescent="0.3">
      <c r="B93" t="s">
        <v>644</v>
      </c>
      <c r="C93" s="7" t="s">
        <v>644</v>
      </c>
      <c r="D93" s="7" t="s">
        <v>12</v>
      </c>
      <c r="E93" t="s">
        <v>994</v>
      </c>
      <c r="F93" s="7" t="s">
        <v>102</v>
      </c>
      <c r="G93" s="7" t="str">
        <f>F93</f>
        <v>Green securities</v>
      </c>
      <c r="I93" s="7" t="s">
        <v>3</v>
      </c>
      <c r="L93" s="7">
        <v>1</v>
      </c>
      <c r="O93" s="13"/>
      <c r="T93" s="7" t="s">
        <v>763</v>
      </c>
    </row>
    <row r="94" spans="2:28" x14ac:dyDescent="0.3">
      <c r="B94" t="s">
        <v>645</v>
      </c>
      <c r="C94" s="7" t="s">
        <v>645</v>
      </c>
      <c r="D94" s="7" t="s">
        <v>12</v>
      </c>
      <c r="E94" t="s">
        <v>994</v>
      </c>
      <c r="F94" s="7" t="s">
        <v>102</v>
      </c>
      <c r="G94" s="7" t="str">
        <f>F94</f>
        <v>Green securities</v>
      </c>
      <c r="H94" s="7" t="s">
        <v>5</v>
      </c>
      <c r="I94" s="7" t="str">
        <f>I3</f>
        <v>KRW</v>
      </c>
      <c r="J94" s="7" t="s">
        <v>611</v>
      </c>
      <c r="K94" s="7" t="str">
        <f>K3</f>
        <v>December</v>
      </c>
      <c r="L94" s="7">
        <v>1</v>
      </c>
    </row>
    <row r="95" spans="2:28" x14ac:dyDescent="0.3">
      <c r="B95" t="s">
        <v>375</v>
      </c>
      <c r="C95" s="7" t="s">
        <v>375</v>
      </c>
      <c r="D95" s="7" t="s">
        <v>12</v>
      </c>
      <c r="E95" t="s">
        <v>995</v>
      </c>
      <c r="F95" s="7" t="s">
        <v>91</v>
      </c>
      <c r="G95" s="7" t="str">
        <f>F95</f>
        <v>Water consumption</v>
      </c>
      <c r="H95" s="7" t="s">
        <v>5</v>
      </c>
      <c r="I95" s="7" t="s">
        <v>612</v>
      </c>
      <c r="L95" s="7">
        <v>10</v>
      </c>
    </row>
    <row r="96" spans="2:28" x14ac:dyDescent="0.3">
      <c r="B96" t="s">
        <v>376</v>
      </c>
      <c r="C96" s="7" t="s">
        <v>376</v>
      </c>
      <c r="D96" s="7" t="s">
        <v>12</v>
      </c>
      <c r="E96" t="s">
        <v>995</v>
      </c>
      <c r="F96" s="7" t="s">
        <v>92</v>
      </c>
      <c r="G96" s="7" t="str">
        <f>F96</f>
        <v>Water emission</v>
      </c>
      <c r="H96" s="7" t="s">
        <v>5</v>
      </c>
      <c r="I96" s="7" t="s">
        <v>612</v>
      </c>
      <c r="L96" s="7">
        <v>10</v>
      </c>
      <c r="N96" s="7">
        <f>970+277+436+240+12.7</f>
        <v>1935.7</v>
      </c>
      <c r="O96" s="7">
        <v>3055</v>
      </c>
      <c r="P96" s="7">
        <v>3190</v>
      </c>
      <c r="Q96" s="7">
        <v>3797</v>
      </c>
      <c r="R96" s="7">
        <v>2128</v>
      </c>
      <c r="W96" s="7" t="s">
        <v>807</v>
      </c>
      <c r="X96" s="7" t="s">
        <v>809</v>
      </c>
      <c r="Y96" s="7" t="s">
        <v>809</v>
      </c>
      <c r="Z96" s="7" t="s">
        <v>809</v>
      </c>
    </row>
    <row r="97" spans="2:30" x14ac:dyDescent="0.3">
      <c r="B97" t="s">
        <v>377</v>
      </c>
      <c r="C97" s="7" t="s">
        <v>377</v>
      </c>
      <c r="D97" s="7" t="s">
        <v>12</v>
      </c>
      <c r="E97" t="s">
        <v>995</v>
      </c>
      <c r="F97" s="7" t="s">
        <v>93</v>
      </c>
      <c r="G97" s="7" t="s">
        <v>94</v>
      </c>
      <c r="H97" s="7" t="s">
        <v>558</v>
      </c>
      <c r="I97" s="7" t="s">
        <v>322</v>
      </c>
      <c r="L97" s="7">
        <v>10</v>
      </c>
      <c r="O97" s="13"/>
      <c r="T97" s="7" t="s">
        <v>766</v>
      </c>
    </row>
    <row r="98" spans="2:30" x14ac:dyDescent="0.3">
      <c r="B98" t="s">
        <v>378</v>
      </c>
      <c r="C98" s="7" t="s">
        <v>378</v>
      </c>
      <c r="D98" s="7" t="s">
        <v>12</v>
      </c>
      <c r="E98" t="s">
        <v>995</v>
      </c>
      <c r="F98" s="7" t="s">
        <v>95</v>
      </c>
      <c r="G98" s="7" t="str">
        <f t="shared" ref="G98:G103" si="6">F98</f>
        <v>Untreated discharged waste water</v>
      </c>
      <c r="H98" s="7" t="s">
        <v>5</v>
      </c>
      <c r="I98" s="7" t="s">
        <v>612</v>
      </c>
      <c r="L98" s="7">
        <v>10</v>
      </c>
      <c r="N98" s="8">
        <v>72583000</v>
      </c>
      <c r="O98" s="8">
        <v>81716000</v>
      </c>
      <c r="P98" s="8">
        <v>95919000</v>
      </c>
      <c r="Q98" s="8">
        <v>107699000</v>
      </c>
      <c r="R98" s="8">
        <v>108460000</v>
      </c>
      <c r="W98" s="7" t="s">
        <v>811</v>
      </c>
      <c r="X98" s="7" t="s">
        <v>810</v>
      </c>
      <c r="Y98" s="7" t="s">
        <v>810</v>
      </c>
      <c r="Z98" s="7" t="s">
        <v>810</v>
      </c>
    </row>
    <row r="99" spans="2:30" x14ac:dyDescent="0.3">
      <c r="B99" t="s">
        <v>559</v>
      </c>
      <c r="C99" s="7" t="s">
        <v>559</v>
      </c>
      <c r="D99" s="7" t="s">
        <v>12</v>
      </c>
      <c r="E99" t="s">
        <v>995</v>
      </c>
      <c r="F99" s="7" t="s">
        <v>96</v>
      </c>
      <c r="G99" s="7" t="str">
        <f t="shared" si="6"/>
        <v>Water management initiatives</v>
      </c>
      <c r="H99" s="7" t="s">
        <v>530</v>
      </c>
      <c r="I99" s="7" t="s">
        <v>3</v>
      </c>
      <c r="L99" s="7">
        <v>10</v>
      </c>
      <c r="O99" s="13"/>
      <c r="T99" s="7" t="s">
        <v>762</v>
      </c>
      <c r="AB99" s="7" t="s">
        <v>1034</v>
      </c>
    </row>
    <row r="100" spans="2:30" x14ac:dyDescent="0.3">
      <c r="B100" t="s">
        <v>560</v>
      </c>
      <c r="C100" s="7" t="s">
        <v>560</v>
      </c>
      <c r="D100" s="7" t="s">
        <v>12</v>
      </c>
      <c r="E100" t="s">
        <v>995</v>
      </c>
      <c r="F100" s="7" t="s">
        <v>96</v>
      </c>
      <c r="G100" s="7" t="str">
        <f t="shared" si="6"/>
        <v>Water management initiatives</v>
      </c>
      <c r="H100" s="7" t="s">
        <v>531</v>
      </c>
      <c r="I100" s="7" t="s">
        <v>3</v>
      </c>
      <c r="L100" s="7">
        <v>10</v>
      </c>
      <c r="O100" s="13"/>
      <c r="T100" s="7" t="s">
        <v>762</v>
      </c>
      <c r="AB100" s="7" t="s">
        <v>1034</v>
      </c>
    </row>
    <row r="101" spans="2:30" x14ac:dyDescent="0.3">
      <c r="B101" t="s">
        <v>561</v>
      </c>
      <c r="C101" s="7" t="s">
        <v>561</v>
      </c>
      <c r="D101" s="7" t="s">
        <v>12</v>
      </c>
      <c r="E101" t="s">
        <v>995</v>
      </c>
      <c r="F101" s="7" t="s">
        <v>97</v>
      </c>
      <c r="G101" s="7" t="str">
        <f t="shared" si="6"/>
        <v>Sustainable oceans / seas practices</v>
      </c>
      <c r="H101" s="7" t="s">
        <v>530</v>
      </c>
      <c r="I101" s="7" t="s">
        <v>3</v>
      </c>
      <c r="L101" s="7">
        <v>0</v>
      </c>
      <c r="O101" s="13"/>
    </row>
    <row r="102" spans="2:30" x14ac:dyDescent="0.3">
      <c r="B102" t="s">
        <v>562</v>
      </c>
      <c r="C102" s="7" t="s">
        <v>562</v>
      </c>
      <c r="D102" s="7" t="s">
        <v>12</v>
      </c>
      <c r="E102" t="s">
        <v>995</v>
      </c>
      <c r="F102" s="7" t="s">
        <v>97</v>
      </c>
      <c r="G102" s="7" t="str">
        <f t="shared" si="6"/>
        <v>Sustainable oceans / seas practices</v>
      </c>
      <c r="H102" s="7" t="s">
        <v>531</v>
      </c>
      <c r="I102" s="7" t="s">
        <v>3</v>
      </c>
      <c r="L102" s="7">
        <v>0</v>
      </c>
      <c r="O102" s="13"/>
    </row>
    <row r="103" spans="2:30" x14ac:dyDescent="0.3">
      <c r="B103" t="s">
        <v>379</v>
      </c>
      <c r="C103" s="7" t="s">
        <v>379</v>
      </c>
      <c r="D103" s="7" t="s">
        <v>12</v>
      </c>
      <c r="E103" t="s">
        <v>995</v>
      </c>
      <c r="F103" s="7" t="s">
        <v>98</v>
      </c>
      <c r="G103" s="7" t="str">
        <f t="shared" si="6"/>
        <v>Water recycled and reused</v>
      </c>
      <c r="H103" s="7" t="s">
        <v>5</v>
      </c>
      <c r="I103" s="7" t="s">
        <v>4</v>
      </c>
      <c r="L103" s="7">
        <v>10</v>
      </c>
      <c r="N103" s="15">
        <v>0.5</v>
      </c>
      <c r="O103" s="15">
        <v>0.46600000000000003</v>
      </c>
      <c r="P103" s="15">
        <v>0.47</v>
      </c>
      <c r="Q103" s="15">
        <v>0.46</v>
      </c>
      <c r="R103" s="15">
        <v>0.51</v>
      </c>
      <c r="S103" s="14"/>
      <c r="V103" s="7" t="s">
        <v>805</v>
      </c>
      <c r="W103" s="7" t="s">
        <v>811</v>
      </c>
      <c r="X103" s="7" t="s">
        <v>810</v>
      </c>
      <c r="Y103" s="7" t="s">
        <v>810</v>
      </c>
      <c r="Z103" s="7" t="s">
        <v>810</v>
      </c>
    </row>
    <row r="104" spans="2:30" x14ac:dyDescent="0.3">
      <c r="B104" t="s">
        <v>380</v>
      </c>
      <c r="C104" s="7" t="s">
        <v>380</v>
      </c>
      <c r="D104" s="7" t="s">
        <v>12</v>
      </c>
      <c r="E104" t="s">
        <v>996</v>
      </c>
      <c r="F104" s="7" t="s">
        <v>99</v>
      </c>
      <c r="G104" s="7" t="s">
        <v>100</v>
      </c>
      <c r="H104" s="7" t="s">
        <v>5</v>
      </c>
      <c r="I104" s="7" t="s">
        <v>642</v>
      </c>
      <c r="L104" s="7">
        <v>1</v>
      </c>
      <c r="T104" s="7">
        <v>0</v>
      </c>
    </row>
    <row r="105" spans="2:30" x14ac:dyDescent="0.3">
      <c r="B105" t="s">
        <v>563</v>
      </c>
      <c r="C105" s="7" t="s">
        <v>563</v>
      </c>
      <c r="D105" s="7" t="s">
        <v>12</v>
      </c>
      <c r="E105" t="s">
        <v>996</v>
      </c>
      <c r="F105" s="7" t="s">
        <v>101</v>
      </c>
      <c r="G105" s="7" t="str">
        <f>F105</f>
        <v>Environmental audits</v>
      </c>
      <c r="I105" s="7" t="s">
        <v>3</v>
      </c>
      <c r="L105" s="7">
        <v>1</v>
      </c>
      <c r="O105" s="13"/>
      <c r="T105" s="7" t="s">
        <v>762</v>
      </c>
    </row>
    <row r="106" spans="2:30" s="47" customFormat="1" x14ac:dyDescent="0.3">
      <c r="B106" t="s">
        <v>564</v>
      </c>
      <c r="C106" s="47" t="s">
        <v>564</v>
      </c>
      <c r="D106" s="47" t="s">
        <v>12</v>
      </c>
      <c r="E106" t="s">
        <v>996</v>
      </c>
      <c r="F106" s="47" t="s">
        <v>101</v>
      </c>
      <c r="G106" s="47" t="s">
        <v>643</v>
      </c>
      <c r="H106" s="47" t="s">
        <v>63</v>
      </c>
      <c r="I106" s="47" t="s">
        <v>3</v>
      </c>
      <c r="L106" s="47">
        <v>1</v>
      </c>
      <c r="O106" s="48"/>
      <c r="T106" s="47" t="s">
        <v>762</v>
      </c>
    </row>
    <row r="107" spans="2:30" x14ac:dyDescent="0.3">
      <c r="B107" t="s">
        <v>565</v>
      </c>
      <c r="C107" s="7" t="s">
        <v>565</v>
      </c>
      <c r="D107" s="7" t="s">
        <v>103</v>
      </c>
      <c r="E107" t="s">
        <v>997</v>
      </c>
      <c r="F107" s="7" t="s">
        <v>104</v>
      </c>
      <c r="G107" s="7" t="s">
        <v>530</v>
      </c>
      <c r="H107" s="7" t="s">
        <v>530</v>
      </c>
      <c r="I107" s="7" t="s">
        <v>3</v>
      </c>
      <c r="L107" s="7">
        <v>1</v>
      </c>
      <c r="O107" s="13"/>
      <c r="T107" s="7" t="s">
        <v>762</v>
      </c>
      <c r="AB107" s="7" t="s">
        <v>825</v>
      </c>
    </row>
    <row r="108" spans="2:30" x14ac:dyDescent="0.3">
      <c r="B108" t="s">
        <v>566</v>
      </c>
      <c r="C108" s="7" t="s">
        <v>566</v>
      </c>
      <c r="D108" s="7" t="s">
        <v>103</v>
      </c>
      <c r="E108" t="s">
        <v>997</v>
      </c>
      <c r="F108" s="7" t="s">
        <v>104</v>
      </c>
      <c r="G108" s="7" t="s">
        <v>105</v>
      </c>
      <c r="H108" s="7" t="s">
        <v>531</v>
      </c>
      <c r="I108" s="7" t="s">
        <v>3</v>
      </c>
      <c r="L108" s="7">
        <v>1</v>
      </c>
      <c r="O108" s="13"/>
      <c r="T108" s="7" t="s">
        <v>762</v>
      </c>
      <c r="AB108" s="7" t="s">
        <v>825</v>
      </c>
      <c r="AD108" s="7" t="s">
        <v>813</v>
      </c>
    </row>
    <row r="109" spans="2:30" x14ac:dyDescent="0.3">
      <c r="B109" t="s">
        <v>381</v>
      </c>
      <c r="C109" s="7" t="s">
        <v>381</v>
      </c>
      <c r="D109" s="7" t="s">
        <v>103</v>
      </c>
      <c r="E109" t="s">
        <v>997</v>
      </c>
      <c r="F109" s="7" t="s">
        <v>106</v>
      </c>
      <c r="G109" s="7" t="str">
        <f>F109</f>
        <v>Employee turnover rate</v>
      </c>
      <c r="H109" s="7" t="s">
        <v>5</v>
      </c>
      <c r="I109" s="7" t="s">
        <v>4</v>
      </c>
      <c r="L109" s="7">
        <v>1</v>
      </c>
      <c r="P109" s="14"/>
      <c r="T109" s="14">
        <v>0.19500000000000001</v>
      </c>
      <c r="AD109" s="7" t="s">
        <v>814</v>
      </c>
    </row>
    <row r="110" spans="2:30" x14ac:dyDescent="0.3">
      <c r="B110" t="s">
        <v>567</v>
      </c>
      <c r="C110" s="7" t="s">
        <v>567</v>
      </c>
      <c r="D110" s="7" t="s">
        <v>103</v>
      </c>
      <c r="E110" t="s">
        <v>997</v>
      </c>
      <c r="F110" s="7" t="s">
        <v>107</v>
      </c>
      <c r="G110" s="7" t="s">
        <v>530</v>
      </c>
      <c r="H110" s="7" t="s">
        <v>530</v>
      </c>
      <c r="I110" s="7" t="s">
        <v>3</v>
      </c>
      <c r="L110" s="7">
        <v>1</v>
      </c>
      <c r="O110" s="13"/>
      <c r="T110" s="7" t="s">
        <v>763</v>
      </c>
    </row>
    <row r="111" spans="2:30" x14ac:dyDescent="0.3">
      <c r="B111" t="s">
        <v>568</v>
      </c>
      <c r="C111" s="7" t="s">
        <v>568</v>
      </c>
      <c r="D111" s="7" t="s">
        <v>103</v>
      </c>
      <c r="E111" t="s">
        <v>997</v>
      </c>
      <c r="F111" s="7" t="s">
        <v>107</v>
      </c>
      <c r="G111" s="7" t="s">
        <v>105</v>
      </c>
      <c r="H111" s="7" t="s">
        <v>531</v>
      </c>
      <c r="I111" s="7" t="s">
        <v>3</v>
      </c>
      <c r="L111" s="7">
        <v>1</v>
      </c>
      <c r="O111" s="13"/>
      <c r="T111" s="7" t="s">
        <v>763</v>
      </c>
    </row>
    <row r="112" spans="2:30" x14ac:dyDescent="0.3">
      <c r="B112" t="s">
        <v>571</v>
      </c>
      <c r="C112" s="7" t="s">
        <v>571</v>
      </c>
      <c r="D112" s="7" t="s">
        <v>103</v>
      </c>
      <c r="E112" t="s">
        <v>997</v>
      </c>
      <c r="F112" s="7" t="s">
        <v>108</v>
      </c>
      <c r="G112" s="7" t="s">
        <v>530</v>
      </c>
      <c r="H112" s="7" t="s">
        <v>530</v>
      </c>
      <c r="I112" s="7" t="s">
        <v>3</v>
      </c>
      <c r="L112" s="7">
        <v>1</v>
      </c>
      <c r="O112" s="13"/>
      <c r="T112" s="7" t="s">
        <v>763</v>
      </c>
    </row>
    <row r="113" spans="2:29" x14ac:dyDescent="0.3">
      <c r="B113" t="s">
        <v>572</v>
      </c>
      <c r="C113" s="7" t="s">
        <v>572</v>
      </c>
      <c r="D113" s="7" t="s">
        <v>103</v>
      </c>
      <c r="E113" t="s">
        <v>997</v>
      </c>
      <c r="F113" s="7" t="s">
        <v>108</v>
      </c>
      <c r="G113" s="7" t="s">
        <v>105</v>
      </c>
      <c r="H113" s="7" t="s">
        <v>531</v>
      </c>
      <c r="I113" s="7" t="s">
        <v>3</v>
      </c>
      <c r="L113" s="7">
        <v>1</v>
      </c>
      <c r="O113" s="13"/>
      <c r="T113" s="7" t="s">
        <v>763</v>
      </c>
    </row>
    <row r="114" spans="2:29" x14ac:dyDescent="0.3">
      <c r="B114" t="s">
        <v>573</v>
      </c>
      <c r="C114" s="7" t="s">
        <v>573</v>
      </c>
      <c r="D114" s="7" t="s">
        <v>103</v>
      </c>
      <c r="E114" t="s">
        <v>997</v>
      </c>
      <c r="F114" s="7" t="s">
        <v>109</v>
      </c>
      <c r="G114" s="7" t="s">
        <v>569</v>
      </c>
      <c r="H114" s="7" t="s">
        <v>530</v>
      </c>
      <c r="I114" s="7" t="s">
        <v>3</v>
      </c>
      <c r="L114" s="7">
        <v>1</v>
      </c>
      <c r="O114" s="13"/>
      <c r="T114" s="7" t="s">
        <v>762</v>
      </c>
      <c r="AB114" s="7" t="s">
        <v>826</v>
      </c>
    </row>
    <row r="115" spans="2:29" x14ac:dyDescent="0.3">
      <c r="B115" t="s">
        <v>574</v>
      </c>
      <c r="C115" s="7" t="s">
        <v>574</v>
      </c>
      <c r="D115" s="7" t="s">
        <v>103</v>
      </c>
      <c r="E115" t="s">
        <v>997</v>
      </c>
      <c r="F115" s="7" t="s">
        <v>109</v>
      </c>
      <c r="G115" s="7" t="s">
        <v>570</v>
      </c>
      <c r="H115" s="7" t="s">
        <v>531</v>
      </c>
      <c r="I115" s="7" t="s">
        <v>3</v>
      </c>
      <c r="L115" s="7">
        <v>1</v>
      </c>
      <c r="O115" s="13"/>
      <c r="T115" s="7" t="s">
        <v>763</v>
      </c>
    </row>
    <row r="116" spans="2:29" x14ac:dyDescent="0.3">
      <c r="B116" t="s">
        <v>382</v>
      </c>
      <c r="C116" s="7" t="s">
        <v>382</v>
      </c>
      <c r="D116" s="7" t="s">
        <v>103</v>
      </c>
      <c r="E116" t="s">
        <v>997</v>
      </c>
      <c r="F116" s="7" t="s">
        <v>110</v>
      </c>
      <c r="G116" s="7" t="s">
        <v>111</v>
      </c>
      <c r="H116" s="7" t="s">
        <v>5</v>
      </c>
      <c r="I116" s="7" t="s">
        <v>4</v>
      </c>
      <c r="L116" s="7">
        <v>1</v>
      </c>
      <c r="T116" s="30">
        <f>4565/(282874+4565)</f>
        <v>1.5881630537261819E-2</v>
      </c>
      <c r="AB116" s="7" t="s">
        <v>827</v>
      </c>
    </row>
    <row r="117" spans="2:29" x14ac:dyDescent="0.3">
      <c r="B117" t="s">
        <v>383</v>
      </c>
      <c r="C117" s="7" t="s">
        <v>383</v>
      </c>
      <c r="D117" s="7" t="s">
        <v>103</v>
      </c>
      <c r="E117" t="s">
        <v>997</v>
      </c>
      <c r="F117" s="7" t="s">
        <v>112</v>
      </c>
      <c r="G117" s="7" t="s">
        <v>113</v>
      </c>
      <c r="H117" s="7" t="s">
        <v>5</v>
      </c>
      <c r="I117" s="7" t="s">
        <v>114</v>
      </c>
      <c r="L117" s="7">
        <v>1</v>
      </c>
      <c r="Q117" s="7">
        <f>286/8</f>
        <v>35.75</v>
      </c>
      <c r="R117" s="7">
        <f>268/8</f>
        <v>33.5</v>
      </c>
      <c r="S117" s="7">
        <f>242/8</f>
        <v>30.25</v>
      </c>
      <c r="AB117" s="7" t="s">
        <v>828</v>
      </c>
    </row>
    <row r="118" spans="2:29" x14ac:dyDescent="0.3">
      <c r="B118" t="s">
        <v>384</v>
      </c>
      <c r="C118" s="7" t="s">
        <v>384</v>
      </c>
      <c r="D118" s="7" t="s">
        <v>103</v>
      </c>
      <c r="E118" t="s">
        <v>997</v>
      </c>
      <c r="F118" s="7" t="s">
        <v>115</v>
      </c>
      <c r="G118" s="7" t="s">
        <v>116</v>
      </c>
      <c r="H118" s="7" t="s">
        <v>214</v>
      </c>
      <c r="I118" s="7" t="s">
        <v>3</v>
      </c>
      <c r="L118" s="7">
        <v>1</v>
      </c>
      <c r="O118" s="13"/>
      <c r="T118" s="7" t="s">
        <v>762</v>
      </c>
      <c r="AB118" s="7" t="s">
        <v>829</v>
      </c>
    </row>
    <row r="119" spans="2:29" x14ac:dyDescent="0.3">
      <c r="B119" t="s">
        <v>575</v>
      </c>
      <c r="C119" s="7" t="s">
        <v>575</v>
      </c>
      <c r="D119" s="7" t="s">
        <v>103</v>
      </c>
      <c r="E119" t="s">
        <v>997</v>
      </c>
      <c r="F119" s="7" t="s">
        <v>117</v>
      </c>
      <c r="G119" s="7" t="s">
        <v>530</v>
      </c>
      <c r="H119" s="7" t="s">
        <v>530</v>
      </c>
      <c r="I119" s="7" t="s">
        <v>3</v>
      </c>
      <c r="L119" s="7">
        <v>1</v>
      </c>
      <c r="O119" s="13"/>
      <c r="T119" s="7" t="s">
        <v>762</v>
      </c>
      <c r="AB119" s="7" t="s">
        <v>830</v>
      </c>
    </row>
    <row r="120" spans="2:29" x14ac:dyDescent="0.3">
      <c r="B120" t="s">
        <v>576</v>
      </c>
      <c r="C120" s="7" t="s">
        <v>576</v>
      </c>
      <c r="D120" s="7" t="s">
        <v>103</v>
      </c>
      <c r="E120" t="s">
        <v>997</v>
      </c>
      <c r="F120" s="7" t="s">
        <v>117</v>
      </c>
      <c r="G120" s="7" t="s">
        <v>105</v>
      </c>
      <c r="H120" s="7" t="s">
        <v>531</v>
      </c>
      <c r="I120" s="7" t="s">
        <v>3</v>
      </c>
      <c r="L120" s="7">
        <v>1</v>
      </c>
      <c r="O120" s="13"/>
      <c r="T120" s="7" t="s">
        <v>763</v>
      </c>
    </row>
    <row r="121" spans="2:29" x14ac:dyDescent="0.3">
      <c r="B121" t="s">
        <v>385</v>
      </c>
      <c r="C121" s="7" t="s">
        <v>385</v>
      </c>
      <c r="D121" s="7" t="s">
        <v>103</v>
      </c>
      <c r="E121" t="s">
        <v>997</v>
      </c>
      <c r="F121" s="7" t="s">
        <v>118</v>
      </c>
      <c r="G121" s="7" t="s">
        <v>530</v>
      </c>
      <c r="H121" s="7" t="s">
        <v>530</v>
      </c>
      <c r="I121" s="7" t="s">
        <v>3</v>
      </c>
      <c r="L121" s="7">
        <v>10</v>
      </c>
      <c r="O121" s="13"/>
      <c r="T121" s="7" t="s">
        <v>762</v>
      </c>
    </row>
    <row r="122" spans="2:29" x14ac:dyDescent="0.3">
      <c r="B122" t="s">
        <v>578</v>
      </c>
      <c r="C122" s="7" t="s">
        <v>578</v>
      </c>
      <c r="D122" s="7" t="s">
        <v>103</v>
      </c>
      <c r="E122" t="s">
        <v>997</v>
      </c>
      <c r="F122" s="7" t="s">
        <v>118</v>
      </c>
      <c r="G122" s="7" t="s">
        <v>105</v>
      </c>
      <c r="H122" s="7" t="s">
        <v>531</v>
      </c>
      <c r="I122" s="7" t="s">
        <v>3</v>
      </c>
      <c r="L122" s="7">
        <v>10</v>
      </c>
      <c r="O122" s="13"/>
      <c r="T122" s="7" t="s">
        <v>762</v>
      </c>
      <c r="AB122" s="7" t="s">
        <v>831</v>
      </c>
    </row>
    <row r="123" spans="2:29" x14ac:dyDescent="0.3">
      <c r="B123" t="s">
        <v>577</v>
      </c>
      <c r="C123" s="7" t="s">
        <v>577</v>
      </c>
      <c r="D123" s="7" t="s">
        <v>103</v>
      </c>
      <c r="E123" t="s">
        <v>997</v>
      </c>
      <c r="F123" s="7" t="s">
        <v>118</v>
      </c>
      <c r="G123" s="7" t="s">
        <v>119</v>
      </c>
      <c r="H123" s="7" t="s">
        <v>722</v>
      </c>
      <c r="I123" s="7" t="s">
        <v>3</v>
      </c>
      <c r="L123" s="7">
        <v>10</v>
      </c>
      <c r="O123" s="13"/>
      <c r="T123" s="7" t="s">
        <v>762</v>
      </c>
      <c r="AC123" s="7" t="s">
        <v>815</v>
      </c>
    </row>
    <row r="124" spans="2:29" x14ac:dyDescent="0.3">
      <c r="B124" t="s">
        <v>579</v>
      </c>
      <c r="C124" s="7" t="s">
        <v>579</v>
      </c>
      <c r="D124" s="7" t="s">
        <v>103</v>
      </c>
      <c r="E124" t="s">
        <v>997</v>
      </c>
      <c r="F124" s="7" t="s">
        <v>120</v>
      </c>
      <c r="G124" s="7" t="s">
        <v>530</v>
      </c>
      <c r="H124" s="7" t="s">
        <v>530</v>
      </c>
      <c r="I124" s="7" t="s">
        <v>3</v>
      </c>
      <c r="L124" s="7">
        <v>10</v>
      </c>
      <c r="O124" s="13"/>
      <c r="T124" s="7" t="s">
        <v>762</v>
      </c>
      <c r="AC124" s="7" t="s">
        <v>816</v>
      </c>
    </row>
    <row r="125" spans="2:29" x14ac:dyDescent="0.3">
      <c r="B125" t="s">
        <v>580</v>
      </c>
      <c r="C125" s="7" t="s">
        <v>580</v>
      </c>
      <c r="D125" s="7" t="s">
        <v>103</v>
      </c>
      <c r="E125" t="s">
        <v>997</v>
      </c>
      <c r="F125" s="7" t="s">
        <v>120</v>
      </c>
      <c r="G125" s="7" t="s">
        <v>105</v>
      </c>
      <c r="H125" s="7" t="s">
        <v>531</v>
      </c>
      <c r="I125" s="7" t="s">
        <v>3</v>
      </c>
      <c r="L125" s="7">
        <v>10</v>
      </c>
      <c r="O125" s="13"/>
      <c r="T125" s="7" t="s">
        <v>762</v>
      </c>
      <c r="AC125" s="7" t="s">
        <v>816</v>
      </c>
    </row>
    <row r="126" spans="2:29" x14ac:dyDescent="0.3">
      <c r="B126" t="s">
        <v>386</v>
      </c>
      <c r="C126" s="7" t="s">
        <v>386</v>
      </c>
      <c r="D126" s="7" t="s">
        <v>103</v>
      </c>
      <c r="E126" t="s">
        <v>997</v>
      </c>
      <c r="F126" s="7" t="s">
        <v>121</v>
      </c>
      <c r="G126" s="7" t="s">
        <v>105</v>
      </c>
      <c r="H126" s="7" t="s">
        <v>19</v>
      </c>
      <c r="I126" s="7" t="s">
        <v>3</v>
      </c>
      <c r="L126" s="7">
        <v>10</v>
      </c>
      <c r="O126" s="13"/>
      <c r="T126" s="7" t="s">
        <v>762</v>
      </c>
      <c r="AC126" s="7" t="s">
        <v>816</v>
      </c>
    </row>
    <row r="127" spans="2:29" x14ac:dyDescent="0.3">
      <c r="B127" s="7" t="s">
        <v>387</v>
      </c>
      <c r="C127" s="7" t="s">
        <v>387</v>
      </c>
      <c r="D127" s="7" t="s">
        <v>103</v>
      </c>
      <c r="E127" s="7" t="s">
        <v>997</v>
      </c>
      <c r="F127" s="7" t="s">
        <v>122</v>
      </c>
      <c r="H127" s="7" t="s">
        <v>5</v>
      </c>
      <c r="I127" s="7" t="s">
        <v>78</v>
      </c>
      <c r="L127" s="7">
        <v>10</v>
      </c>
    </row>
    <row r="128" spans="2:29" x14ac:dyDescent="0.3">
      <c r="B128" s="7" t="s">
        <v>388</v>
      </c>
      <c r="C128" s="7" t="s">
        <v>388</v>
      </c>
      <c r="D128" s="7" t="s">
        <v>103</v>
      </c>
      <c r="E128" s="7" t="s">
        <v>997</v>
      </c>
      <c r="F128" s="7" t="s">
        <v>123</v>
      </c>
      <c r="H128" s="7" t="s">
        <v>5</v>
      </c>
      <c r="I128" s="7" t="s">
        <v>124</v>
      </c>
      <c r="L128" s="7">
        <v>10</v>
      </c>
    </row>
    <row r="129" spans="2:29" x14ac:dyDescent="0.3">
      <c r="B129" t="s">
        <v>582</v>
      </c>
      <c r="C129" s="7" t="s">
        <v>582</v>
      </c>
      <c r="D129" s="7" t="s">
        <v>103</v>
      </c>
      <c r="E129" t="s">
        <v>997</v>
      </c>
      <c r="F129" s="7" t="s">
        <v>125</v>
      </c>
      <c r="G129" s="7" t="s">
        <v>530</v>
      </c>
      <c r="H129" s="7" t="s">
        <v>530</v>
      </c>
      <c r="I129" s="7" t="s">
        <v>3</v>
      </c>
      <c r="L129" s="7">
        <v>10</v>
      </c>
      <c r="O129" s="13"/>
      <c r="T129" s="7" t="s">
        <v>762</v>
      </c>
      <c r="AB129" s="7" t="s">
        <v>831</v>
      </c>
    </row>
    <row r="130" spans="2:29" x14ac:dyDescent="0.3">
      <c r="B130" t="s">
        <v>581</v>
      </c>
      <c r="C130" s="7" t="s">
        <v>581</v>
      </c>
      <c r="D130" s="7" t="s">
        <v>103</v>
      </c>
      <c r="E130" t="s">
        <v>997</v>
      </c>
      <c r="F130" s="7" t="s">
        <v>125</v>
      </c>
      <c r="G130" s="7" t="s">
        <v>105</v>
      </c>
      <c r="H130" s="7" t="s">
        <v>531</v>
      </c>
      <c r="I130" s="7" t="s">
        <v>3</v>
      </c>
      <c r="L130" s="7">
        <v>10</v>
      </c>
      <c r="O130" s="13"/>
      <c r="T130" s="7" t="s">
        <v>763</v>
      </c>
    </row>
    <row r="131" spans="2:29" x14ac:dyDescent="0.3">
      <c r="B131" t="s">
        <v>583</v>
      </c>
      <c r="C131" s="7" t="s">
        <v>583</v>
      </c>
      <c r="D131" s="7" t="s">
        <v>103</v>
      </c>
      <c r="E131" t="s">
        <v>998</v>
      </c>
      <c r="F131" s="7" t="s">
        <v>126</v>
      </c>
      <c r="G131" s="7" t="s">
        <v>530</v>
      </c>
      <c r="H131" s="7" t="s">
        <v>530</v>
      </c>
      <c r="I131" s="7" t="s">
        <v>3</v>
      </c>
      <c r="L131" s="7">
        <v>1</v>
      </c>
      <c r="O131" s="13"/>
      <c r="T131" s="7" t="s">
        <v>762</v>
      </c>
    </row>
    <row r="132" spans="2:29" x14ac:dyDescent="0.3">
      <c r="B132" t="s">
        <v>584</v>
      </c>
      <c r="C132" s="7" t="s">
        <v>584</v>
      </c>
      <c r="D132" s="7" t="s">
        <v>103</v>
      </c>
      <c r="E132" t="s">
        <v>998</v>
      </c>
      <c r="F132" s="7" t="s">
        <v>126</v>
      </c>
      <c r="G132" s="7" t="s">
        <v>105</v>
      </c>
      <c r="H132" s="7" t="s">
        <v>531</v>
      </c>
      <c r="I132" s="7" t="s">
        <v>3</v>
      </c>
      <c r="L132" s="7">
        <v>1</v>
      </c>
      <c r="O132" s="13"/>
      <c r="T132" s="7" t="s">
        <v>762</v>
      </c>
      <c r="AB132" s="7" t="s">
        <v>832</v>
      </c>
    </row>
    <row r="133" spans="2:29" x14ac:dyDescent="0.3">
      <c r="B133" t="s">
        <v>585</v>
      </c>
      <c r="C133" s="7" t="s">
        <v>585</v>
      </c>
      <c r="D133" s="7" t="s">
        <v>103</v>
      </c>
      <c r="E133" t="s">
        <v>998</v>
      </c>
      <c r="F133" s="7" t="s">
        <v>127</v>
      </c>
      <c r="G133" s="7" t="s">
        <v>530</v>
      </c>
      <c r="H133" s="7" t="s">
        <v>530</v>
      </c>
      <c r="I133" s="7" t="s">
        <v>3</v>
      </c>
      <c r="L133" s="7">
        <v>1</v>
      </c>
      <c r="O133" s="13"/>
      <c r="T133" s="7" t="s">
        <v>762</v>
      </c>
      <c r="AB133" s="7" t="s">
        <v>833</v>
      </c>
      <c r="AC133" s="17"/>
    </row>
    <row r="134" spans="2:29" x14ac:dyDescent="0.3">
      <c r="B134" t="s">
        <v>389</v>
      </c>
      <c r="C134" s="7" t="s">
        <v>389</v>
      </c>
      <c r="D134" s="7" t="s">
        <v>103</v>
      </c>
      <c r="E134" t="s">
        <v>998</v>
      </c>
      <c r="F134" s="7" t="s">
        <v>128</v>
      </c>
      <c r="G134" s="7" t="s">
        <v>530</v>
      </c>
      <c r="H134" s="7" t="s">
        <v>530</v>
      </c>
      <c r="I134" s="7" t="s">
        <v>3</v>
      </c>
      <c r="L134" s="7">
        <v>1</v>
      </c>
      <c r="O134" s="13"/>
      <c r="T134" s="7" t="s">
        <v>762</v>
      </c>
      <c r="AB134" s="7" t="s">
        <v>829</v>
      </c>
    </row>
    <row r="135" spans="2:29" x14ac:dyDescent="0.3">
      <c r="B135" t="s">
        <v>390</v>
      </c>
      <c r="C135" s="7" t="s">
        <v>390</v>
      </c>
      <c r="D135" s="7" t="s">
        <v>103</v>
      </c>
      <c r="E135" t="s">
        <v>998</v>
      </c>
      <c r="F135" s="7" t="s">
        <v>129</v>
      </c>
      <c r="G135" s="7" t="s">
        <v>130</v>
      </c>
      <c r="H135" s="7" t="s">
        <v>131</v>
      </c>
      <c r="I135" s="7" t="s">
        <v>132</v>
      </c>
      <c r="L135" s="7">
        <v>1</v>
      </c>
      <c r="O135" s="13"/>
      <c r="T135" s="7" t="s">
        <v>764</v>
      </c>
    </row>
    <row r="136" spans="2:29" x14ac:dyDescent="0.3">
      <c r="B136" t="s">
        <v>391</v>
      </c>
      <c r="C136" s="7" t="s">
        <v>391</v>
      </c>
      <c r="D136" s="7" t="s">
        <v>103</v>
      </c>
      <c r="E136" t="s">
        <v>998</v>
      </c>
      <c r="F136" s="7" t="s">
        <v>129</v>
      </c>
      <c r="G136" s="7" t="s">
        <v>586</v>
      </c>
      <c r="H136" s="7" t="s">
        <v>530</v>
      </c>
      <c r="I136" s="7" t="s">
        <v>3</v>
      </c>
      <c r="L136" s="7">
        <v>1</v>
      </c>
      <c r="O136" s="13"/>
      <c r="T136" s="7" t="s">
        <v>762</v>
      </c>
      <c r="AB136" s="7" t="s">
        <v>834</v>
      </c>
    </row>
    <row r="137" spans="2:29" x14ac:dyDescent="0.3">
      <c r="B137" t="s">
        <v>392</v>
      </c>
      <c r="C137" s="7" t="s">
        <v>392</v>
      </c>
      <c r="D137" s="7" t="s">
        <v>103</v>
      </c>
      <c r="E137" t="s">
        <v>998</v>
      </c>
      <c r="F137" s="7" t="s">
        <v>133</v>
      </c>
      <c r="G137" s="7" t="s">
        <v>134</v>
      </c>
      <c r="H137" s="7" t="s">
        <v>131</v>
      </c>
      <c r="I137" s="7" t="s">
        <v>132</v>
      </c>
      <c r="L137" s="7">
        <v>1</v>
      </c>
      <c r="T137" s="7" t="s">
        <v>764</v>
      </c>
      <c r="AB137" s="7" t="s">
        <v>829</v>
      </c>
    </row>
    <row r="138" spans="2:29" x14ac:dyDescent="0.3">
      <c r="B138" t="s">
        <v>393</v>
      </c>
      <c r="C138" s="7" t="s">
        <v>393</v>
      </c>
      <c r="D138" s="7" t="s">
        <v>103</v>
      </c>
      <c r="E138" t="s">
        <v>998</v>
      </c>
      <c r="F138" s="7" t="s">
        <v>133</v>
      </c>
      <c r="G138" s="7" t="s">
        <v>587</v>
      </c>
      <c r="H138" s="7" t="s">
        <v>530</v>
      </c>
      <c r="I138" s="7" t="s">
        <v>3</v>
      </c>
      <c r="L138" s="7">
        <v>1</v>
      </c>
      <c r="O138" s="13"/>
      <c r="T138" s="7" t="s">
        <v>762</v>
      </c>
    </row>
    <row r="139" spans="2:29" x14ac:dyDescent="0.3">
      <c r="B139" t="s">
        <v>135</v>
      </c>
      <c r="C139" s="7" t="s">
        <v>135</v>
      </c>
      <c r="D139" s="7" t="s">
        <v>103</v>
      </c>
      <c r="E139" t="s">
        <v>998</v>
      </c>
      <c r="F139" s="7" t="s">
        <v>136</v>
      </c>
      <c r="G139" s="7" t="s">
        <v>137</v>
      </c>
      <c r="H139" s="7" t="s">
        <v>5</v>
      </c>
      <c r="I139" s="7" t="s">
        <v>78</v>
      </c>
      <c r="L139" s="7">
        <v>1</v>
      </c>
      <c r="O139" s="13"/>
      <c r="T139" s="7">
        <v>1</v>
      </c>
      <c r="AC139" s="7" t="s">
        <v>817</v>
      </c>
    </row>
    <row r="140" spans="2:29" x14ac:dyDescent="0.3">
      <c r="B140" t="s">
        <v>588</v>
      </c>
      <c r="C140" s="7" t="s">
        <v>588</v>
      </c>
      <c r="D140" s="7" t="s">
        <v>103</v>
      </c>
      <c r="E140" t="s">
        <v>998</v>
      </c>
      <c r="F140" s="7" t="s">
        <v>138</v>
      </c>
      <c r="G140" s="7" t="s">
        <v>590</v>
      </c>
      <c r="I140" s="7" t="s">
        <v>3</v>
      </c>
      <c r="L140" s="7">
        <v>1</v>
      </c>
      <c r="T140" s="7" t="s">
        <v>763</v>
      </c>
    </row>
    <row r="141" spans="2:29" x14ac:dyDescent="0.3">
      <c r="B141" t="s">
        <v>589</v>
      </c>
      <c r="C141" s="7" t="s">
        <v>589</v>
      </c>
      <c r="D141" s="7" t="s">
        <v>103</v>
      </c>
      <c r="E141" t="s">
        <v>999</v>
      </c>
      <c r="F141" s="7" t="s">
        <v>138</v>
      </c>
      <c r="G141" s="7" t="s">
        <v>591</v>
      </c>
      <c r="I141" s="7" t="s">
        <v>3</v>
      </c>
      <c r="L141" s="7">
        <v>1</v>
      </c>
      <c r="T141" s="7" t="s">
        <v>763</v>
      </c>
    </row>
    <row r="142" spans="2:29" x14ac:dyDescent="0.3">
      <c r="B142" t="s">
        <v>394</v>
      </c>
      <c r="C142" s="7" t="s">
        <v>394</v>
      </c>
      <c r="D142" s="7" t="s">
        <v>103</v>
      </c>
      <c r="E142" t="s">
        <v>1000</v>
      </c>
      <c r="F142" s="7" t="s">
        <v>139</v>
      </c>
      <c r="G142" s="7" t="s">
        <v>592</v>
      </c>
      <c r="H142" s="7" t="s">
        <v>530</v>
      </c>
      <c r="I142" s="7" t="s">
        <v>3</v>
      </c>
      <c r="L142" s="7">
        <v>1</v>
      </c>
      <c r="T142" s="7" t="s">
        <v>762</v>
      </c>
      <c r="AB142" s="7" t="s">
        <v>835</v>
      </c>
    </row>
    <row r="143" spans="2:29" x14ac:dyDescent="0.3">
      <c r="B143" t="s">
        <v>646</v>
      </c>
      <c r="C143" s="7" t="s">
        <v>646</v>
      </c>
      <c r="D143" s="7" t="s">
        <v>103</v>
      </c>
      <c r="E143" t="s">
        <v>1000</v>
      </c>
      <c r="F143" s="7" t="s">
        <v>139</v>
      </c>
      <c r="G143" s="7" t="s">
        <v>140</v>
      </c>
      <c r="I143" s="7" t="s">
        <v>3</v>
      </c>
      <c r="L143" s="7">
        <v>1</v>
      </c>
      <c r="O143" s="13"/>
      <c r="T143" s="7" t="s">
        <v>762</v>
      </c>
      <c r="AB143" s="7" t="s">
        <v>835</v>
      </c>
    </row>
    <row r="144" spans="2:29" x14ac:dyDescent="0.3">
      <c r="B144" t="s">
        <v>395</v>
      </c>
      <c r="C144" s="7" t="s">
        <v>395</v>
      </c>
      <c r="D144" s="7" t="s">
        <v>103</v>
      </c>
      <c r="E144" t="s">
        <v>1000</v>
      </c>
      <c r="F144" s="7" t="s">
        <v>141</v>
      </c>
      <c r="G144" s="7" t="s">
        <v>142</v>
      </c>
      <c r="I144" s="7" t="s">
        <v>3</v>
      </c>
      <c r="L144" s="7">
        <v>1</v>
      </c>
      <c r="O144" s="13"/>
      <c r="T144" s="7" t="s">
        <v>762</v>
      </c>
      <c r="AB144" s="7" t="s">
        <v>835</v>
      </c>
    </row>
    <row r="145" spans="2:30" x14ac:dyDescent="0.3">
      <c r="B145" t="s">
        <v>396</v>
      </c>
      <c r="C145" s="7" t="s">
        <v>396</v>
      </c>
      <c r="D145" s="7" t="s">
        <v>103</v>
      </c>
      <c r="E145" t="s">
        <v>1000</v>
      </c>
      <c r="F145" s="7" t="s">
        <v>143</v>
      </c>
      <c r="G145" s="7" t="s">
        <v>144</v>
      </c>
      <c r="H145" s="7" t="s">
        <v>5</v>
      </c>
      <c r="I145" s="7" t="s">
        <v>78</v>
      </c>
      <c r="L145" s="7">
        <v>1</v>
      </c>
      <c r="O145" s="13"/>
      <c r="T145" s="7">
        <v>0</v>
      </c>
    </row>
    <row r="146" spans="2:30" x14ac:dyDescent="0.3">
      <c r="B146" t="s">
        <v>397</v>
      </c>
      <c r="C146" s="7" t="s">
        <v>397</v>
      </c>
      <c r="D146" s="7" t="s">
        <v>103</v>
      </c>
      <c r="E146" t="s">
        <v>1000</v>
      </c>
      <c r="F146" s="7" t="s">
        <v>145</v>
      </c>
      <c r="G146" s="7" t="s">
        <v>594</v>
      </c>
      <c r="H146" s="7" t="s">
        <v>530</v>
      </c>
      <c r="I146" s="7" t="s">
        <v>3</v>
      </c>
      <c r="L146" s="7">
        <v>1</v>
      </c>
      <c r="T146" s="7" t="s">
        <v>762</v>
      </c>
    </row>
    <row r="147" spans="2:30" x14ac:dyDescent="0.3">
      <c r="B147" t="s">
        <v>647</v>
      </c>
      <c r="C147" s="7" t="s">
        <v>647</v>
      </c>
      <c r="D147" s="7" t="s">
        <v>103</v>
      </c>
      <c r="E147" t="s">
        <v>1000</v>
      </c>
      <c r="F147" s="7" t="s">
        <v>145</v>
      </c>
      <c r="G147" s="7" t="s">
        <v>146</v>
      </c>
      <c r="H147" s="7" t="s">
        <v>531</v>
      </c>
      <c r="I147" s="7" t="s">
        <v>3</v>
      </c>
      <c r="L147" s="7">
        <v>1</v>
      </c>
      <c r="O147" s="13"/>
      <c r="T147" s="7" t="s">
        <v>762</v>
      </c>
      <c r="AB147" s="7" t="s">
        <v>835</v>
      </c>
    </row>
    <row r="148" spans="2:30" x14ac:dyDescent="0.3">
      <c r="B148" t="s">
        <v>398</v>
      </c>
      <c r="C148" s="7" t="s">
        <v>398</v>
      </c>
      <c r="D148" s="7" t="s">
        <v>103</v>
      </c>
      <c r="E148" t="s">
        <v>1001</v>
      </c>
      <c r="F148" s="7" t="s">
        <v>332</v>
      </c>
      <c r="L148" s="7">
        <v>0</v>
      </c>
      <c r="O148" s="13"/>
    </row>
    <row r="149" spans="2:30" x14ac:dyDescent="0.3">
      <c r="B149" t="s">
        <v>648</v>
      </c>
      <c r="C149" s="7" t="s">
        <v>648</v>
      </c>
      <c r="D149" s="7" t="s">
        <v>103</v>
      </c>
      <c r="E149" t="s">
        <v>1001</v>
      </c>
      <c r="F149" s="7" t="s">
        <v>333</v>
      </c>
      <c r="G149" s="7" t="s">
        <v>595</v>
      </c>
      <c r="H149" s="7" t="s">
        <v>5</v>
      </c>
      <c r="I149" s="7" t="s">
        <v>4</v>
      </c>
      <c r="L149" s="7">
        <v>0</v>
      </c>
    </row>
    <row r="150" spans="2:30" x14ac:dyDescent="0.3">
      <c r="B150" t="s">
        <v>649</v>
      </c>
      <c r="C150" s="7" t="s">
        <v>649</v>
      </c>
      <c r="D150" s="7" t="s">
        <v>103</v>
      </c>
      <c r="E150" t="s">
        <v>1001</v>
      </c>
      <c r="F150" s="7" t="s">
        <v>333</v>
      </c>
      <c r="G150" s="7" t="s">
        <v>596</v>
      </c>
      <c r="I150" s="7" t="s">
        <v>3</v>
      </c>
      <c r="L150" s="7">
        <v>0</v>
      </c>
    </row>
    <row r="151" spans="2:30" x14ac:dyDescent="0.3">
      <c r="B151" t="s">
        <v>399</v>
      </c>
      <c r="C151" s="7" t="s">
        <v>399</v>
      </c>
      <c r="D151" s="7" t="s">
        <v>103</v>
      </c>
      <c r="E151" t="s">
        <v>1001</v>
      </c>
      <c r="F151" s="7" t="s">
        <v>334</v>
      </c>
      <c r="L151" s="7">
        <v>0</v>
      </c>
      <c r="O151" s="13"/>
    </row>
    <row r="152" spans="2:30" x14ac:dyDescent="0.3">
      <c r="B152" t="s">
        <v>777</v>
      </c>
      <c r="C152" s="7" t="s">
        <v>777</v>
      </c>
      <c r="D152" s="7" t="s">
        <v>103</v>
      </c>
      <c r="E152" t="s">
        <v>1001</v>
      </c>
      <c r="F152" s="7" t="s">
        <v>778</v>
      </c>
      <c r="L152" s="7">
        <v>0</v>
      </c>
    </row>
    <row r="153" spans="2:30" x14ac:dyDescent="0.3">
      <c r="B153" t="s">
        <v>400</v>
      </c>
      <c r="C153" s="7" t="s">
        <v>400</v>
      </c>
      <c r="D153" s="7" t="s">
        <v>103</v>
      </c>
      <c r="E153" t="s">
        <v>1002</v>
      </c>
      <c r="F153" s="7" t="s">
        <v>147</v>
      </c>
      <c r="G153" s="7" t="s">
        <v>592</v>
      </c>
      <c r="H153" s="7" t="s">
        <v>530</v>
      </c>
      <c r="I153" s="7" t="s">
        <v>3</v>
      </c>
      <c r="L153" s="7">
        <v>1</v>
      </c>
      <c r="T153" s="7" t="s">
        <v>762</v>
      </c>
      <c r="AB153" s="7" t="s">
        <v>836</v>
      </c>
    </row>
    <row r="154" spans="2:30" x14ac:dyDescent="0.3">
      <c r="B154" t="s">
        <v>401</v>
      </c>
      <c r="C154" s="7" t="s">
        <v>401</v>
      </c>
      <c r="D154" s="7" t="s">
        <v>103</v>
      </c>
      <c r="E154" t="s">
        <v>1002</v>
      </c>
      <c r="F154" s="7" t="s">
        <v>147</v>
      </c>
      <c r="G154" s="7" t="s">
        <v>593</v>
      </c>
      <c r="H154" s="7" t="s">
        <v>531</v>
      </c>
      <c r="I154" s="7" t="s">
        <v>3</v>
      </c>
      <c r="L154" s="7">
        <v>1</v>
      </c>
      <c r="O154" s="13"/>
      <c r="T154" s="7" t="s">
        <v>762</v>
      </c>
      <c r="AB154" s="7" t="s">
        <v>836</v>
      </c>
    </row>
    <row r="155" spans="2:30" x14ac:dyDescent="0.3">
      <c r="B155" t="s">
        <v>597</v>
      </c>
      <c r="C155" s="7" t="s">
        <v>597</v>
      </c>
      <c r="D155" s="7" t="s">
        <v>103</v>
      </c>
      <c r="E155" t="s">
        <v>1002</v>
      </c>
      <c r="F155" s="7" t="s">
        <v>818</v>
      </c>
      <c r="G155" s="7" t="s">
        <v>148</v>
      </c>
      <c r="H155" s="7" t="s">
        <v>5</v>
      </c>
      <c r="I155" s="7" t="s">
        <v>78</v>
      </c>
      <c r="L155" s="7">
        <v>1</v>
      </c>
      <c r="O155" s="13"/>
      <c r="T155" s="7">
        <v>1</v>
      </c>
      <c r="AC155" s="7" t="s">
        <v>819</v>
      </c>
    </row>
    <row r="156" spans="2:30" x14ac:dyDescent="0.3">
      <c r="B156" t="s">
        <v>402</v>
      </c>
      <c r="C156" s="7" t="s">
        <v>402</v>
      </c>
      <c r="D156" s="7" t="s">
        <v>103</v>
      </c>
      <c r="E156" t="s">
        <v>1003</v>
      </c>
      <c r="F156" s="7" t="s">
        <v>335</v>
      </c>
      <c r="L156" s="7">
        <v>0</v>
      </c>
    </row>
    <row r="157" spans="2:30" x14ac:dyDescent="0.3">
      <c r="B157" s="7" t="s">
        <v>403</v>
      </c>
      <c r="C157" s="7" t="s">
        <v>403</v>
      </c>
      <c r="D157" s="7" t="s">
        <v>103</v>
      </c>
      <c r="E157" s="7" t="s">
        <v>1004</v>
      </c>
      <c r="F157" s="10" t="s">
        <v>149</v>
      </c>
      <c r="G157" s="10" t="s">
        <v>150</v>
      </c>
      <c r="H157" s="7" t="s">
        <v>5</v>
      </c>
      <c r="I157" s="7" t="s">
        <v>4</v>
      </c>
      <c r="L157" s="7">
        <v>10</v>
      </c>
      <c r="N157" s="30">
        <f>1/9</f>
        <v>0.1111111111111111</v>
      </c>
      <c r="O157" s="15">
        <v>0</v>
      </c>
      <c r="P157" s="30">
        <f>1/11</f>
        <v>9.0909090909090912E-2</v>
      </c>
      <c r="Q157" s="30">
        <f>2/11</f>
        <v>0.18181818181818182</v>
      </c>
      <c r="R157" s="30">
        <f>2/11</f>
        <v>0.18181818181818182</v>
      </c>
      <c r="V157" s="7" t="s">
        <v>1023</v>
      </c>
      <c r="W157" s="7" t="s">
        <v>1024</v>
      </c>
      <c r="X157" s="7" t="s">
        <v>1025</v>
      </c>
      <c r="Y157" s="7" t="s">
        <v>1026</v>
      </c>
      <c r="Z157" s="7" t="s">
        <v>1027</v>
      </c>
    </row>
    <row r="158" spans="2:30" ht="29.4" thickBot="1" x14ac:dyDescent="0.35">
      <c r="B158" s="7" t="s">
        <v>404</v>
      </c>
      <c r="C158" s="7" t="s">
        <v>404</v>
      </c>
      <c r="D158" s="7" t="s">
        <v>103</v>
      </c>
      <c r="E158" s="7" t="s">
        <v>1004</v>
      </c>
      <c r="F158" s="10" t="s">
        <v>151</v>
      </c>
      <c r="G158" s="61" t="s">
        <v>152</v>
      </c>
      <c r="H158" s="7" t="s">
        <v>5</v>
      </c>
      <c r="I158" s="7" t="s">
        <v>4</v>
      </c>
      <c r="L158" s="7">
        <v>10</v>
      </c>
      <c r="N158" s="30">
        <v>4.4999999999999998E-2</v>
      </c>
      <c r="O158" s="30">
        <v>6.3E-2</v>
      </c>
      <c r="P158" s="30">
        <v>6.8000000000000005E-2</v>
      </c>
      <c r="Q158" s="14">
        <v>6.3E-2</v>
      </c>
      <c r="R158" s="30">
        <v>6.5000000000000002E-2</v>
      </c>
      <c r="T158" s="18"/>
      <c r="V158" s="7" t="s">
        <v>1022</v>
      </c>
      <c r="W158" s="7" t="s">
        <v>1022</v>
      </c>
      <c r="X158" s="7" t="s">
        <v>1022</v>
      </c>
      <c r="Y158" s="7" t="s">
        <v>1021</v>
      </c>
      <c r="Z158" s="7" t="s">
        <v>1021</v>
      </c>
      <c r="AB158" s="18"/>
      <c r="AD158" s="7" t="s">
        <v>1028</v>
      </c>
    </row>
    <row r="159" spans="2:30" ht="29.4" thickBot="1" x14ac:dyDescent="0.35">
      <c r="B159" s="7" t="s">
        <v>405</v>
      </c>
      <c r="C159" s="7" t="s">
        <v>405</v>
      </c>
      <c r="D159" s="7" t="s">
        <v>103</v>
      </c>
      <c r="E159" s="7" t="s">
        <v>1004</v>
      </c>
      <c r="F159" s="10" t="s">
        <v>153</v>
      </c>
      <c r="G159" s="61" t="s">
        <v>154</v>
      </c>
      <c r="H159" s="7" t="s">
        <v>5</v>
      </c>
      <c r="I159" s="7" t="s">
        <v>4</v>
      </c>
      <c r="L159" s="7">
        <v>10</v>
      </c>
      <c r="N159" s="15">
        <v>0.46</v>
      </c>
      <c r="O159" s="15">
        <v>0.44</v>
      </c>
      <c r="P159" s="15">
        <v>0.45</v>
      </c>
      <c r="Q159" s="15">
        <v>0.43</v>
      </c>
      <c r="R159" s="15">
        <v>0.40200000000000002</v>
      </c>
      <c r="V159" s="7" t="s">
        <v>1022</v>
      </c>
      <c r="W159" s="7" t="s">
        <v>1022</v>
      </c>
      <c r="X159" s="7" t="s">
        <v>1021</v>
      </c>
      <c r="Y159" s="7" t="s">
        <v>1021</v>
      </c>
      <c r="Z159" s="7" t="s">
        <v>1021</v>
      </c>
      <c r="AB159" s="18"/>
    </row>
    <row r="160" spans="2:30" ht="15" thickBot="1" x14ac:dyDescent="0.35">
      <c r="B160" t="s">
        <v>406</v>
      </c>
      <c r="C160" s="7" t="s">
        <v>406</v>
      </c>
      <c r="D160" s="7" t="s">
        <v>103</v>
      </c>
      <c r="E160" t="s">
        <v>1004</v>
      </c>
      <c r="F160" s="10" t="s">
        <v>155</v>
      </c>
      <c r="G160" s="7" t="s">
        <v>592</v>
      </c>
      <c r="H160" s="7" t="s">
        <v>530</v>
      </c>
      <c r="I160" s="7" t="s">
        <v>3</v>
      </c>
      <c r="L160" s="7">
        <v>10</v>
      </c>
      <c r="T160" s="18" t="s">
        <v>762</v>
      </c>
      <c r="W160" s="19"/>
      <c r="AB160" s="7" t="s">
        <v>833</v>
      </c>
    </row>
    <row r="161" spans="2:30" x14ac:dyDescent="0.3">
      <c r="B161" t="s">
        <v>407</v>
      </c>
      <c r="C161" s="7" t="s">
        <v>407</v>
      </c>
      <c r="D161" s="7" t="s">
        <v>103</v>
      </c>
      <c r="E161" t="s">
        <v>1004</v>
      </c>
      <c r="F161" s="10" t="s">
        <v>155</v>
      </c>
      <c r="G161" s="7" t="s">
        <v>593</v>
      </c>
      <c r="H161" s="7" t="s">
        <v>531</v>
      </c>
      <c r="I161" s="7" t="s">
        <v>3</v>
      </c>
      <c r="L161" s="7">
        <v>10</v>
      </c>
      <c r="O161" s="13"/>
      <c r="T161" s="7" t="s">
        <v>763</v>
      </c>
    </row>
    <row r="162" spans="2:30" ht="15" thickBot="1" x14ac:dyDescent="0.35">
      <c r="B162" t="s">
        <v>600</v>
      </c>
      <c r="C162" s="7" t="s">
        <v>600</v>
      </c>
      <c r="D162" s="7" t="s">
        <v>103</v>
      </c>
      <c r="E162" t="s">
        <v>1004</v>
      </c>
      <c r="F162" s="10" t="s">
        <v>156</v>
      </c>
      <c r="G162" s="10" t="s">
        <v>144</v>
      </c>
      <c r="H162" s="7" t="s">
        <v>5</v>
      </c>
      <c r="I162" s="7" t="s">
        <v>78</v>
      </c>
      <c r="L162" s="7">
        <v>10</v>
      </c>
      <c r="O162" s="13"/>
      <c r="T162" s="18">
        <v>17</v>
      </c>
      <c r="AB162" s="7" t="s">
        <v>824</v>
      </c>
    </row>
    <row r="163" spans="2:30" x14ac:dyDescent="0.3">
      <c r="B163" t="s">
        <v>598</v>
      </c>
      <c r="C163" s="7" t="s">
        <v>598</v>
      </c>
      <c r="D163" s="7" t="s">
        <v>103</v>
      </c>
      <c r="E163" t="s">
        <v>1004</v>
      </c>
      <c r="F163" s="10" t="s">
        <v>157</v>
      </c>
      <c r="G163" s="7" t="s">
        <v>592</v>
      </c>
      <c r="H163" s="7" t="s">
        <v>530</v>
      </c>
      <c r="I163" s="7" t="s">
        <v>3</v>
      </c>
      <c r="L163" s="7">
        <v>10</v>
      </c>
      <c r="T163" s="7" t="s">
        <v>762</v>
      </c>
      <c r="AB163" s="7" t="s">
        <v>825</v>
      </c>
    </row>
    <row r="164" spans="2:30" x14ac:dyDescent="0.3">
      <c r="B164" t="s">
        <v>599</v>
      </c>
      <c r="C164" s="7" t="s">
        <v>599</v>
      </c>
      <c r="D164" s="7" t="s">
        <v>103</v>
      </c>
      <c r="E164" t="s">
        <v>1004</v>
      </c>
      <c r="F164" s="10" t="s">
        <v>157</v>
      </c>
      <c r="G164" s="7" t="s">
        <v>593</v>
      </c>
      <c r="H164" s="7" t="s">
        <v>531</v>
      </c>
      <c r="I164" s="7" t="s">
        <v>3</v>
      </c>
      <c r="L164" s="7">
        <v>10</v>
      </c>
      <c r="O164" s="13"/>
      <c r="T164" s="7" t="s">
        <v>762</v>
      </c>
      <c r="AB164" s="7" t="s">
        <v>825</v>
      </c>
    </row>
    <row r="165" spans="2:30" ht="15" thickBot="1" x14ac:dyDescent="0.35">
      <c r="B165" t="s">
        <v>601</v>
      </c>
      <c r="C165" s="7" t="s">
        <v>601</v>
      </c>
      <c r="D165" s="7" t="s">
        <v>103</v>
      </c>
      <c r="E165" t="s">
        <v>1004</v>
      </c>
      <c r="F165" s="10" t="s">
        <v>157</v>
      </c>
      <c r="G165" s="10" t="s">
        <v>158</v>
      </c>
      <c r="H165" s="7" t="s">
        <v>5</v>
      </c>
      <c r="I165" s="7" t="s">
        <v>78</v>
      </c>
      <c r="L165" s="7">
        <v>10</v>
      </c>
      <c r="O165" s="13"/>
      <c r="T165" s="18">
        <v>0</v>
      </c>
    </row>
    <row r="166" spans="2:30" x14ac:dyDescent="0.3">
      <c r="B166" t="s">
        <v>602</v>
      </c>
      <c r="C166" s="7" t="s">
        <v>602</v>
      </c>
      <c r="D166" s="7" t="s">
        <v>103</v>
      </c>
      <c r="E166" t="s">
        <v>1004</v>
      </c>
      <c r="F166" s="10" t="s">
        <v>159</v>
      </c>
      <c r="G166" s="7" t="s">
        <v>592</v>
      </c>
      <c r="H166" s="7" t="s">
        <v>530</v>
      </c>
      <c r="I166" s="7" t="s">
        <v>3</v>
      </c>
      <c r="L166" s="7">
        <v>10</v>
      </c>
      <c r="T166" s="7" t="s">
        <v>762</v>
      </c>
      <c r="AB166" s="7" t="s">
        <v>837</v>
      </c>
    </row>
    <row r="167" spans="2:30" x14ac:dyDescent="0.3">
      <c r="B167" t="s">
        <v>603</v>
      </c>
      <c r="C167" s="7" t="s">
        <v>603</v>
      </c>
      <c r="D167" s="7" t="s">
        <v>103</v>
      </c>
      <c r="E167" t="s">
        <v>1004</v>
      </c>
      <c r="F167" s="10" t="s">
        <v>159</v>
      </c>
      <c r="G167" s="7" t="s">
        <v>593</v>
      </c>
      <c r="H167" s="7" t="s">
        <v>531</v>
      </c>
      <c r="I167" s="7" t="s">
        <v>3</v>
      </c>
      <c r="L167" s="7">
        <v>10</v>
      </c>
      <c r="O167" s="13"/>
      <c r="T167" s="7" t="s">
        <v>763</v>
      </c>
    </row>
    <row r="168" spans="2:30" x14ac:dyDescent="0.3">
      <c r="B168" t="s">
        <v>604</v>
      </c>
      <c r="C168" s="7" t="s">
        <v>604</v>
      </c>
      <c r="D168" s="7" t="s">
        <v>103</v>
      </c>
      <c r="E168" t="s">
        <v>1004</v>
      </c>
      <c r="F168" s="10" t="s">
        <v>160</v>
      </c>
      <c r="G168" s="7" t="s">
        <v>592</v>
      </c>
      <c r="H168" s="7" t="s">
        <v>530</v>
      </c>
      <c r="I168" s="7" t="s">
        <v>3</v>
      </c>
      <c r="L168" s="7">
        <v>10</v>
      </c>
      <c r="O168" s="13"/>
      <c r="T168" s="7" t="s">
        <v>762</v>
      </c>
      <c r="AB168" s="7" t="s">
        <v>825</v>
      </c>
    </row>
    <row r="169" spans="2:30" x14ac:dyDescent="0.3">
      <c r="B169" t="s">
        <v>605</v>
      </c>
      <c r="C169" s="7" t="s">
        <v>605</v>
      </c>
      <c r="D169" s="7" t="s">
        <v>103</v>
      </c>
      <c r="E169" t="s">
        <v>1004</v>
      </c>
      <c r="F169" s="10" t="s">
        <v>160</v>
      </c>
      <c r="G169" s="7" t="s">
        <v>593</v>
      </c>
      <c r="H169" s="7" t="s">
        <v>531</v>
      </c>
      <c r="I169" s="7" t="s">
        <v>3</v>
      </c>
      <c r="L169" s="7">
        <v>10</v>
      </c>
      <c r="O169" s="13"/>
      <c r="T169" s="7" t="s">
        <v>762</v>
      </c>
      <c r="AB169" s="7" t="s">
        <v>825</v>
      </c>
    </row>
    <row r="170" spans="2:30" x14ac:dyDescent="0.3">
      <c r="B170" t="s">
        <v>408</v>
      </c>
      <c r="C170" s="7" t="s">
        <v>408</v>
      </c>
      <c r="D170" s="7" t="s">
        <v>103</v>
      </c>
      <c r="E170" t="s">
        <v>1004</v>
      </c>
      <c r="F170" s="10" t="s">
        <v>161</v>
      </c>
      <c r="G170" s="10" t="s">
        <v>162</v>
      </c>
      <c r="I170" s="7" t="s">
        <v>3</v>
      </c>
      <c r="L170" s="7">
        <v>10</v>
      </c>
      <c r="O170" s="13"/>
      <c r="T170" s="7" t="s">
        <v>762</v>
      </c>
      <c r="AB170" s="7" t="s">
        <v>826</v>
      </c>
    </row>
    <row r="171" spans="2:30" x14ac:dyDescent="0.3">
      <c r="B171" t="s">
        <v>164</v>
      </c>
      <c r="C171" s="7" t="s">
        <v>164</v>
      </c>
      <c r="D171" s="7" t="s">
        <v>103</v>
      </c>
      <c r="E171" t="s">
        <v>1004</v>
      </c>
      <c r="F171" s="10" t="s">
        <v>163</v>
      </c>
      <c r="G171" s="10" t="s">
        <v>34</v>
      </c>
      <c r="H171" s="7" t="s">
        <v>34</v>
      </c>
      <c r="I171" s="7" t="s">
        <v>3</v>
      </c>
      <c r="L171" s="7">
        <v>1</v>
      </c>
      <c r="O171" s="13"/>
      <c r="T171" s="7" t="s">
        <v>763</v>
      </c>
    </row>
    <row r="172" spans="2:30" x14ac:dyDescent="0.3">
      <c r="B172" t="s">
        <v>409</v>
      </c>
      <c r="C172" s="7" t="s">
        <v>409</v>
      </c>
      <c r="D172" s="7" t="s">
        <v>103</v>
      </c>
      <c r="E172" t="s">
        <v>1004</v>
      </c>
      <c r="F172" s="10" t="s">
        <v>165</v>
      </c>
      <c r="G172" s="10" t="s">
        <v>166</v>
      </c>
      <c r="H172" s="7" t="s">
        <v>5</v>
      </c>
      <c r="I172" s="7" t="s">
        <v>4</v>
      </c>
      <c r="L172" s="7">
        <v>10</v>
      </c>
      <c r="O172" s="13"/>
    </row>
    <row r="173" spans="2:30" x14ac:dyDescent="0.3">
      <c r="B173" t="s">
        <v>410</v>
      </c>
      <c r="C173" s="7" t="s">
        <v>410</v>
      </c>
      <c r="D173" s="7" t="s">
        <v>103</v>
      </c>
      <c r="E173" t="s">
        <v>1004</v>
      </c>
      <c r="F173" s="10" t="s">
        <v>167</v>
      </c>
      <c r="G173" s="7" t="s">
        <v>168</v>
      </c>
      <c r="H173" s="7" t="s">
        <v>5</v>
      </c>
      <c r="I173" s="7" t="str">
        <f>I3</f>
        <v>KRW</v>
      </c>
      <c r="J173" s="7" t="s">
        <v>610</v>
      </c>
      <c r="K173" s="7" t="str">
        <f>K3</f>
        <v>December</v>
      </c>
      <c r="L173" s="7">
        <v>10</v>
      </c>
      <c r="N173" s="8">
        <f>14954*10^6</f>
        <v>14954000000</v>
      </c>
      <c r="O173" s="8">
        <f>6698*10^6</f>
        <v>6698000000</v>
      </c>
      <c r="P173" s="8">
        <f>24381*10^6</f>
        <v>24381000000</v>
      </c>
      <c r="Q173" s="8">
        <f>4536*10^6</f>
        <v>4536000000</v>
      </c>
      <c r="R173" s="8">
        <f>3451*10^6</f>
        <v>3451000000</v>
      </c>
      <c r="W173" s="7" t="s">
        <v>841</v>
      </c>
      <c r="X173" s="7" t="s">
        <v>842</v>
      </c>
      <c r="Y173" s="7" t="s">
        <v>843</v>
      </c>
      <c r="Z173" s="7" t="s">
        <v>844</v>
      </c>
    </row>
    <row r="174" spans="2:30" x14ac:dyDescent="0.3">
      <c r="B174" t="s">
        <v>411</v>
      </c>
      <c r="C174" s="7" t="s">
        <v>411</v>
      </c>
      <c r="D174" s="7" t="s">
        <v>103</v>
      </c>
      <c r="E174" t="s">
        <v>1004</v>
      </c>
      <c r="F174" s="10" t="s">
        <v>167</v>
      </c>
      <c r="G174" s="10" t="s">
        <v>169</v>
      </c>
      <c r="H174" s="7" t="s">
        <v>5</v>
      </c>
      <c r="I174" s="7" t="str">
        <f>I3</f>
        <v>KRW</v>
      </c>
      <c r="J174" s="7" t="s">
        <v>610</v>
      </c>
      <c r="K174" s="7" t="str">
        <f>K3</f>
        <v>December</v>
      </c>
      <c r="L174" s="7">
        <v>10</v>
      </c>
      <c r="N174" s="8">
        <v>72157382.92848435</v>
      </c>
      <c r="O174" s="8">
        <v>77734052.373317793</v>
      </c>
      <c r="P174" s="8">
        <f>+P6/320671</f>
        <v>70874722.067165419</v>
      </c>
      <c r="Q174" s="8">
        <f>+Q6/309630</f>
        <v>72281739.495526925</v>
      </c>
      <c r="R174" s="8">
        <f>+R6/287439</f>
        <v>87165221.142572865</v>
      </c>
      <c r="S174" s="7">
        <f>+(43+182)/2*10^6</f>
        <v>112500000</v>
      </c>
      <c r="V174" s="7" t="s">
        <v>1056</v>
      </c>
      <c r="W174" s="7" t="s">
        <v>1056</v>
      </c>
      <c r="AA174" s="7" t="s">
        <v>838</v>
      </c>
      <c r="AD174" s="7" t="s">
        <v>839</v>
      </c>
    </row>
    <row r="175" spans="2:30" x14ac:dyDescent="0.3">
      <c r="B175" s="7" t="s">
        <v>412</v>
      </c>
      <c r="C175" s="7" t="s">
        <v>412</v>
      </c>
      <c r="D175" s="7" t="s">
        <v>103</v>
      </c>
      <c r="E175" s="7" t="s">
        <v>1004</v>
      </c>
      <c r="F175" s="10" t="s">
        <v>167</v>
      </c>
      <c r="G175" s="10" t="s">
        <v>167</v>
      </c>
      <c r="H175" s="7" t="s">
        <v>5</v>
      </c>
      <c r="I175" s="7" t="s">
        <v>78</v>
      </c>
      <c r="L175" s="7">
        <v>10</v>
      </c>
      <c r="N175" s="16">
        <f>+N173/N174</f>
        <v>207.24144076595746</v>
      </c>
      <c r="O175" s="16">
        <f>+O173/O174</f>
        <v>86.165583749999996</v>
      </c>
      <c r="P175" s="16">
        <f>+P173/P174</f>
        <v>344.0013489844095</v>
      </c>
      <c r="Q175" s="16">
        <f>+Q173/Q174</f>
        <v>62.754438834177549</v>
      </c>
      <c r="R175" s="13">
        <f t="shared" ref="R175" si="7">+R173/R174</f>
        <v>39.591478743056584</v>
      </c>
      <c r="AC175" s="17"/>
    </row>
    <row r="176" spans="2:30" x14ac:dyDescent="0.3">
      <c r="B176" t="s">
        <v>413</v>
      </c>
      <c r="C176" s="7" t="s">
        <v>413</v>
      </c>
      <c r="D176" s="7" t="s">
        <v>103</v>
      </c>
      <c r="E176" t="s">
        <v>1005</v>
      </c>
      <c r="F176" s="10" t="s">
        <v>170</v>
      </c>
      <c r="G176" s="10" t="s">
        <v>171</v>
      </c>
      <c r="H176" s="7" t="s">
        <v>172</v>
      </c>
      <c r="I176" s="7" t="s">
        <v>173</v>
      </c>
      <c r="L176" s="7">
        <v>0</v>
      </c>
      <c r="AC176" s="17"/>
    </row>
    <row r="177" spans="2:30" x14ac:dyDescent="0.3">
      <c r="B177" t="s">
        <v>414</v>
      </c>
      <c r="C177" s="7" t="s">
        <v>414</v>
      </c>
      <c r="D177" s="7" t="s">
        <v>103</v>
      </c>
      <c r="E177" t="s">
        <v>1005</v>
      </c>
      <c r="F177" s="10" t="s">
        <v>174</v>
      </c>
      <c r="G177" s="7" t="str">
        <f>F177</f>
        <v>Charity/Philanthropy</v>
      </c>
      <c r="H177" s="7" t="s">
        <v>5</v>
      </c>
      <c r="I177" s="7" t="str">
        <f>I3</f>
        <v>KRW</v>
      </c>
      <c r="J177" s="7" t="s">
        <v>610</v>
      </c>
      <c r="K177" s="7" t="str">
        <f>K3</f>
        <v>December</v>
      </c>
      <c r="L177" s="7">
        <v>1</v>
      </c>
      <c r="O177" s="13"/>
    </row>
    <row r="178" spans="2:30" x14ac:dyDescent="0.3">
      <c r="B178" t="s">
        <v>415</v>
      </c>
      <c r="C178" s="7" t="s">
        <v>415</v>
      </c>
      <c r="D178" s="7" t="s">
        <v>103</v>
      </c>
      <c r="E178" t="s">
        <v>1005</v>
      </c>
      <c r="F178" s="10" t="s">
        <v>175</v>
      </c>
      <c r="G178" s="10" t="s">
        <v>176</v>
      </c>
      <c r="H178" s="10" t="s">
        <v>177</v>
      </c>
      <c r="I178" s="7" t="s">
        <v>3</v>
      </c>
      <c r="L178" s="7">
        <v>1</v>
      </c>
      <c r="N178" s="8"/>
      <c r="O178" s="8"/>
      <c r="P178" s="8"/>
      <c r="Q178" s="8"/>
      <c r="R178" s="8"/>
      <c r="S178" s="8"/>
      <c r="T178" s="7" t="s">
        <v>763</v>
      </c>
    </row>
    <row r="179" spans="2:30" x14ac:dyDescent="0.3">
      <c r="B179" t="s">
        <v>416</v>
      </c>
      <c r="C179" s="7" t="s">
        <v>416</v>
      </c>
      <c r="D179" s="7" t="s">
        <v>103</v>
      </c>
      <c r="E179" t="s">
        <v>1005</v>
      </c>
      <c r="F179" s="10" t="s">
        <v>178</v>
      </c>
      <c r="G179" s="10" t="s">
        <v>179</v>
      </c>
      <c r="H179" s="7" t="s">
        <v>722</v>
      </c>
      <c r="I179" s="7" t="s">
        <v>3</v>
      </c>
      <c r="L179" s="7">
        <v>1</v>
      </c>
      <c r="O179" s="13"/>
      <c r="T179" s="7" t="s">
        <v>763</v>
      </c>
    </row>
    <row r="180" spans="2:30" x14ac:dyDescent="0.3">
      <c r="B180" t="s">
        <v>651</v>
      </c>
      <c r="C180" s="7" t="s">
        <v>651</v>
      </c>
      <c r="D180" s="7" t="s">
        <v>103</v>
      </c>
      <c r="E180" t="s">
        <v>1006</v>
      </c>
      <c r="F180" s="10" t="s">
        <v>180</v>
      </c>
      <c r="G180" s="10" t="s">
        <v>592</v>
      </c>
      <c r="H180" s="7" t="s">
        <v>19</v>
      </c>
      <c r="I180" s="7" t="s">
        <v>3</v>
      </c>
      <c r="L180" s="7">
        <v>1</v>
      </c>
      <c r="O180" s="13"/>
      <c r="T180" s="7" t="s">
        <v>762</v>
      </c>
      <c r="AB180" s="7" t="s">
        <v>820</v>
      </c>
    </row>
    <row r="181" spans="2:30" x14ac:dyDescent="0.3">
      <c r="B181" t="s">
        <v>650</v>
      </c>
      <c r="C181" s="7" t="s">
        <v>650</v>
      </c>
      <c r="D181" s="7" t="s">
        <v>103</v>
      </c>
      <c r="E181" t="s">
        <v>1006</v>
      </c>
      <c r="F181" s="10" t="s">
        <v>180</v>
      </c>
      <c r="G181" s="10" t="s">
        <v>105</v>
      </c>
      <c r="H181" s="7" t="s">
        <v>19</v>
      </c>
      <c r="I181" s="7" t="s">
        <v>3</v>
      </c>
      <c r="L181" s="7">
        <v>1</v>
      </c>
      <c r="O181" s="13"/>
      <c r="T181" s="7" t="s">
        <v>762</v>
      </c>
      <c r="AB181" s="7" t="s">
        <v>820</v>
      </c>
    </row>
    <row r="182" spans="2:30" x14ac:dyDescent="0.3">
      <c r="B182" t="s">
        <v>417</v>
      </c>
      <c r="C182" s="7" t="s">
        <v>417</v>
      </c>
      <c r="D182" s="7" t="s">
        <v>103</v>
      </c>
      <c r="E182" t="s">
        <v>1006</v>
      </c>
      <c r="F182" s="10" t="s">
        <v>181</v>
      </c>
      <c r="G182" s="10" t="s">
        <v>182</v>
      </c>
      <c r="H182" s="7" t="s">
        <v>5</v>
      </c>
      <c r="I182" s="7" t="str">
        <f>I3</f>
        <v>KRW</v>
      </c>
      <c r="J182" s="7" t="s">
        <v>610</v>
      </c>
      <c r="K182" s="7" t="str">
        <f>K3</f>
        <v>December</v>
      </c>
      <c r="L182" s="7">
        <v>1</v>
      </c>
      <c r="N182" s="7">
        <f>120264*10^6</f>
        <v>120264000000</v>
      </c>
      <c r="O182" s="7">
        <f>444*10^9</f>
        <v>444000000000</v>
      </c>
      <c r="P182" s="7">
        <f>385*10^9</f>
        <v>385000000000</v>
      </c>
      <c r="Q182" s="7">
        <f>409*10^9</f>
        <v>409000000000</v>
      </c>
      <c r="R182" s="7">
        <f>0.53*10^12</f>
        <v>530000000000</v>
      </c>
      <c r="V182" s="7" t="s">
        <v>821</v>
      </c>
      <c r="W182" s="7" t="s">
        <v>822</v>
      </c>
      <c r="X182" s="7" t="s">
        <v>822</v>
      </c>
      <c r="Y182" s="7" t="s">
        <v>822</v>
      </c>
      <c r="Z182" s="7" t="s">
        <v>823</v>
      </c>
    </row>
    <row r="183" spans="2:30" x14ac:dyDescent="0.3">
      <c r="B183" s="7" t="s">
        <v>418</v>
      </c>
      <c r="C183" s="7" t="s">
        <v>418</v>
      </c>
      <c r="D183" s="7" t="s">
        <v>103</v>
      </c>
      <c r="E183" s="7" t="s">
        <v>1006</v>
      </c>
      <c r="F183" s="10" t="s">
        <v>183</v>
      </c>
      <c r="G183" s="10" t="s">
        <v>184</v>
      </c>
      <c r="H183" s="7" t="s">
        <v>5</v>
      </c>
      <c r="I183" s="7" t="s">
        <v>78</v>
      </c>
      <c r="L183" s="7">
        <v>1</v>
      </c>
      <c r="N183" s="8"/>
      <c r="O183" s="8"/>
      <c r="P183" s="8"/>
      <c r="Q183" s="8"/>
      <c r="R183" s="7">
        <v>1548</v>
      </c>
      <c r="AD183" s="7" t="s">
        <v>1035</v>
      </c>
    </row>
    <row r="184" spans="2:30" x14ac:dyDescent="0.3">
      <c r="B184" t="s">
        <v>419</v>
      </c>
      <c r="C184" s="7" t="s">
        <v>419</v>
      </c>
      <c r="D184" s="7" t="s">
        <v>103</v>
      </c>
      <c r="E184" t="s">
        <v>1006</v>
      </c>
      <c r="F184" s="10" t="s">
        <v>185</v>
      </c>
      <c r="G184" s="10" t="s">
        <v>186</v>
      </c>
      <c r="H184" s="7" t="s">
        <v>5</v>
      </c>
      <c r="I184" s="7" t="s">
        <v>78</v>
      </c>
      <c r="L184" s="7">
        <v>1</v>
      </c>
      <c r="T184" s="7">
        <v>0</v>
      </c>
    </row>
    <row r="185" spans="2:30" x14ac:dyDescent="0.3">
      <c r="B185" t="s">
        <v>420</v>
      </c>
      <c r="C185" s="7" t="s">
        <v>420</v>
      </c>
      <c r="D185" s="7" t="s">
        <v>187</v>
      </c>
      <c r="E185" t="s">
        <v>1007</v>
      </c>
      <c r="F185" s="10" t="s">
        <v>188</v>
      </c>
      <c r="G185" s="7" t="str">
        <f>F185</f>
        <v>Past controversies</v>
      </c>
      <c r="H185" s="7" t="s">
        <v>5</v>
      </c>
      <c r="I185" s="7" t="s">
        <v>78</v>
      </c>
      <c r="L185" s="7">
        <v>10</v>
      </c>
      <c r="T185" s="7">
        <v>2</v>
      </c>
      <c r="AC185" s="7" t="s">
        <v>819</v>
      </c>
    </row>
    <row r="186" spans="2:30" ht="15" thickBot="1" x14ac:dyDescent="0.35">
      <c r="B186" s="7" t="s">
        <v>421</v>
      </c>
      <c r="C186" s="7" t="s">
        <v>421</v>
      </c>
      <c r="D186" s="7" t="s">
        <v>187</v>
      </c>
      <c r="E186" s="7" t="s">
        <v>1007</v>
      </c>
      <c r="F186" s="10" t="s">
        <v>189</v>
      </c>
      <c r="G186" s="10" t="s">
        <v>190</v>
      </c>
      <c r="I186" s="7" t="s">
        <v>3</v>
      </c>
      <c r="L186" s="7">
        <v>1</v>
      </c>
      <c r="N186" s="57"/>
      <c r="T186" s="7" t="s">
        <v>763</v>
      </c>
      <c r="W186" s="17"/>
      <c r="AC186" s="17"/>
    </row>
    <row r="187" spans="2:30" s="47" customFormat="1" x14ac:dyDescent="0.3">
      <c r="B187" t="s">
        <v>422</v>
      </c>
      <c r="C187" s="47" t="s">
        <v>422</v>
      </c>
      <c r="D187" s="47" t="s">
        <v>187</v>
      </c>
      <c r="E187" t="s">
        <v>1007</v>
      </c>
      <c r="F187" s="49" t="s">
        <v>191</v>
      </c>
      <c r="G187" s="49" t="s">
        <v>192</v>
      </c>
      <c r="H187" s="47" t="s">
        <v>5</v>
      </c>
      <c r="I187" s="47" t="str">
        <f>I3</f>
        <v>KRW</v>
      </c>
      <c r="J187" s="47" t="s">
        <v>611</v>
      </c>
      <c r="K187" s="32" t="str">
        <f>K3</f>
        <v>December</v>
      </c>
      <c r="L187" s="47">
        <v>1</v>
      </c>
      <c r="N187" s="47">
        <v>0</v>
      </c>
      <c r="O187" s="47">
        <v>0</v>
      </c>
      <c r="P187" s="47">
        <v>0</v>
      </c>
      <c r="Q187" s="47">
        <v>0</v>
      </c>
      <c r="R187" s="47">
        <v>0</v>
      </c>
    </row>
    <row r="188" spans="2:30" s="47" customFormat="1" x14ac:dyDescent="0.3">
      <c r="B188" t="s">
        <v>652</v>
      </c>
      <c r="C188" s="47" t="s">
        <v>652</v>
      </c>
      <c r="D188" s="47" t="s">
        <v>187</v>
      </c>
      <c r="E188" t="s">
        <v>1007</v>
      </c>
      <c r="F188" s="49" t="s">
        <v>191</v>
      </c>
      <c r="G188" s="49" t="s">
        <v>194</v>
      </c>
      <c r="H188" s="47" t="s">
        <v>5</v>
      </c>
      <c r="I188" s="47" t="s">
        <v>78</v>
      </c>
      <c r="L188" s="47">
        <v>1</v>
      </c>
      <c r="N188" s="47">
        <v>0</v>
      </c>
      <c r="O188" s="47">
        <v>0</v>
      </c>
      <c r="P188" s="47">
        <v>0</v>
      </c>
      <c r="Q188" s="47">
        <v>0</v>
      </c>
      <c r="R188" s="47">
        <v>0</v>
      </c>
    </row>
    <row r="189" spans="2:30" s="47" customFormat="1" x14ac:dyDescent="0.3">
      <c r="B189" t="s">
        <v>423</v>
      </c>
      <c r="C189" s="47" t="s">
        <v>423</v>
      </c>
      <c r="D189" s="47" t="s">
        <v>187</v>
      </c>
      <c r="E189" t="s">
        <v>1007</v>
      </c>
      <c r="F189" s="49" t="s">
        <v>195</v>
      </c>
      <c r="G189" s="49" t="s">
        <v>196</v>
      </c>
      <c r="H189" s="49" t="s">
        <v>5</v>
      </c>
      <c r="I189" s="49" t="s">
        <v>355</v>
      </c>
      <c r="L189" s="47">
        <v>1</v>
      </c>
      <c r="N189" s="33"/>
      <c r="T189" s="47">
        <v>5</v>
      </c>
      <c r="AC189" s="47" t="s">
        <v>840</v>
      </c>
    </row>
    <row r="190" spans="2:30" x14ac:dyDescent="0.3">
      <c r="B190" s="7" t="s">
        <v>423</v>
      </c>
      <c r="C190" s="7" t="s">
        <v>423</v>
      </c>
      <c r="D190" s="7" t="s">
        <v>187</v>
      </c>
      <c r="E190" s="7" t="s">
        <v>1007</v>
      </c>
      <c r="F190" s="10" t="s">
        <v>195</v>
      </c>
      <c r="G190" s="10" t="s">
        <v>653</v>
      </c>
      <c r="H190" s="10"/>
      <c r="I190" s="7" t="s">
        <v>3</v>
      </c>
      <c r="L190" s="7">
        <v>1</v>
      </c>
      <c r="T190" s="7" t="s">
        <v>762</v>
      </c>
      <c r="AC190" s="7" t="s">
        <v>1036</v>
      </c>
    </row>
    <row r="191" spans="2:30" x14ac:dyDescent="0.3">
      <c r="B191" s="7" t="s">
        <v>657</v>
      </c>
      <c r="C191" s="7" t="s">
        <v>657</v>
      </c>
      <c r="D191" s="7" t="s">
        <v>187</v>
      </c>
      <c r="E191" s="7" t="s">
        <v>1008</v>
      </c>
      <c r="F191" s="10" t="s">
        <v>197</v>
      </c>
      <c r="G191" s="10" t="s">
        <v>654</v>
      </c>
      <c r="H191" s="10" t="s">
        <v>5</v>
      </c>
      <c r="I191" s="10" t="s">
        <v>4</v>
      </c>
      <c r="L191" s="7">
        <v>1</v>
      </c>
      <c r="T191" s="14">
        <v>8.5099999999999995E-2</v>
      </c>
      <c r="AB191" s="7" t="s">
        <v>1029</v>
      </c>
    </row>
    <row r="192" spans="2:30" x14ac:dyDescent="0.3">
      <c r="B192" t="s">
        <v>658</v>
      </c>
      <c r="C192" s="7" t="s">
        <v>658</v>
      </c>
      <c r="D192" s="7" t="s">
        <v>187</v>
      </c>
      <c r="E192" t="s">
        <v>1008</v>
      </c>
      <c r="F192" s="10" t="s">
        <v>197</v>
      </c>
      <c r="G192" s="10" t="s">
        <v>655</v>
      </c>
      <c r="I192" s="7" t="s">
        <v>656</v>
      </c>
      <c r="L192" s="7">
        <v>1</v>
      </c>
      <c r="T192" s="7" t="s">
        <v>781</v>
      </c>
    </row>
    <row r="193" spans="2:30" x14ac:dyDescent="0.3">
      <c r="B193" t="s">
        <v>659</v>
      </c>
      <c r="C193" s="7" t="s">
        <v>659</v>
      </c>
      <c r="D193" s="7" t="s">
        <v>187</v>
      </c>
      <c r="E193" t="s">
        <v>1008</v>
      </c>
      <c r="F193" s="10" t="s">
        <v>197</v>
      </c>
      <c r="G193" s="10" t="s">
        <v>660</v>
      </c>
      <c r="H193" s="10" t="s">
        <v>320</v>
      </c>
      <c r="L193" s="7">
        <v>1</v>
      </c>
      <c r="T193" s="7" t="s">
        <v>961</v>
      </c>
    </row>
    <row r="194" spans="2:30" x14ac:dyDescent="0.3">
      <c r="B194" t="s">
        <v>661</v>
      </c>
      <c r="C194" s="7" t="s">
        <v>661</v>
      </c>
      <c r="D194" s="7" t="s">
        <v>187</v>
      </c>
      <c r="E194" t="s">
        <v>1008</v>
      </c>
      <c r="F194" s="10" t="s">
        <v>662</v>
      </c>
      <c r="G194" s="7" t="str">
        <f>+F194</f>
        <v>Politcical connections</v>
      </c>
      <c r="I194" s="7" t="s">
        <v>3</v>
      </c>
      <c r="L194" s="7">
        <v>1</v>
      </c>
      <c r="T194" s="7" t="s">
        <v>763</v>
      </c>
    </row>
    <row r="195" spans="2:30" x14ac:dyDescent="0.3">
      <c r="B195" s="7" t="s">
        <v>424</v>
      </c>
      <c r="C195" s="7" t="s">
        <v>424</v>
      </c>
      <c r="D195" s="7" t="s">
        <v>187</v>
      </c>
      <c r="E195" s="7" t="s">
        <v>1008</v>
      </c>
      <c r="F195" s="10" t="s">
        <v>198</v>
      </c>
      <c r="G195" s="7" t="str">
        <f>F195</f>
        <v>Number of family members in Business</v>
      </c>
      <c r="H195" s="7" t="s">
        <v>5</v>
      </c>
      <c r="I195" s="7" t="s">
        <v>78</v>
      </c>
      <c r="L195" s="7">
        <v>1</v>
      </c>
      <c r="T195" s="7">
        <v>1</v>
      </c>
      <c r="AB195" s="7" t="s">
        <v>968</v>
      </c>
    </row>
    <row r="196" spans="2:30" x14ac:dyDescent="0.3">
      <c r="B196" t="s">
        <v>425</v>
      </c>
      <c r="C196" s="7" t="s">
        <v>425</v>
      </c>
      <c r="D196" s="7" t="s">
        <v>187</v>
      </c>
      <c r="E196" t="s">
        <v>1008</v>
      </c>
      <c r="F196" s="10" t="s">
        <v>199</v>
      </c>
      <c r="G196" s="10" t="s">
        <v>592</v>
      </c>
      <c r="H196" s="7" t="s">
        <v>19</v>
      </c>
      <c r="I196" s="7" t="s">
        <v>3</v>
      </c>
      <c r="L196" s="7">
        <v>1</v>
      </c>
      <c r="T196" s="7" t="s">
        <v>763</v>
      </c>
    </row>
    <row r="197" spans="2:30" x14ac:dyDescent="0.3">
      <c r="B197" t="s">
        <v>426</v>
      </c>
      <c r="C197" s="7" t="s">
        <v>426</v>
      </c>
      <c r="D197" s="7" t="s">
        <v>187</v>
      </c>
      <c r="E197" t="s">
        <v>1008</v>
      </c>
      <c r="F197" s="10" t="s">
        <v>200</v>
      </c>
      <c r="G197" s="7" t="s">
        <v>665</v>
      </c>
      <c r="H197" s="7" t="s">
        <v>5</v>
      </c>
      <c r="I197" s="7" t="s">
        <v>4</v>
      </c>
      <c r="L197" s="7">
        <v>1</v>
      </c>
      <c r="O197" s="13"/>
      <c r="T197" s="7">
        <v>0</v>
      </c>
    </row>
    <row r="198" spans="2:30" x14ac:dyDescent="0.3">
      <c r="B198" t="s">
        <v>427</v>
      </c>
      <c r="C198" s="7" t="s">
        <v>427</v>
      </c>
      <c r="D198" s="7" t="s">
        <v>187</v>
      </c>
      <c r="E198" t="s">
        <v>1008</v>
      </c>
      <c r="F198" s="10" t="s">
        <v>200</v>
      </c>
      <c r="G198" s="10" t="s">
        <v>663</v>
      </c>
      <c r="H198" s="10" t="s">
        <v>320</v>
      </c>
      <c r="L198" s="7">
        <v>1</v>
      </c>
      <c r="T198" s="7">
        <v>0</v>
      </c>
    </row>
    <row r="199" spans="2:30" x14ac:dyDescent="0.3">
      <c r="B199" t="s">
        <v>666</v>
      </c>
      <c r="C199" s="7" t="s">
        <v>666</v>
      </c>
      <c r="D199" s="7" t="s">
        <v>187</v>
      </c>
      <c r="E199" t="s">
        <v>1008</v>
      </c>
      <c r="F199" s="10" t="s">
        <v>200</v>
      </c>
      <c r="G199" s="7" t="s">
        <v>664</v>
      </c>
      <c r="H199" s="7" t="s">
        <v>5</v>
      </c>
      <c r="I199" s="7" t="s">
        <v>4</v>
      </c>
      <c r="L199" s="7">
        <v>1</v>
      </c>
      <c r="T199" s="7">
        <v>0</v>
      </c>
    </row>
    <row r="200" spans="2:30" x14ac:dyDescent="0.3">
      <c r="B200" t="s">
        <v>357</v>
      </c>
      <c r="C200" s="7" t="s">
        <v>357</v>
      </c>
      <c r="D200" s="7" t="s">
        <v>187</v>
      </c>
      <c r="E200" t="s">
        <v>201</v>
      </c>
      <c r="F200" s="10" t="s">
        <v>202</v>
      </c>
      <c r="G200" s="7" t="s">
        <v>201</v>
      </c>
      <c r="I200" s="7" t="s">
        <v>3</v>
      </c>
      <c r="L200" s="7">
        <v>1</v>
      </c>
      <c r="T200" s="7" t="s">
        <v>763</v>
      </c>
    </row>
    <row r="201" spans="2:30" x14ac:dyDescent="0.3">
      <c r="B201" t="s">
        <v>358</v>
      </c>
      <c r="C201" s="7" t="s">
        <v>358</v>
      </c>
      <c r="D201" s="7" t="s">
        <v>187</v>
      </c>
      <c r="E201" t="s">
        <v>201</v>
      </c>
      <c r="F201" s="10" t="s">
        <v>203</v>
      </c>
      <c r="G201" s="10" t="s">
        <v>667</v>
      </c>
      <c r="H201" s="7" t="s">
        <v>5</v>
      </c>
      <c r="I201" s="7" t="str">
        <f>I3</f>
        <v>KRW</v>
      </c>
      <c r="J201" s="7" t="s">
        <v>610</v>
      </c>
      <c r="K201" s="7" t="str">
        <f>K3</f>
        <v>December</v>
      </c>
      <c r="L201" s="7">
        <v>1</v>
      </c>
      <c r="O201" s="7">
        <v>14669141000000</v>
      </c>
      <c r="P201" s="7">
        <v>18055668000000</v>
      </c>
      <c r="Q201" s="7">
        <v>19613114000000</v>
      </c>
      <c r="R201" s="7">
        <v>20110588000000</v>
      </c>
      <c r="S201" s="7">
        <v>19419618000000</v>
      </c>
      <c r="AD201" s="7" t="s">
        <v>1037</v>
      </c>
    </row>
    <row r="202" spans="2:30" x14ac:dyDescent="0.3">
      <c r="B202" t="s">
        <v>775</v>
      </c>
      <c r="C202" s="7" t="s">
        <v>775</v>
      </c>
      <c r="D202" s="7" t="s">
        <v>187</v>
      </c>
      <c r="E202" t="s">
        <v>201</v>
      </c>
      <c r="F202" s="10" t="s">
        <v>203</v>
      </c>
      <c r="G202" s="10" t="s">
        <v>776</v>
      </c>
      <c r="H202" s="7" t="s">
        <v>5</v>
      </c>
      <c r="I202" s="7" t="str">
        <f>I3</f>
        <v>KRW</v>
      </c>
      <c r="J202" s="7" t="s">
        <v>610</v>
      </c>
      <c r="K202" s="7" t="str">
        <f>K3</f>
        <v>December</v>
      </c>
      <c r="L202" s="7">
        <v>1</v>
      </c>
      <c r="T202" s="7">
        <v>0</v>
      </c>
    </row>
    <row r="203" spans="2:30" ht="15" thickBot="1" x14ac:dyDescent="0.35">
      <c r="B203" t="s">
        <v>428</v>
      </c>
      <c r="C203" s="7" t="s">
        <v>428</v>
      </c>
      <c r="D203" s="7" t="s">
        <v>187</v>
      </c>
      <c r="E203" t="s">
        <v>1009</v>
      </c>
      <c r="F203" s="10" t="s">
        <v>204</v>
      </c>
      <c r="G203" s="10" t="s">
        <v>670</v>
      </c>
      <c r="H203" s="7" t="s">
        <v>5</v>
      </c>
      <c r="I203" s="7" t="s">
        <v>78</v>
      </c>
      <c r="L203" s="7">
        <v>10</v>
      </c>
      <c r="T203" s="7">
        <v>0</v>
      </c>
    </row>
    <row r="204" spans="2:30" ht="15" thickBot="1" x14ac:dyDescent="0.35">
      <c r="B204" t="s">
        <v>429</v>
      </c>
      <c r="C204" s="7" t="s">
        <v>429</v>
      </c>
      <c r="D204" s="7" t="s">
        <v>187</v>
      </c>
      <c r="E204" t="s">
        <v>1009</v>
      </c>
      <c r="F204" s="10" t="s">
        <v>206</v>
      </c>
      <c r="G204" s="10" t="s">
        <v>207</v>
      </c>
      <c r="I204" s="7" t="s">
        <v>3</v>
      </c>
      <c r="L204" s="7">
        <v>1</v>
      </c>
      <c r="N204" s="21"/>
      <c r="T204" s="7" t="s">
        <v>762</v>
      </c>
      <c r="AB204" s="7" t="s">
        <v>860</v>
      </c>
    </row>
    <row r="205" spans="2:30" x14ac:dyDescent="0.3">
      <c r="B205" t="s">
        <v>430</v>
      </c>
      <c r="C205" s="7" t="s">
        <v>430</v>
      </c>
      <c r="D205" s="7" t="s">
        <v>187</v>
      </c>
      <c r="E205" t="s">
        <v>1009</v>
      </c>
      <c r="F205" s="10" t="s">
        <v>206</v>
      </c>
      <c r="G205" s="10" t="s">
        <v>208</v>
      </c>
      <c r="I205" s="7" t="s">
        <v>3</v>
      </c>
      <c r="L205" s="7">
        <v>1</v>
      </c>
      <c r="O205" s="13"/>
      <c r="T205" s="7" t="s">
        <v>762</v>
      </c>
      <c r="AB205" s="7" t="s">
        <v>860</v>
      </c>
    </row>
    <row r="206" spans="2:30" x14ac:dyDescent="0.3">
      <c r="B206" t="s">
        <v>431</v>
      </c>
      <c r="C206" s="7" t="s">
        <v>431</v>
      </c>
      <c r="D206" s="7" t="s">
        <v>187</v>
      </c>
      <c r="E206" t="s">
        <v>1009</v>
      </c>
      <c r="F206" s="10" t="s">
        <v>206</v>
      </c>
      <c r="G206" s="10" t="s">
        <v>209</v>
      </c>
      <c r="I206" s="7" t="s">
        <v>3</v>
      </c>
      <c r="L206" s="7">
        <v>1</v>
      </c>
      <c r="O206" s="13"/>
      <c r="T206" s="7" t="s">
        <v>762</v>
      </c>
      <c r="AB206" s="7" t="s">
        <v>860</v>
      </c>
    </row>
    <row r="207" spans="2:30" x14ac:dyDescent="0.3">
      <c r="B207" t="s">
        <v>432</v>
      </c>
      <c r="C207" s="7" t="s">
        <v>432</v>
      </c>
      <c r="D207" s="7" t="s">
        <v>187</v>
      </c>
      <c r="E207" t="s">
        <v>1009</v>
      </c>
      <c r="F207" s="10" t="s">
        <v>210</v>
      </c>
      <c r="G207" s="10" t="s">
        <v>211</v>
      </c>
      <c r="H207" s="7" t="s">
        <v>5</v>
      </c>
      <c r="I207" s="7" t="s">
        <v>4</v>
      </c>
      <c r="L207" s="7">
        <v>1</v>
      </c>
      <c r="O207" s="13"/>
      <c r="T207" s="14">
        <v>0.2079</v>
      </c>
      <c r="AB207" s="7" t="s">
        <v>1031</v>
      </c>
    </row>
    <row r="208" spans="2:30" ht="15" thickBot="1" x14ac:dyDescent="0.35">
      <c r="B208" t="s">
        <v>433</v>
      </c>
      <c r="C208" s="7" t="s">
        <v>433</v>
      </c>
      <c r="D208" s="7" t="s">
        <v>187</v>
      </c>
      <c r="E208" t="s">
        <v>1009</v>
      </c>
      <c r="F208" s="10" t="s">
        <v>210</v>
      </c>
      <c r="G208" s="10" t="s">
        <v>212</v>
      </c>
      <c r="H208" s="7" t="s">
        <v>5</v>
      </c>
      <c r="I208" s="7" t="s">
        <v>4</v>
      </c>
      <c r="L208" s="7">
        <v>1</v>
      </c>
      <c r="N208" s="22"/>
      <c r="R208" s="20"/>
      <c r="S208" s="20"/>
      <c r="T208" s="14">
        <v>0.37840000000000001</v>
      </c>
      <c r="AB208" s="7" t="s">
        <v>1031</v>
      </c>
      <c r="AC208" s="17"/>
    </row>
    <row r="209" spans="2:30" x14ac:dyDescent="0.3">
      <c r="B209" t="s">
        <v>434</v>
      </c>
      <c r="C209" s="7" t="s">
        <v>434</v>
      </c>
      <c r="D209" s="7" t="s">
        <v>187</v>
      </c>
      <c r="E209" t="s">
        <v>1009</v>
      </c>
      <c r="F209" s="10" t="s">
        <v>210</v>
      </c>
      <c r="G209" s="10" t="s">
        <v>671</v>
      </c>
      <c r="H209" s="7" t="s">
        <v>5</v>
      </c>
      <c r="I209" s="7" t="s">
        <v>4</v>
      </c>
      <c r="L209" s="7">
        <v>1</v>
      </c>
      <c r="R209" s="20"/>
      <c r="S209" s="20"/>
      <c r="T209" s="7">
        <v>0</v>
      </c>
      <c r="AB209" s="7" t="s">
        <v>1031</v>
      </c>
      <c r="AC209" s="17"/>
    </row>
    <row r="210" spans="2:30" x14ac:dyDescent="0.3">
      <c r="B210" t="s">
        <v>673</v>
      </c>
      <c r="C210" s="7" t="s">
        <v>673</v>
      </c>
      <c r="D210" s="7" t="s">
        <v>187</v>
      </c>
      <c r="E210" t="s">
        <v>1009</v>
      </c>
      <c r="F210" s="10" t="s">
        <v>210</v>
      </c>
      <c r="G210" s="10" t="s">
        <v>672</v>
      </c>
      <c r="H210" s="7" t="s">
        <v>5</v>
      </c>
      <c r="I210" s="7" t="s">
        <v>4</v>
      </c>
      <c r="L210" s="7">
        <v>1</v>
      </c>
      <c r="R210" s="20"/>
      <c r="S210" s="20"/>
      <c r="T210" s="14">
        <v>0.41370000000000001</v>
      </c>
      <c r="AB210" s="7" t="s">
        <v>1031</v>
      </c>
      <c r="AC210" s="17"/>
    </row>
    <row r="211" spans="2:30" x14ac:dyDescent="0.3">
      <c r="B211" t="s">
        <v>677</v>
      </c>
      <c r="C211" s="7" t="s">
        <v>677</v>
      </c>
      <c r="D211" s="7" t="s">
        <v>187</v>
      </c>
      <c r="E211" t="s">
        <v>1009</v>
      </c>
      <c r="F211" s="10" t="s">
        <v>213</v>
      </c>
      <c r="G211" s="10" t="s">
        <v>592</v>
      </c>
      <c r="H211" s="7" t="s">
        <v>19</v>
      </c>
      <c r="I211" s="7" t="s">
        <v>3</v>
      </c>
      <c r="L211" s="7">
        <v>1</v>
      </c>
      <c r="R211" s="20"/>
      <c r="S211" s="20"/>
      <c r="T211" s="7" t="s">
        <v>763</v>
      </c>
    </row>
    <row r="212" spans="2:30" x14ac:dyDescent="0.3">
      <c r="B212" t="s">
        <v>674</v>
      </c>
      <c r="C212" s="7" t="s">
        <v>674</v>
      </c>
      <c r="D212" s="7" t="s">
        <v>187</v>
      </c>
      <c r="E212" t="s">
        <v>1009</v>
      </c>
      <c r="F212" s="10" t="s">
        <v>213</v>
      </c>
      <c r="G212" s="10" t="s">
        <v>303</v>
      </c>
      <c r="H212" s="7" t="s">
        <v>19</v>
      </c>
      <c r="I212" s="7" t="s">
        <v>3</v>
      </c>
      <c r="L212" s="7">
        <v>1</v>
      </c>
      <c r="O212" s="13"/>
      <c r="T212" s="7" t="s">
        <v>763</v>
      </c>
    </row>
    <row r="213" spans="2:30" x14ac:dyDescent="0.3">
      <c r="B213" t="s">
        <v>675</v>
      </c>
      <c r="C213" s="7" t="s">
        <v>675</v>
      </c>
      <c r="D213" s="7" t="s">
        <v>187</v>
      </c>
      <c r="E213" t="s">
        <v>1009</v>
      </c>
      <c r="F213" s="10" t="s">
        <v>215</v>
      </c>
      <c r="G213" s="10" t="s">
        <v>592</v>
      </c>
      <c r="H213" s="7" t="s">
        <v>19</v>
      </c>
      <c r="I213" s="7" t="s">
        <v>3</v>
      </c>
      <c r="L213" s="7">
        <v>1</v>
      </c>
      <c r="O213" s="13"/>
      <c r="T213" s="7" t="s">
        <v>763</v>
      </c>
    </row>
    <row r="214" spans="2:30" x14ac:dyDescent="0.3">
      <c r="B214" t="s">
        <v>676</v>
      </c>
      <c r="C214" s="7" t="s">
        <v>676</v>
      </c>
      <c r="D214" s="7" t="s">
        <v>187</v>
      </c>
      <c r="E214" t="s">
        <v>1009</v>
      </c>
      <c r="F214" s="10" t="s">
        <v>215</v>
      </c>
      <c r="G214" s="10" t="s">
        <v>303</v>
      </c>
      <c r="H214" s="7" t="s">
        <v>19</v>
      </c>
      <c r="I214" s="7" t="s">
        <v>3</v>
      </c>
      <c r="L214" s="7">
        <v>1</v>
      </c>
      <c r="O214" s="13"/>
      <c r="T214" s="7" t="s">
        <v>763</v>
      </c>
    </row>
    <row r="215" spans="2:30" x14ac:dyDescent="0.3">
      <c r="B215" t="s">
        <v>435</v>
      </c>
      <c r="C215" s="7" t="s">
        <v>435</v>
      </c>
      <c r="D215" s="7" t="s">
        <v>187</v>
      </c>
      <c r="E215" t="s">
        <v>1009</v>
      </c>
      <c r="F215" s="10" t="s">
        <v>216</v>
      </c>
      <c r="G215" s="10" t="s">
        <v>217</v>
      </c>
      <c r="I215" s="7" t="s">
        <v>3</v>
      </c>
      <c r="L215" s="7">
        <v>1</v>
      </c>
      <c r="O215" s="13"/>
      <c r="T215" s="7" t="s">
        <v>762</v>
      </c>
      <c r="AB215" s="7" t="s">
        <v>962</v>
      </c>
    </row>
    <row r="216" spans="2:30" x14ac:dyDescent="0.3">
      <c r="B216" t="s">
        <v>436</v>
      </c>
      <c r="C216" s="7" t="s">
        <v>436</v>
      </c>
      <c r="D216" s="7" t="s">
        <v>187</v>
      </c>
      <c r="E216" t="s">
        <v>1009</v>
      </c>
      <c r="F216" s="10" t="s">
        <v>216</v>
      </c>
      <c r="G216" s="10" t="s">
        <v>218</v>
      </c>
      <c r="H216" s="7" t="s">
        <v>5</v>
      </c>
      <c r="I216" s="7" t="s">
        <v>78</v>
      </c>
      <c r="L216" s="7">
        <v>1</v>
      </c>
      <c r="O216" s="13"/>
      <c r="T216" s="7">
        <v>0</v>
      </c>
    </row>
    <row r="217" spans="2:30" x14ac:dyDescent="0.3">
      <c r="B217" t="s">
        <v>437</v>
      </c>
      <c r="C217" s="7" t="s">
        <v>437</v>
      </c>
      <c r="D217" s="7" t="s">
        <v>187</v>
      </c>
      <c r="E217" t="s">
        <v>1009</v>
      </c>
      <c r="F217" s="10" t="s">
        <v>219</v>
      </c>
      <c r="G217" s="10" t="s">
        <v>220</v>
      </c>
      <c r="H217" s="7" t="s">
        <v>5</v>
      </c>
      <c r="I217" s="7" t="s">
        <v>78</v>
      </c>
      <c r="L217" s="7">
        <v>1</v>
      </c>
      <c r="T217" s="7">
        <v>204</v>
      </c>
      <c r="AB217" s="7" t="s">
        <v>963</v>
      </c>
    </row>
    <row r="218" spans="2:30" x14ac:dyDescent="0.3">
      <c r="B218" t="s">
        <v>438</v>
      </c>
      <c r="C218" s="7" t="s">
        <v>438</v>
      </c>
      <c r="D218" s="7" t="s">
        <v>187</v>
      </c>
      <c r="E218" t="s">
        <v>1009</v>
      </c>
      <c r="F218" s="10" t="s">
        <v>219</v>
      </c>
      <c r="G218" s="10" t="s">
        <v>221</v>
      </c>
      <c r="H218" s="7" t="s">
        <v>5</v>
      </c>
      <c r="I218" s="7" t="s">
        <v>78</v>
      </c>
      <c r="L218" s="7">
        <v>1</v>
      </c>
      <c r="T218" s="7">
        <v>36</v>
      </c>
      <c r="AB218" s="7" t="s">
        <v>963</v>
      </c>
      <c r="AC218" s="17"/>
    </row>
    <row r="219" spans="2:30" x14ac:dyDescent="0.3">
      <c r="B219" s="7" t="s">
        <v>439</v>
      </c>
      <c r="C219" s="7" t="s">
        <v>439</v>
      </c>
      <c r="D219" s="7" t="s">
        <v>187</v>
      </c>
      <c r="E219" s="7" t="s">
        <v>1009</v>
      </c>
      <c r="F219" s="10" t="s">
        <v>219</v>
      </c>
      <c r="G219" s="10" t="s">
        <v>222</v>
      </c>
      <c r="I219" s="7" t="s">
        <v>3</v>
      </c>
      <c r="L219" s="7">
        <v>1</v>
      </c>
      <c r="T219" s="7" t="s">
        <v>763</v>
      </c>
      <c r="AB219" s="7" t="s">
        <v>963</v>
      </c>
      <c r="AC219" s="17"/>
    </row>
    <row r="220" spans="2:30" x14ac:dyDescent="0.3">
      <c r="B220" t="s">
        <v>440</v>
      </c>
      <c r="C220" s="7" t="s">
        <v>440</v>
      </c>
      <c r="D220" s="7" t="s">
        <v>187</v>
      </c>
      <c r="E220" t="s">
        <v>1009</v>
      </c>
      <c r="F220" s="10" t="s">
        <v>223</v>
      </c>
      <c r="G220" s="10" t="s">
        <v>224</v>
      </c>
      <c r="H220" s="7" t="s">
        <v>5</v>
      </c>
      <c r="I220" s="7" t="s">
        <v>78</v>
      </c>
      <c r="L220" s="7">
        <v>1</v>
      </c>
      <c r="T220" s="7">
        <v>0</v>
      </c>
    </row>
    <row r="221" spans="2:30" x14ac:dyDescent="0.3">
      <c r="B221" t="s">
        <v>441</v>
      </c>
      <c r="C221" s="7" t="s">
        <v>441</v>
      </c>
      <c r="D221" s="7" t="s">
        <v>187</v>
      </c>
      <c r="E221" t="s">
        <v>1009</v>
      </c>
      <c r="F221" s="10" t="s">
        <v>223</v>
      </c>
      <c r="G221" s="10" t="s">
        <v>225</v>
      </c>
      <c r="H221" s="7" t="s">
        <v>5</v>
      </c>
      <c r="I221" s="7" t="str">
        <f>I3</f>
        <v>KRW</v>
      </c>
      <c r="J221" s="7" t="s">
        <v>610</v>
      </c>
      <c r="K221" s="7" t="str">
        <f>K3</f>
        <v>December</v>
      </c>
      <c r="L221" s="7">
        <v>1</v>
      </c>
      <c r="T221" s="7">
        <v>0</v>
      </c>
    </row>
    <row r="222" spans="2:30" x14ac:dyDescent="0.3">
      <c r="B222" s="7" t="s">
        <v>442</v>
      </c>
      <c r="C222" s="7" t="s">
        <v>442</v>
      </c>
      <c r="D222" s="7" t="s">
        <v>187</v>
      </c>
      <c r="E222" s="7" t="s">
        <v>1010</v>
      </c>
      <c r="F222" s="10" t="s">
        <v>226</v>
      </c>
      <c r="G222" s="10" t="s">
        <v>227</v>
      </c>
      <c r="H222" s="7" t="s">
        <v>5</v>
      </c>
      <c r="I222" s="7" t="s">
        <v>228</v>
      </c>
      <c r="L222" s="7">
        <v>1</v>
      </c>
      <c r="T222" s="7">
        <v>383</v>
      </c>
      <c r="AB222" s="7" t="s">
        <v>1038</v>
      </c>
      <c r="AD222" s="59" t="s">
        <v>1039</v>
      </c>
    </row>
    <row r="223" spans="2:30" x14ac:dyDescent="0.3">
      <c r="B223" s="7" t="s">
        <v>443</v>
      </c>
      <c r="C223" s="7" t="s">
        <v>443</v>
      </c>
      <c r="D223" s="7" t="s">
        <v>187</v>
      </c>
      <c r="E223" s="7" t="s">
        <v>1010</v>
      </c>
      <c r="F223" s="10" t="s">
        <v>226</v>
      </c>
      <c r="G223" s="10" t="s">
        <v>229</v>
      </c>
      <c r="H223" s="7" t="s">
        <v>5</v>
      </c>
      <c r="I223" s="7" t="s">
        <v>228</v>
      </c>
      <c r="L223" s="7">
        <v>1</v>
      </c>
      <c r="T223" s="7">
        <v>43</v>
      </c>
      <c r="AB223" s="7" t="s">
        <v>1038</v>
      </c>
      <c r="AD223" s="59"/>
    </row>
    <row r="224" spans="2:30" x14ac:dyDescent="0.3">
      <c r="B224" s="7" t="s">
        <v>444</v>
      </c>
      <c r="C224" s="7" t="s">
        <v>444</v>
      </c>
      <c r="D224" s="7" t="s">
        <v>187</v>
      </c>
      <c r="E224" s="7" t="s">
        <v>1010</v>
      </c>
      <c r="F224" s="10" t="s">
        <v>226</v>
      </c>
      <c r="G224" s="10" t="s">
        <v>230</v>
      </c>
      <c r="H224" s="7" t="s">
        <v>5</v>
      </c>
      <c r="I224" s="7" t="s">
        <v>228</v>
      </c>
      <c r="L224" s="7">
        <v>1</v>
      </c>
      <c r="T224" s="8">
        <f>+T222/11</f>
        <v>34.81818181818182</v>
      </c>
      <c r="AB224" s="7" t="s">
        <v>1038</v>
      </c>
      <c r="AD224" s="59"/>
    </row>
    <row r="225" spans="2:30" x14ac:dyDescent="0.3">
      <c r="B225" s="7" t="s">
        <v>445</v>
      </c>
      <c r="C225" s="7" t="s">
        <v>445</v>
      </c>
      <c r="D225" s="7" t="s">
        <v>187</v>
      </c>
      <c r="E225" s="7" t="s">
        <v>1010</v>
      </c>
      <c r="F225" s="10" t="s">
        <v>226</v>
      </c>
      <c r="G225" s="10" t="s">
        <v>231</v>
      </c>
      <c r="H225" s="7" t="s">
        <v>5</v>
      </c>
      <c r="I225" s="7" t="s">
        <v>228</v>
      </c>
      <c r="L225" s="7">
        <v>1</v>
      </c>
      <c r="T225" s="8">
        <f>+T223/11</f>
        <v>3.9090909090909092</v>
      </c>
      <c r="AB225" s="7" t="s">
        <v>1038</v>
      </c>
      <c r="AD225" s="59"/>
    </row>
    <row r="226" spans="2:30" x14ac:dyDescent="0.3">
      <c r="B226" t="s">
        <v>679</v>
      </c>
      <c r="C226" s="7" t="s">
        <v>679</v>
      </c>
      <c r="D226" s="7" t="s">
        <v>187</v>
      </c>
      <c r="E226" t="s">
        <v>1010</v>
      </c>
      <c r="F226" s="10" t="s">
        <v>226</v>
      </c>
      <c r="G226" s="10" t="s">
        <v>680</v>
      </c>
      <c r="H226" s="7" t="s">
        <v>5</v>
      </c>
      <c r="I226" s="7" t="s">
        <v>4</v>
      </c>
      <c r="L226" s="7">
        <v>1</v>
      </c>
      <c r="T226" s="30">
        <f>6/11</f>
        <v>0.54545454545454541</v>
      </c>
      <c r="AB226" s="47" t="s">
        <v>1040</v>
      </c>
    </row>
    <row r="227" spans="2:30" x14ac:dyDescent="0.3">
      <c r="B227" t="s">
        <v>447</v>
      </c>
      <c r="C227" s="7" t="s">
        <v>447</v>
      </c>
      <c r="D227" s="7" t="s">
        <v>187</v>
      </c>
      <c r="E227" t="s">
        <v>1010</v>
      </c>
      <c r="F227" s="10" t="s">
        <v>232</v>
      </c>
      <c r="G227" s="10" t="s">
        <v>233</v>
      </c>
      <c r="I227" s="7" t="s">
        <v>3</v>
      </c>
      <c r="L227" s="7">
        <v>1</v>
      </c>
      <c r="T227" s="7" t="s">
        <v>763</v>
      </c>
    </row>
    <row r="228" spans="2:30" x14ac:dyDescent="0.3">
      <c r="B228" t="s">
        <v>448</v>
      </c>
      <c r="C228" s="7" t="s">
        <v>448</v>
      </c>
      <c r="D228" s="7" t="s">
        <v>187</v>
      </c>
      <c r="E228" t="s">
        <v>1010</v>
      </c>
      <c r="F228" s="10" t="s">
        <v>234</v>
      </c>
      <c r="G228" s="10" t="s">
        <v>235</v>
      </c>
      <c r="I228" s="7" t="s">
        <v>3</v>
      </c>
      <c r="L228" s="7">
        <v>1</v>
      </c>
      <c r="T228" s="7" t="s">
        <v>762</v>
      </c>
      <c r="AB228" s="47" t="s">
        <v>1041</v>
      </c>
    </row>
    <row r="229" spans="2:30" x14ac:dyDescent="0.3">
      <c r="B229" t="s">
        <v>449</v>
      </c>
      <c r="C229" s="7" t="s">
        <v>449</v>
      </c>
      <c r="D229" s="7" t="s">
        <v>187</v>
      </c>
      <c r="E229" t="s">
        <v>1010</v>
      </c>
      <c r="F229" s="10" t="s">
        <v>234</v>
      </c>
      <c r="G229" s="10" t="s">
        <v>236</v>
      </c>
      <c r="H229" s="10" t="s">
        <v>131</v>
      </c>
      <c r="I229" s="10" t="s">
        <v>132</v>
      </c>
      <c r="L229" s="7">
        <v>1</v>
      </c>
      <c r="T229" s="30" t="s">
        <v>764</v>
      </c>
    </row>
    <row r="230" spans="2:30" x14ac:dyDescent="0.3">
      <c r="B230" s="7" t="s">
        <v>450</v>
      </c>
      <c r="C230" s="7" t="s">
        <v>450</v>
      </c>
      <c r="D230" s="7" t="s">
        <v>187</v>
      </c>
      <c r="E230" s="7" t="s">
        <v>1010</v>
      </c>
      <c r="F230" s="10" t="s">
        <v>237</v>
      </c>
      <c r="G230" s="10" t="s">
        <v>238</v>
      </c>
      <c r="H230" s="7" t="s">
        <v>5</v>
      </c>
      <c r="I230" s="10" t="s">
        <v>4</v>
      </c>
      <c r="L230" s="7">
        <v>1</v>
      </c>
      <c r="N230" s="30">
        <f>+(1700+1473)/O10</f>
        <v>4.6712122778538056E-7</v>
      </c>
      <c r="O230" s="30">
        <f>+(1300+840403)/P10</f>
        <v>1.2391343800524366E-4</v>
      </c>
      <c r="P230" s="30">
        <f>+(500+840403)/Q10</f>
        <v>1.2379566397995899E-4</v>
      </c>
      <c r="Q230" s="30">
        <f>+(28500+42020150+175000+99750+50000)/R10</f>
        <v>6.2381073537475717E-3</v>
      </c>
      <c r="R230" s="30">
        <f>+(16000+200000+99750+75000+800+2175)/S10</f>
        <v>5.7963222631515586E-5</v>
      </c>
      <c r="AB230" s="7" t="s">
        <v>1033</v>
      </c>
    </row>
    <row r="231" spans="2:30" x14ac:dyDescent="0.3">
      <c r="B231" t="s">
        <v>451</v>
      </c>
      <c r="C231" s="7" t="s">
        <v>451</v>
      </c>
      <c r="D231" s="7" t="s">
        <v>187</v>
      </c>
      <c r="E231" t="s">
        <v>1010</v>
      </c>
      <c r="F231" s="10" t="s">
        <v>237</v>
      </c>
      <c r="G231" s="10" t="s">
        <v>681</v>
      </c>
      <c r="H231" s="7" t="s">
        <v>5</v>
      </c>
      <c r="I231" s="10" t="str">
        <f>I3</f>
        <v>KRW</v>
      </c>
      <c r="J231" s="10" t="s">
        <v>610</v>
      </c>
      <c r="K231" s="7" t="str">
        <f>K3</f>
        <v>December</v>
      </c>
      <c r="L231" s="7">
        <v>1</v>
      </c>
      <c r="N231" s="8">
        <f>6657*10^6</f>
        <v>6657000000</v>
      </c>
      <c r="O231" s="8">
        <f>4837*10^6</f>
        <v>4837000000</v>
      </c>
      <c r="P231" s="8">
        <f>10337*10^6</f>
        <v>10337000000</v>
      </c>
      <c r="Q231" s="8">
        <f>5758*10^6</f>
        <v>5758000000</v>
      </c>
      <c r="R231" s="8">
        <f>12017*10^6</f>
        <v>12017000000</v>
      </c>
      <c r="S231" s="20"/>
      <c r="W231" s="7" t="s">
        <v>965</v>
      </c>
      <c r="X231" s="7" t="s">
        <v>967</v>
      </c>
      <c r="Y231" s="7" t="s">
        <v>966</v>
      </c>
      <c r="Z231" s="7" t="s">
        <v>964</v>
      </c>
    </row>
    <row r="232" spans="2:30" ht="15" thickBot="1" x14ac:dyDescent="0.35">
      <c r="B232" t="s">
        <v>452</v>
      </c>
      <c r="C232" s="7" t="s">
        <v>452</v>
      </c>
      <c r="D232" s="7" t="s">
        <v>187</v>
      </c>
      <c r="E232" t="s">
        <v>1010</v>
      </c>
      <c r="F232" s="10" t="s">
        <v>239</v>
      </c>
      <c r="G232" s="10" t="s">
        <v>240</v>
      </c>
      <c r="H232" s="7" t="s">
        <v>5</v>
      </c>
      <c r="I232" s="7" t="s">
        <v>78</v>
      </c>
      <c r="L232" s="7">
        <v>1</v>
      </c>
      <c r="N232" s="23"/>
      <c r="P232" s="20"/>
      <c r="Q232" s="12"/>
      <c r="R232" s="20"/>
      <c r="S232" s="20"/>
      <c r="T232" s="7" t="s">
        <v>763</v>
      </c>
    </row>
    <row r="233" spans="2:30" ht="15" thickBot="1" x14ac:dyDescent="0.35">
      <c r="B233" t="s">
        <v>689</v>
      </c>
      <c r="C233" s="7" t="s">
        <v>689</v>
      </c>
      <c r="D233" s="7" t="s">
        <v>187</v>
      </c>
      <c r="E233" t="s">
        <v>1010</v>
      </c>
      <c r="F233" s="10" t="s">
        <v>241</v>
      </c>
      <c r="G233" s="10" t="s">
        <v>686</v>
      </c>
      <c r="H233" s="7" t="s">
        <v>78</v>
      </c>
      <c r="L233" s="7">
        <v>1</v>
      </c>
      <c r="N233" s="23"/>
      <c r="T233" s="7">
        <v>6</v>
      </c>
      <c r="AB233" s="47" t="s">
        <v>1040</v>
      </c>
    </row>
    <row r="234" spans="2:30" ht="15" thickBot="1" x14ac:dyDescent="0.35">
      <c r="B234" t="s">
        <v>688</v>
      </c>
      <c r="C234" s="7" t="s">
        <v>688</v>
      </c>
      <c r="D234" s="7" t="s">
        <v>187</v>
      </c>
      <c r="E234" t="s">
        <v>1010</v>
      </c>
      <c r="F234" s="10" t="s">
        <v>241</v>
      </c>
      <c r="G234" s="10" t="s">
        <v>687</v>
      </c>
      <c r="H234" s="7" t="s">
        <v>78</v>
      </c>
      <c r="L234" s="7">
        <v>1</v>
      </c>
      <c r="N234" s="23"/>
      <c r="T234" s="7">
        <v>5</v>
      </c>
      <c r="AB234" s="47" t="s">
        <v>1040</v>
      </c>
    </row>
    <row r="235" spans="2:30" ht="15" thickBot="1" x14ac:dyDescent="0.35">
      <c r="B235" t="s">
        <v>690</v>
      </c>
      <c r="C235" s="7" t="s">
        <v>690</v>
      </c>
      <c r="D235" s="7" t="s">
        <v>187</v>
      </c>
      <c r="E235" t="s">
        <v>1010</v>
      </c>
      <c r="F235" s="10" t="s">
        <v>241</v>
      </c>
      <c r="G235" s="10" t="s">
        <v>242</v>
      </c>
      <c r="I235" s="7" t="s">
        <v>3</v>
      </c>
      <c r="L235" s="7">
        <v>1</v>
      </c>
      <c r="N235" s="23"/>
      <c r="T235" s="7" t="s">
        <v>762</v>
      </c>
      <c r="AB235" s="47" t="s">
        <v>1040</v>
      </c>
    </row>
    <row r="236" spans="2:30" ht="15" thickBot="1" x14ac:dyDescent="0.35">
      <c r="B236" t="s">
        <v>453</v>
      </c>
      <c r="C236" s="7" t="s">
        <v>453</v>
      </c>
      <c r="D236" s="7" t="s">
        <v>187</v>
      </c>
      <c r="E236" t="s">
        <v>1010</v>
      </c>
      <c r="F236" s="10" t="s">
        <v>243</v>
      </c>
      <c r="G236" s="10" t="s">
        <v>244</v>
      </c>
      <c r="I236" s="7" t="s">
        <v>3</v>
      </c>
      <c r="L236" s="7">
        <v>1</v>
      </c>
      <c r="N236" s="23"/>
      <c r="T236" s="7" t="s">
        <v>763</v>
      </c>
    </row>
    <row r="237" spans="2:30" ht="15" thickBot="1" x14ac:dyDescent="0.35">
      <c r="B237" t="s">
        <v>454</v>
      </c>
      <c r="C237" s="7" t="s">
        <v>454</v>
      </c>
      <c r="D237" s="7" t="s">
        <v>187</v>
      </c>
      <c r="E237" t="s">
        <v>1010</v>
      </c>
      <c r="F237" s="10" t="s">
        <v>245</v>
      </c>
      <c r="G237" s="10" t="s">
        <v>691</v>
      </c>
      <c r="I237" s="7" t="s">
        <v>3</v>
      </c>
      <c r="L237" s="7">
        <v>1</v>
      </c>
      <c r="N237" s="23"/>
      <c r="T237" s="7" t="s">
        <v>762</v>
      </c>
      <c r="AB237" s="47" t="s">
        <v>1040</v>
      </c>
    </row>
    <row r="238" spans="2:30" x14ac:dyDescent="0.3">
      <c r="B238" t="s">
        <v>455</v>
      </c>
      <c r="C238" s="7" t="s">
        <v>455</v>
      </c>
      <c r="D238" s="7" t="s">
        <v>187</v>
      </c>
      <c r="E238" t="s">
        <v>1010</v>
      </c>
      <c r="F238" s="10" t="s">
        <v>245</v>
      </c>
      <c r="G238" s="10" t="s">
        <v>692</v>
      </c>
      <c r="I238" s="7" t="s">
        <v>3</v>
      </c>
      <c r="L238" s="7">
        <v>1</v>
      </c>
      <c r="T238" s="7" t="s">
        <v>762</v>
      </c>
      <c r="AB238" s="47" t="s">
        <v>1040</v>
      </c>
    </row>
    <row r="239" spans="2:30" x14ac:dyDescent="0.3">
      <c r="B239" t="s">
        <v>456</v>
      </c>
      <c r="C239" s="7" t="s">
        <v>456</v>
      </c>
      <c r="D239" s="7" t="s">
        <v>187</v>
      </c>
      <c r="E239" t="s">
        <v>1010</v>
      </c>
      <c r="F239" s="10" t="s">
        <v>246</v>
      </c>
      <c r="G239" s="10" t="s">
        <v>247</v>
      </c>
      <c r="I239" s="7" t="s">
        <v>3</v>
      </c>
      <c r="L239" s="7">
        <v>1</v>
      </c>
      <c r="T239" s="7" t="s">
        <v>763</v>
      </c>
    </row>
    <row r="240" spans="2:30" x14ac:dyDescent="0.3">
      <c r="B240" t="s">
        <v>457</v>
      </c>
      <c r="C240" s="7" t="s">
        <v>457</v>
      </c>
      <c r="D240" s="7" t="s">
        <v>187</v>
      </c>
      <c r="E240" t="s">
        <v>1010</v>
      </c>
      <c r="F240" s="10" t="s">
        <v>246</v>
      </c>
      <c r="G240" s="10" t="s">
        <v>248</v>
      </c>
      <c r="I240" s="7" t="s">
        <v>3</v>
      </c>
      <c r="L240" s="7">
        <v>1</v>
      </c>
      <c r="T240" s="7" t="s">
        <v>763</v>
      </c>
    </row>
    <row r="241" spans="2:29" x14ac:dyDescent="0.3">
      <c r="B241" t="s">
        <v>458</v>
      </c>
      <c r="C241" s="7" t="s">
        <v>458</v>
      </c>
      <c r="D241" s="7" t="s">
        <v>187</v>
      </c>
      <c r="E241" t="s">
        <v>1010</v>
      </c>
      <c r="F241" s="10" t="s">
        <v>249</v>
      </c>
      <c r="G241" s="7" t="str">
        <f>F241</f>
        <v>Non-executive director pay</v>
      </c>
      <c r="H241" s="7" t="s">
        <v>5</v>
      </c>
      <c r="I241" s="7" t="str">
        <f>I3</f>
        <v>KRW</v>
      </c>
      <c r="J241" s="10" t="s">
        <v>610</v>
      </c>
      <c r="K241" s="7" t="str">
        <f>K3</f>
        <v>December</v>
      </c>
      <c r="L241" s="7">
        <v>1</v>
      </c>
      <c r="O241" s="7">
        <f>188*10^6</f>
        <v>188000000</v>
      </c>
      <c r="P241" s="7">
        <f>78*10^6</f>
        <v>78000000</v>
      </c>
      <c r="Q241" s="7">
        <f>166*10^6</f>
        <v>166000000</v>
      </c>
      <c r="R241" s="7">
        <f>528*10^6</f>
        <v>528000000</v>
      </c>
      <c r="W241" s="7" t="s">
        <v>1043</v>
      </c>
      <c r="X241" s="7" t="s">
        <v>1044</v>
      </c>
      <c r="Y241" s="7" t="s">
        <v>1045</v>
      </c>
      <c r="Z241" s="7" t="s">
        <v>1042</v>
      </c>
    </row>
    <row r="242" spans="2:29" x14ac:dyDescent="0.3">
      <c r="B242" t="s">
        <v>459</v>
      </c>
      <c r="C242" s="7" t="s">
        <v>459</v>
      </c>
      <c r="D242" s="7" t="s">
        <v>187</v>
      </c>
      <c r="E242" t="s">
        <v>1011</v>
      </c>
      <c r="F242" s="7" t="s">
        <v>339</v>
      </c>
      <c r="G242" s="10"/>
      <c r="L242" s="7">
        <v>0</v>
      </c>
    </row>
    <row r="243" spans="2:29" x14ac:dyDescent="0.3">
      <c r="B243" t="s">
        <v>460</v>
      </c>
      <c r="C243" s="7" t="s">
        <v>460</v>
      </c>
      <c r="D243" s="7" t="s">
        <v>187</v>
      </c>
      <c r="E243" t="s">
        <v>1011</v>
      </c>
      <c r="F243" s="7" t="s">
        <v>340</v>
      </c>
      <c r="G243" s="10" t="s">
        <v>715</v>
      </c>
      <c r="H243" s="10"/>
      <c r="I243" s="7" t="s">
        <v>3</v>
      </c>
      <c r="L243" s="7">
        <v>0</v>
      </c>
      <c r="N243" s="20"/>
      <c r="O243" s="20"/>
      <c r="P243" s="20"/>
      <c r="Q243" s="20"/>
      <c r="R243" s="20"/>
      <c r="S243" s="20"/>
    </row>
    <row r="244" spans="2:29" x14ac:dyDescent="0.3">
      <c r="B244" t="s">
        <v>461</v>
      </c>
      <c r="C244" s="7" t="s">
        <v>461</v>
      </c>
      <c r="D244" s="7" t="s">
        <v>187</v>
      </c>
      <c r="E244" t="s">
        <v>1011</v>
      </c>
      <c r="F244" s="7" t="s">
        <v>341</v>
      </c>
      <c r="G244" s="10" t="s">
        <v>716</v>
      </c>
      <c r="H244" s="10" t="s">
        <v>5</v>
      </c>
      <c r="I244" s="10" t="str">
        <f>I3</f>
        <v>KRW</v>
      </c>
      <c r="J244" s="10" t="s">
        <v>611</v>
      </c>
      <c r="K244" s="7" t="str">
        <f>K3</f>
        <v>December</v>
      </c>
      <c r="L244" s="7">
        <v>0</v>
      </c>
      <c r="O244" s="13"/>
    </row>
    <row r="245" spans="2:29" x14ac:dyDescent="0.3">
      <c r="B245" t="s">
        <v>461</v>
      </c>
      <c r="C245" s="7" t="s">
        <v>461</v>
      </c>
      <c r="D245" s="7" t="s">
        <v>187</v>
      </c>
      <c r="E245" t="s">
        <v>1011</v>
      </c>
      <c r="F245" s="7" t="s">
        <v>341</v>
      </c>
      <c r="G245" s="10" t="s">
        <v>717</v>
      </c>
      <c r="H245" s="10" t="s">
        <v>5</v>
      </c>
      <c r="I245" s="10" t="str">
        <f>I3</f>
        <v>KRW</v>
      </c>
      <c r="J245" s="10" t="s">
        <v>611</v>
      </c>
      <c r="K245" s="7" t="str">
        <f>K3</f>
        <v>December</v>
      </c>
      <c r="L245" s="7">
        <v>0</v>
      </c>
      <c r="N245" s="20"/>
      <c r="O245" s="20"/>
      <c r="P245" s="20"/>
      <c r="Q245" s="20"/>
      <c r="R245" s="20"/>
      <c r="S245" s="20"/>
    </row>
    <row r="246" spans="2:29" x14ac:dyDescent="0.3">
      <c r="B246" t="s">
        <v>462</v>
      </c>
      <c r="C246" s="7" t="s">
        <v>462</v>
      </c>
      <c r="D246" s="7" t="s">
        <v>187</v>
      </c>
      <c r="E246" t="s">
        <v>1011</v>
      </c>
      <c r="F246" s="7" t="s">
        <v>342</v>
      </c>
      <c r="G246" s="10"/>
      <c r="I246" s="7" t="s">
        <v>3</v>
      </c>
      <c r="L246" s="7">
        <v>0</v>
      </c>
      <c r="N246" s="20"/>
      <c r="O246" s="20"/>
      <c r="P246" s="20"/>
      <c r="Q246" s="20"/>
      <c r="R246" s="20"/>
      <c r="S246" s="20"/>
    </row>
    <row r="247" spans="2:29" x14ac:dyDescent="0.3">
      <c r="B247" t="s">
        <v>463</v>
      </c>
      <c r="C247" s="7" t="s">
        <v>463</v>
      </c>
      <c r="D247" s="7" t="s">
        <v>187</v>
      </c>
      <c r="E247" t="s">
        <v>1011</v>
      </c>
      <c r="F247" s="7" t="s">
        <v>343</v>
      </c>
      <c r="G247" s="10"/>
      <c r="I247" s="7" t="s">
        <v>3</v>
      </c>
      <c r="L247" s="7">
        <v>0</v>
      </c>
      <c r="N247" s="20"/>
      <c r="O247" s="20"/>
      <c r="P247" s="20"/>
      <c r="Q247" s="20"/>
      <c r="R247" s="20"/>
      <c r="S247" s="20"/>
    </row>
    <row r="248" spans="2:29" x14ac:dyDescent="0.3">
      <c r="B248" t="s">
        <v>464</v>
      </c>
      <c r="C248" s="7" t="s">
        <v>464</v>
      </c>
      <c r="D248" s="7" t="s">
        <v>187</v>
      </c>
      <c r="E248" t="s">
        <v>1011</v>
      </c>
      <c r="F248" s="7" t="s">
        <v>344</v>
      </c>
      <c r="G248" s="10"/>
      <c r="I248" s="7" t="s">
        <v>4</v>
      </c>
      <c r="L248" s="7">
        <v>0</v>
      </c>
      <c r="N248" s="20"/>
      <c r="O248" s="20"/>
      <c r="P248" s="20"/>
      <c r="Q248" s="20"/>
      <c r="R248" s="20"/>
      <c r="S248" s="20"/>
    </row>
    <row r="249" spans="2:29" x14ac:dyDescent="0.3">
      <c r="B249" t="s">
        <v>465</v>
      </c>
      <c r="C249" s="7" t="s">
        <v>465</v>
      </c>
      <c r="D249" s="7" t="s">
        <v>187</v>
      </c>
      <c r="E249" t="s">
        <v>1012</v>
      </c>
      <c r="F249" s="10" t="s">
        <v>250</v>
      </c>
      <c r="G249" s="10" t="s">
        <v>718</v>
      </c>
      <c r="H249" s="10"/>
      <c r="I249" s="10" t="s">
        <v>3</v>
      </c>
      <c r="L249" s="7">
        <v>1</v>
      </c>
      <c r="N249" s="20"/>
      <c r="O249" s="20"/>
      <c r="P249" s="20"/>
      <c r="Q249" s="20"/>
      <c r="R249" s="20"/>
      <c r="S249" s="20"/>
      <c r="T249" s="7" t="s">
        <v>762</v>
      </c>
      <c r="AB249" s="7" t="s">
        <v>1046</v>
      </c>
    </row>
    <row r="250" spans="2:29" ht="15" thickBot="1" x14ac:dyDescent="0.35">
      <c r="B250" t="s">
        <v>466</v>
      </c>
      <c r="C250" s="7" t="s">
        <v>466</v>
      </c>
      <c r="D250" s="7" t="s">
        <v>187</v>
      </c>
      <c r="E250" t="s">
        <v>1012</v>
      </c>
      <c r="F250" s="10" t="s">
        <v>251</v>
      </c>
      <c r="G250" s="10" t="s">
        <v>252</v>
      </c>
      <c r="H250" s="7" t="s">
        <v>5</v>
      </c>
      <c r="I250" s="7" t="s">
        <v>78</v>
      </c>
      <c r="L250" s="7">
        <v>1</v>
      </c>
      <c r="N250" s="22"/>
      <c r="T250" s="7">
        <v>1</v>
      </c>
      <c r="AC250" s="7" t="s">
        <v>819</v>
      </c>
    </row>
    <row r="251" spans="2:29" ht="15" thickBot="1" x14ac:dyDescent="0.35">
      <c r="B251" t="s">
        <v>467</v>
      </c>
      <c r="C251" s="7" t="s">
        <v>467</v>
      </c>
      <c r="D251" s="7" t="s">
        <v>187</v>
      </c>
      <c r="E251" t="s">
        <v>1012</v>
      </c>
      <c r="F251" s="10" t="s">
        <v>253</v>
      </c>
      <c r="G251" s="10" t="s">
        <v>205</v>
      </c>
      <c r="H251" s="7" t="s">
        <v>5</v>
      </c>
      <c r="I251" s="7" t="s">
        <v>78</v>
      </c>
      <c r="L251" s="7">
        <v>1</v>
      </c>
      <c r="N251" s="22"/>
      <c r="T251" s="7">
        <v>1</v>
      </c>
      <c r="AC251" s="7" t="s">
        <v>819</v>
      </c>
    </row>
    <row r="252" spans="2:29" ht="15" thickBot="1" x14ac:dyDescent="0.35">
      <c r="B252" t="s">
        <v>468</v>
      </c>
      <c r="C252" s="7" t="s">
        <v>468</v>
      </c>
      <c r="D252" s="7" t="s">
        <v>187</v>
      </c>
      <c r="E252" t="s">
        <v>1012</v>
      </c>
      <c r="F252" s="10" t="s">
        <v>254</v>
      </c>
      <c r="G252" s="10" t="s">
        <v>255</v>
      </c>
      <c r="H252" s="10"/>
      <c r="I252" s="10" t="s">
        <v>3</v>
      </c>
      <c r="L252" s="7">
        <v>1</v>
      </c>
      <c r="N252" s="22"/>
      <c r="T252" s="7" t="s">
        <v>762</v>
      </c>
      <c r="AC252" s="7" t="s">
        <v>857</v>
      </c>
    </row>
    <row r="253" spans="2:29" ht="15" thickBot="1" x14ac:dyDescent="0.35">
      <c r="B253" t="s">
        <v>469</v>
      </c>
      <c r="C253" s="7" t="s">
        <v>469</v>
      </c>
      <c r="D253" s="7" t="s">
        <v>187</v>
      </c>
      <c r="E253" t="s">
        <v>1012</v>
      </c>
      <c r="F253" s="10" t="s">
        <v>254</v>
      </c>
      <c r="G253" s="10" t="s">
        <v>722</v>
      </c>
      <c r="H253" s="10"/>
      <c r="I253" s="10" t="s">
        <v>3</v>
      </c>
      <c r="L253" s="7">
        <v>1</v>
      </c>
      <c r="N253" s="22"/>
      <c r="T253" s="7" t="s">
        <v>762</v>
      </c>
    </row>
    <row r="254" spans="2:29" ht="15" thickBot="1" x14ac:dyDescent="0.35">
      <c r="B254" t="s">
        <v>721</v>
      </c>
      <c r="C254" s="7" t="s">
        <v>721</v>
      </c>
      <c r="D254" s="7" t="s">
        <v>187</v>
      </c>
      <c r="E254" t="s">
        <v>1012</v>
      </c>
      <c r="F254" s="10" t="s">
        <v>254</v>
      </c>
      <c r="G254" s="10" t="s">
        <v>719</v>
      </c>
      <c r="H254" s="10"/>
      <c r="I254" s="10" t="s">
        <v>720</v>
      </c>
      <c r="L254" s="7">
        <v>1</v>
      </c>
      <c r="N254" s="22"/>
      <c r="T254" s="7" t="s">
        <v>762</v>
      </c>
      <c r="AC254" s="7" t="s">
        <v>1047</v>
      </c>
    </row>
    <row r="255" spans="2:29" ht="15" thickBot="1" x14ac:dyDescent="0.35">
      <c r="B255" t="s">
        <v>470</v>
      </c>
      <c r="C255" s="7" t="s">
        <v>470</v>
      </c>
      <c r="D255" s="7" t="s">
        <v>187</v>
      </c>
      <c r="E255" t="s">
        <v>1013</v>
      </c>
      <c r="F255" s="7" t="s">
        <v>345</v>
      </c>
      <c r="G255" s="10"/>
      <c r="H255" s="10"/>
      <c r="I255" s="10"/>
      <c r="L255" s="7">
        <v>0</v>
      </c>
      <c r="N255" s="22"/>
    </row>
    <row r="256" spans="2:29" x14ac:dyDescent="0.3">
      <c r="B256" t="s">
        <v>471</v>
      </c>
      <c r="C256" s="7" t="s">
        <v>471</v>
      </c>
      <c r="D256" s="7" t="s">
        <v>187</v>
      </c>
      <c r="E256" t="s">
        <v>1012</v>
      </c>
      <c r="F256" s="10" t="s">
        <v>256</v>
      </c>
      <c r="G256" s="7" t="str">
        <f>F256</f>
        <v>Product recall management</v>
      </c>
      <c r="H256" s="10"/>
      <c r="I256" s="10" t="s">
        <v>3</v>
      </c>
      <c r="L256" s="7">
        <v>1</v>
      </c>
      <c r="N256" s="24"/>
      <c r="T256" s="7" t="s">
        <v>762</v>
      </c>
      <c r="AC256" s="7" t="s">
        <v>858</v>
      </c>
    </row>
    <row r="257" spans="2:28" x14ac:dyDescent="0.3">
      <c r="B257" t="s">
        <v>472</v>
      </c>
      <c r="C257" s="7" t="s">
        <v>472</v>
      </c>
      <c r="D257" s="7" t="s">
        <v>187</v>
      </c>
      <c r="E257" t="s">
        <v>1014</v>
      </c>
      <c r="F257" s="10" t="s">
        <v>257</v>
      </c>
      <c r="G257" s="10" t="s">
        <v>258</v>
      </c>
      <c r="H257" s="10"/>
      <c r="I257" s="10" t="s">
        <v>3</v>
      </c>
      <c r="L257" s="7">
        <v>1</v>
      </c>
      <c r="T257" s="7" t="s">
        <v>762</v>
      </c>
      <c r="AB257" s="7" t="s">
        <v>859</v>
      </c>
    </row>
    <row r="258" spans="2:28" x14ac:dyDescent="0.3">
      <c r="B258" t="s">
        <v>473</v>
      </c>
      <c r="C258" s="7" t="s">
        <v>473</v>
      </c>
      <c r="D258" s="7" t="s">
        <v>187</v>
      </c>
      <c r="E258" t="s">
        <v>1014</v>
      </c>
      <c r="F258" s="10" t="s">
        <v>257</v>
      </c>
      <c r="G258" s="10" t="s">
        <v>259</v>
      </c>
      <c r="H258" s="10"/>
      <c r="I258" s="10" t="s">
        <v>3</v>
      </c>
      <c r="L258" s="7">
        <v>1</v>
      </c>
      <c r="T258" s="7" t="s">
        <v>762</v>
      </c>
      <c r="AB258" s="7" t="s">
        <v>859</v>
      </c>
    </row>
    <row r="259" spans="2:28" x14ac:dyDescent="0.3">
      <c r="B259" t="s">
        <v>474</v>
      </c>
      <c r="C259" s="7" t="s">
        <v>474</v>
      </c>
      <c r="D259" s="7" t="s">
        <v>187</v>
      </c>
      <c r="E259" t="s">
        <v>1014</v>
      </c>
      <c r="F259" s="10" t="s">
        <v>257</v>
      </c>
      <c r="G259" s="10" t="s">
        <v>260</v>
      </c>
      <c r="H259" s="10"/>
      <c r="I259" s="10" t="s">
        <v>3</v>
      </c>
      <c r="L259" s="7">
        <v>1</v>
      </c>
      <c r="T259" s="7" t="s">
        <v>762</v>
      </c>
      <c r="AB259" s="7" t="s">
        <v>859</v>
      </c>
    </row>
    <row r="260" spans="2:28" x14ac:dyDescent="0.3">
      <c r="B260" t="s">
        <v>475</v>
      </c>
      <c r="C260" s="7" t="s">
        <v>475</v>
      </c>
      <c r="D260" s="7" t="s">
        <v>187</v>
      </c>
      <c r="E260" t="s">
        <v>1014</v>
      </c>
      <c r="F260" s="10" t="s">
        <v>261</v>
      </c>
      <c r="G260" s="10" t="s">
        <v>262</v>
      </c>
      <c r="H260" s="10"/>
      <c r="I260" s="10" t="s">
        <v>3</v>
      </c>
      <c r="L260" s="7">
        <v>1</v>
      </c>
      <c r="T260" s="7" t="s">
        <v>762</v>
      </c>
      <c r="AB260" s="7" t="s">
        <v>859</v>
      </c>
    </row>
    <row r="261" spans="2:28" x14ac:dyDescent="0.3">
      <c r="B261" t="s">
        <v>476</v>
      </c>
      <c r="C261" s="7" t="s">
        <v>476</v>
      </c>
      <c r="D261" s="7" t="s">
        <v>187</v>
      </c>
      <c r="E261" t="s">
        <v>1014</v>
      </c>
      <c r="F261" s="10" t="s">
        <v>261</v>
      </c>
      <c r="G261" s="10" t="s">
        <v>263</v>
      </c>
      <c r="H261" s="10"/>
      <c r="I261" s="10" t="s">
        <v>3</v>
      </c>
      <c r="L261" s="7">
        <v>1</v>
      </c>
      <c r="T261" s="7" t="s">
        <v>762</v>
      </c>
      <c r="AB261" s="7" t="s">
        <v>859</v>
      </c>
    </row>
    <row r="262" spans="2:28" x14ac:dyDescent="0.3">
      <c r="B262" t="s">
        <v>477</v>
      </c>
      <c r="C262" s="7" t="s">
        <v>477</v>
      </c>
      <c r="D262" s="7" t="s">
        <v>187</v>
      </c>
      <c r="E262" t="s">
        <v>1014</v>
      </c>
      <c r="F262" s="10" t="s">
        <v>264</v>
      </c>
      <c r="G262" s="10" t="s">
        <v>264</v>
      </c>
      <c r="H262" s="10"/>
      <c r="I262" s="10" t="s">
        <v>3</v>
      </c>
      <c r="L262" s="7">
        <v>1</v>
      </c>
      <c r="T262" s="7" t="s">
        <v>763</v>
      </c>
    </row>
    <row r="263" spans="2:28" x14ac:dyDescent="0.3">
      <c r="B263" t="s">
        <v>478</v>
      </c>
      <c r="C263" s="7" t="s">
        <v>478</v>
      </c>
      <c r="D263" s="7" t="s">
        <v>187</v>
      </c>
      <c r="E263" t="s">
        <v>1014</v>
      </c>
      <c r="F263" s="10" t="s">
        <v>264</v>
      </c>
      <c r="G263" s="10" t="s">
        <v>265</v>
      </c>
      <c r="H263" s="7" t="s">
        <v>5</v>
      </c>
      <c r="I263" s="7" t="s">
        <v>228</v>
      </c>
      <c r="L263" s="7">
        <v>1</v>
      </c>
    </row>
    <row r="264" spans="2:28" x14ac:dyDescent="0.3">
      <c r="B264" t="s">
        <v>479</v>
      </c>
      <c r="C264" s="7" t="s">
        <v>479</v>
      </c>
      <c r="D264" s="7" t="s">
        <v>187</v>
      </c>
      <c r="E264" t="s">
        <v>1014</v>
      </c>
      <c r="F264" s="10" t="s">
        <v>266</v>
      </c>
      <c r="G264" s="10" t="s">
        <v>267</v>
      </c>
      <c r="H264" s="10"/>
      <c r="I264" s="10" t="s">
        <v>3</v>
      </c>
      <c r="L264" s="7">
        <v>1</v>
      </c>
      <c r="T264" s="7" t="s">
        <v>762</v>
      </c>
      <c r="AB264" s="7" t="s">
        <v>1048</v>
      </c>
    </row>
    <row r="265" spans="2:28" s="47" customFormat="1" x14ac:dyDescent="0.3">
      <c r="B265" t="s">
        <v>480</v>
      </c>
      <c r="C265" s="47" t="s">
        <v>480</v>
      </c>
      <c r="D265" s="47" t="s">
        <v>187</v>
      </c>
      <c r="E265" t="s">
        <v>1014</v>
      </c>
      <c r="F265" s="49" t="s">
        <v>266</v>
      </c>
      <c r="G265" s="49" t="s">
        <v>268</v>
      </c>
      <c r="H265" s="49"/>
      <c r="I265" s="49" t="s">
        <v>3</v>
      </c>
      <c r="L265" s="47">
        <v>1</v>
      </c>
      <c r="O265" s="48"/>
      <c r="T265" s="47" t="s">
        <v>763</v>
      </c>
    </row>
    <row r="266" spans="2:28" x14ac:dyDescent="0.3">
      <c r="B266" s="7" t="s">
        <v>481</v>
      </c>
      <c r="C266" s="7" t="s">
        <v>481</v>
      </c>
      <c r="D266" s="7" t="s">
        <v>187</v>
      </c>
      <c r="E266" s="7" t="s">
        <v>1014</v>
      </c>
      <c r="F266" s="10" t="s">
        <v>266</v>
      </c>
      <c r="G266" s="10" t="s">
        <v>269</v>
      </c>
      <c r="H266" s="7" t="s">
        <v>5</v>
      </c>
      <c r="I266" s="7" t="s">
        <v>228</v>
      </c>
      <c r="L266" s="7">
        <v>1</v>
      </c>
      <c r="O266" s="13"/>
    </row>
    <row r="267" spans="2:28" x14ac:dyDescent="0.3">
      <c r="B267" t="s">
        <v>482</v>
      </c>
      <c r="C267" s="7" t="s">
        <v>482</v>
      </c>
      <c r="D267" s="7" t="s">
        <v>187</v>
      </c>
      <c r="E267" t="s">
        <v>1015</v>
      </c>
      <c r="F267" s="7" t="s">
        <v>346</v>
      </c>
      <c r="G267" s="10"/>
      <c r="L267" s="7">
        <v>0</v>
      </c>
    </row>
    <row r="268" spans="2:28" x14ac:dyDescent="0.3">
      <c r="B268" t="s">
        <v>483</v>
      </c>
      <c r="C268" s="7" t="s">
        <v>483</v>
      </c>
      <c r="D268" s="7" t="s">
        <v>187</v>
      </c>
      <c r="E268" t="s">
        <v>1015</v>
      </c>
      <c r="F268" s="7" t="s">
        <v>347</v>
      </c>
      <c r="G268" s="10"/>
      <c r="L268" s="7">
        <v>0</v>
      </c>
    </row>
    <row r="269" spans="2:28" x14ac:dyDescent="0.3">
      <c r="B269" t="s">
        <v>484</v>
      </c>
      <c r="C269" s="7" t="s">
        <v>484</v>
      </c>
      <c r="D269" s="7" t="s">
        <v>187</v>
      </c>
      <c r="E269" t="s">
        <v>1015</v>
      </c>
      <c r="F269" s="7" t="s">
        <v>348</v>
      </c>
      <c r="G269" s="10"/>
      <c r="L269" s="7">
        <v>0</v>
      </c>
    </row>
    <row r="270" spans="2:28" x14ac:dyDescent="0.3">
      <c r="B270" t="s">
        <v>485</v>
      </c>
      <c r="C270" s="7" t="s">
        <v>485</v>
      </c>
      <c r="D270" s="7" t="s">
        <v>187</v>
      </c>
      <c r="E270" t="s">
        <v>1015</v>
      </c>
      <c r="F270" s="7" t="s">
        <v>349</v>
      </c>
      <c r="G270" s="10"/>
      <c r="L270" s="7">
        <v>0</v>
      </c>
    </row>
    <row r="271" spans="2:28" x14ac:dyDescent="0.3">
      <c r="B271" t="s">
        <v>486</v>
      </c>
      <c r="C271" s="7" t="s">
        <v>486</v>
      </c>
      <c r="D271" s="7" t="s">
        <v>187</v>
      </c>
      <c r="E271" t="s">
        <v>804</v>
      </c>
      <c r="F271" s="10" t="s">
        <v>270</v>
      </c>
      <c r="G271" s="10" t="s">
        <v>271</v>
      </c>
      <c r="H271" s="10"/>
      <c r="I271" s="10" t="s">
        <v>723</v>
      </c>
      <c r="L271" s="7">
        <v>1</v>
      </c>
      <c r="T271" s="7" t="s">
        <v>782</v>
      </c>
    </row>
    <row r="272" spans="2:28" x14ac:dyDescent="0.3">
      <c r="B272" t="s">
        <v>487</v>
      </c>
      <c r="C272" s="7" t="s">
        <v>487</v>
      </c>
      <c r="D272" s="7" t="s">
        <v>187</v>
      </c>
      <c r="E272" t="s">
        <v>804</v>
      </c>
      <c r="F272" s="10" t="s">
        <v>270</v>
      </c>
      <c r="G272" s="10" t="s">
        <v>271</v>
      </c>
      <c r="H272" s="10"/>
      <c r="I272" s="10" t="s">
        <v>724</v>
      </c>
      <c r="L272" s="7">
        <v>1</v>
      </c>
      <c r="O272" s="13"/>
      <c r="T272" s="7" t="s">
        <v>856</v>
      </c>
      <c r="AB272" s="7" t="s">
        <v>970</v>
      </c>
    </row>
    <row r="273" spans="2:29" x14ac:dyDescent="0.3">
      <c r="B273" t="s">
        <v>725</v>
      </c>
      <c r="C273" s="7" t="s">
        <v>725</v>
      </c>
      <c r="D273" s="7" t="s">
        <v>187</v>
      </c>
      <c r="E273" t="s">
        <v>804</v>
      </c>
      <c r="F273" s="10" t="s">
        <v>270</v>
      </c>
      <c r="G273" s="10" t="s">
        <v>726</v>
      </c>
      <c r="H273" s="10"/>
      <c r="I273" s="10" t="s">
        <v>3</v>
      </c>
      <c r="L273" s="7">
        <v>1</v>
      </c>
      <c r="O273" s="13"/>
      <c r="T273" s="7" t="s">
        <v>762</v>
      </c>
      <c r="AB273" s="7" t="s">
        <v>969</v>
      </c>
    </row>
    <row r="274" spans="2:29" x14ac:dyDescent="0.3">
      <c r="B274" t="s">
        <v>488</v>
      </c>
      <c r="C274" s="7" t="s">
        <v>488</v>
      </c>
      <c r="D274" s="7" t="s">
        <v>187</v>
      </c>
      <c r="E274" t="s">
        <v>804</v>
      </c>
      <c r="F274" s="10" t="s">
        <v>272</v>
      </c>
      <c r="G274" s="10" t="s">
        <v>273</v>
      </c>
      <c r="H274" s="7" t="s">
        <v>5</v>
      </c>
      <c r="I274" s="7" t="s">
        <v>78</v>
      </c>
      <c r="L274" s="7">
        <v>10</v>
      </c>
      <c r="O274" s="13"/>
      <c r="T274" s="7">
        <v>1</v>
      </c>
      <c r="AB274" s="7" t="s">
        <v>855</v>
      </c>
    </row>
    <row r="275" spans="2:29" x14ac:dyDescent="0.3">
      <c r="B275" t="s">
        <v>489</v>
      </c>
      <c r="C275" s="7" t="s">
        <v>489</v>
      </c>
      <c r="D275" s="7" t="s">
        <v>187</v>
      </c>
      <c r="E275" t="s">
        <v>804</v>
      </c>
      <c r="F275" s="10" t="s">
        <v>274</v>
      </c>
      <c r="G275" s="10" t="s">
        <v>275</v>
      </c>
      <c r="H275" s="10"/>
      <c r="I275" s="10" t="s">
        <v>3</v>
      </c>
      <c r="L275" s="7">
        <v>1</v>
      </c>
      <c r="T275" s="7" t="s">
        <v>762</v>
      </c>
      <c r="AB275" s="7" t="s">
        <v>855</v>
      </c>
    </row>
    <row r="276" spans="2:29" x14ac:dyDescent="0.3">
      <c r="B276" t="s">
        <v>727</v>
      </c>
      <c r="C276" s="7" t="s">
        <v>727</v>
      </c>
      <c r="D276" s="7" t="s">
        <v>187</v>
      </c>
      <c r="E276" t="s">
        <v>804</v>
      </c>
      <c r="F276" s="10" t="s">
        <v>276</v>
      </c>
      <c r="G276" s="7" t="str">
        <f>F276</f>
        <v>Lobbying/ Political Contributions</v>
      </c>
      <c r="H276" s="7" t="s">
        <v>5</v>
      </c>
      <c r="I276" s="7" t="s">
        <v>78</v>
      </c>
      <c r="L276" s="7">
        <v>1</v>
      </c>
      <c r="O276" s="13"/>
      <c r="T276" s="7" t="s">
        <v>762</v>
      </c>
      <c r="AB276" s="7" t="s">
        <v>853</v>
      </c>
    </row>
    <row r="277" spans="2:29" x14ac:dyDescent="0.3">
      <c r="B277" t="s">
        <v>728</v>
      </c>
      <c r="C277" s="7" t="s">
        <v>728</v>
      </c>
      <c r="D277" s="7" t="s">
        <v>187</v>
      </c>
      <c r="E277" t="s">
        <v>804</v>
      </c>
      <c r="F277" s="10" t="s">
        <v>276</v>
      </c>
      <c r="G277" s="7" t="s">
        <v>105</v>
      </c>
      <c r="H277" s="10" t="s">
        <v>19</v>
      </c>
      <c r="I277" s="10" t="s">
        <v>3</v>
      </c>
      <c r="L277" s="7">
        <v>1</v>
      </c>
      <c r="T277" s="7" t="s">
        <v>762</v>
      </c>
      <c r="AB277" s="7" t="s">
        <v>853</v>
      </c>
      <c r="AC277" s="7" t="s">
        <v>854</v>
      </c>
    </row>
    <row r="278" spans="2:29" x14ac:dyDescent="0.3">
      <c r="B278" t="s">
        <v>490</v>
      </c>
      <c r="C278" s="7" t="s">
        <v>490</v>
      </c>
      <c r="D278" s="7" t="s">
        <v>187</v>
      </c>
      <c r="E278" t="s">
        <v>1016</v>
      </c>
      <c r="F278" s="7" t="s">
        <v>350</v>
      </c>
      <c r="L278" s="7">
        <v>0</v>
      </c>
      <c r="O278" s="13"/>
    </row>
    <row r="279" spans="2:29" x14ac:dyDescent="0.3">
      <c r="B279" t="s">
        <v>491</v>
      </c>
      <c r="C279" s="7" t="s">
        <v>491</v>
      </c>
      <c r="D279" s="7" t="s">
        <v>187</v>
      </c>
      <c r="E279" t="s">
        <v>1016</v>
      </c>
      <c r="F279" s="7" t="s">
        <v>351</v>
      </c>
      <c r="L279" s="7">
        <v>0</v>
      </c>
    </row>
    <row r="280" spans="2:29" x14ac:dyDescent="0.3">
      <c r="B280" t="s">
        <v>492</v>
      </c>
      <c r="C280" s="7" t="s">
        <v>492</v>
      </c>
      <c r="D280" s="7" t="s">
        <v>187</v>
      </c>
      <c r="E280" t="s">
        <v>804</v>
      </c>
      <c r="F280" s="10" t="s">
        <v>277</v>
      </c>
      <c r="G280" s="7" t="str">
        <f>F280</f>
        <v>Business Ethics Programs</v>
      </c>
      <c r="H280" s="10"/>
      <c r="I280" s="10" t="s">
        <v>3</v>
      </c>
      <c r="L280" s="7">
        <v>1</v>
      </c>
      <c r="T280" s="7" t="s">
        <v>762</v>
      </c>
      <c r="AB280" s="7" t="s">
        <v>852</v>
      </c>
    </row>
    <row r="281" spans="2:29" x14ac:dyDescent="0.3">
      <c r="B281" t="s">
        <v>493</v>
      </c>
      <c r="C281" s="7" t="s">
        <v>493</v>
      </c>
      <c r="D281" s="7" t="s">
        <v>187</v>
      </c>
      <c r="E281" t="s">
        <v>804</v>
      </c>
      <c r="F281" s="10" t="s">
        <v>278</v>
      </c>
      <c r="G281" s="7" t="str">
        <f>F281</f>
        <v>Animal Welfare Policy</v>
      </c>
      <c r="H281" s="10" t="s">
        <v>19</v>
      </c>
      <c r="I281" s="10" t="s">
        <v>3</v>
      </c>
      <c r="L281" s="7">
        <v>0</v>
      </c>
      <c r="O281" s="13"/>
    </row>
    <row r="282" spans="2:29" x14ac:dyDescent="0.3">
      <c r="B282" t="s">
        <v>494</v>
      </c>
      <c r="C282" s="7" t="s">
        <v>494</v>
      </c>
      <c r="D282" s="7" t="s">
        <v>187</v>
      </c>
      <c r="E282" t="s">
        <v>1016</v>
      </c>
      <c r="F282" s="7" t="s">
        <v>352</v>
      </c>
      <c r="H282" s="10" t="s">
        <v>19</v>
      </c>
      <c r="I282" s="10" t="s">
        <v>3</v>
      </c>
      <c r="L282" s="7">
        <v>1</v>
      </c>
      <c r="O282" s="13"/>
      <c r="T282" s="7" t="s">
        <v>763</v>
      </c>
    </row>
    <row r="283" spans="2:29" x14ac:dyDescent="0.3">
      <c r="B283" t="s">
        <v>495</v>
      </c>
      <c r="C283" s="7" t="s">
        <v>495</v>
      </c>
      <c r="D283" s="7" t="s">
        <v>187</v>
      </c>
      <c r="E283" t="s">
        <v>804</v>
      </c>
      <c r="F283" s="10" t="s">
        <v>279</v>
      </c>
      <c r="G283" s="10" t="s">
        <v>280</v>
      </c>
      <c r="H283" s="10" t="s">
        <v>5</v>
      </c>
      <c r="I283" s="10" t="s">
        <v>78</v>
      </c>
      <c r="L283" s="7">
        <v>1</v>
      </c>
      <c r="O283" s="13"/>
      <c r="T283" s="7">
        <v>0</v>
      </c>
    </row>
    <row r="284" spans="2:29" x14ac:dyDescent="0.3">
      <c r="B284" t="s">
        <v>496</v>
      </c>
      <c r="C284" s="7" t="s">
        <v>496</v>
      </c>
      <c r="D284" s="7" t="s">
        <v>187</v>
      </c>
      <c r="E284" t="s">
        <v>979</v>
      </c>
      <c r="F284" s="10" t="s">
        <v>281</v>
      </c>
      <c r="G284" s="10" t="s">
        <v>282</v>
      </c>
      <c r="H284" s="10" t="s">
        <v>19</v>
      </c>
      <c r="I284" s="10" t="s">
        <v>3</v>
      </c>
      <c r="L284" s="7">
        <v>1</v>
      </c>
      <c r="T284" s="7" t="s">
        <v>851</v>
      </c>
    </row>
    <row r="285" spans="2:29" x14ac:dyDescent="0.3">
      <c r="B285" t="s">
        <v>729</v>
      </c>
      <c r="C285" s="7" t="s">
        <v>729</v>
      </c>
      <c r="D285" s="7" t="s">
        <v>187</v>
      </c>
      <c r="E285" t="s">
        <v>979</v>
      </c>
      <c r="F285" s="10" t="s">
        <v>283</v>
      </c>
      <c r="G285" s="10" t="s">
        <v>284</v>
      </c>
      <c r="H285" s="10" t="s">
        <v>1</v>
      </c>
      <c r="I285" s="10" t="s">
        <v>732</v>
      </c>
      <c r="L285" s="7">
        <v>1</v>
      </c>
      <c r="O285" s="13"/>
      <c r="T285" s="7" t="s">
        <v>770</v>
      </c>
    </row>
    <row r="286" spans="2:29" x14ac:dyDescent="0.3">
      <c r="B286" t="s">
        <v>730</v>
      </c>
      <c r="C286" s="7" t="s">
        <v>730</v>
      </c>
      <c r="D286" s="7" t="s">
        <v>187</v>
      </c>
      <c r="E286" t="s">
        <v>979</v>
      </c>
      <c r="F286" s="10" t="s">
        <v>283</v>
      </c>
      <c r="G286" s="10" t="s">
        <v>285</v>
      </c>
      <c r="H286" s="10" t="s">
        <v>1</v>
      </c>
      <c r="I286" s="10" t="s">
        <v>731</v>
      </c>
      <c r="L286" s="7">
        <v>1</v>
      </c>
      <c r="O286" s="13"/>
      <c r="T286" s="7" t="s">
        <v>772</v>
      </c>
      <c r="AB286" s="7" t="s">
        <v>1049</v>
      </c>
    </row>
    <row r="287" spans="2:29" x14ac:dyDescent="0.3">
      <c r="B287" t="s">
        <v>497</v>
      </c>
      <c r="C287" s="7" t="s">
        <v>497</v>
      </c>
      <c r="D287" s="7" t="s">
        <v>187</v>
      </c>
      <c r="E287" t="s">
        <v>979</v>
      </c>
      <c r="F287" s="10" t="s">
        <v>286</v>
      </c>
      <c r="G287" s="10" t="s">
        <v>287</v>
      </c>
      <c r="H287" s="7" t="s">
        <v>5</v>
      </c>
      <c r="I287" s="10" t="s">
        <v>4</v>
      </c>
      <c r="L287" s="7">
        <v>1</v>
      </c>
      <c r="N287" s="30">
        <v>0.16400000000000001</v>
      </c>
      <c r="O287" s="30">
        <v>0.17799999999999999</v>
      </c>
      <c r="P287" s="30">
        <v>0.14099999999999999</v>
      </c>
      <c r="Q287" s="30">
        <v>0.219</v>
      </c>
      <c r="R287" s="30">
        <v>0.44700000000000001</v>
      </c>
      <c r="V287" s="7" t="s">
        <v>850</v>
      </c>
      <c r="W287" s="7" t="s">
        <v>850</v>
      </c>
      <c r="X287" s="7" t="s">
        <v>849</v>
      </c>
      <c r="Y287" s="7" t="s">
        <v>849</v>
      </c>
      <c r="Z287" s="7" t="s">
        <v>849</v>
      </c>
    </row>
    <row r="288" spans="2:29" x14ac:dyDescent="0.3">
      <c r="B288" t="s">
        <v>498</v>
      </c>
      <c r="C288" s="7" t="s">
        <v>498</v>
      </c>
      <c r="D288" s="7" t="s">
        <v>187</v>
      </c>
      <c r="E288" t="s">
        <v>979</v>
      </c>
      <c r="F288" s="10" t="s">
        <v>288</v>
      </c>
      <c r="G288" s="10" t="s">
        <v>214</v>
      </c>
      <c r="H288" s="10"/>
      <c r="I288" s="10" t="s">
        <v>3</v>
      </c>
      <c r="L288" s="7">
        <v>1</v>
      </c>
      <c r="N288" s="15"/>
      <c r="P288" s="15"/>
      <c r="Q288" s="15"/>
      <c r="R288" s="15"/>
      <c r="S288" s="15"/>
      <c r="T288" s="7" t="s">
        <v>762</v>
      </c>
      <c r="AB288" s="7" t="s">
        <v>848</v>
      </c>
      <c r="AC288" s="7" t="s">
        <v>847</v>
      </c>
    </row>
    <row r="289" spans="2:29" x14ac:dyDescent="0.3">
      <c r="B289" t="s">
        <v>499</v>
      </c>
      <c r="C289" s="7" t="s">
        <v>499</v>
      </c>
      <c r="D289" s="7" t="s">
        <v>187</v>
      </c>
      <c r="E289" t="s">
        <v>979</v>
      </c>
      <c r="F289" s="10" t="s">
        <v>288</v>
      </c>
      <c r="G289" s="10" t="s">
        <v>289</v>
      </c>
      <c r="H289" s="10"/>
      <c r="I289" s="10" t="s">
        <v>3</v>
      </c>
      <c r="L289" s="7">
        <v>1</v>
      </c>
      <c r="T289" s="7" t="s">
        <v>762</v>
      </c>
      <c r="AB289" s="7" t="s">
        <v>848</v>
      </c>
    </row>
    <row r="290" spans="2:29" x14ac:dyDescent="0.3">
      <c r="B290" t="s">
        <v>733</v>
      </c>
      <c r="C290" s="7" t="s">
        <v>733</v>
      </c>
      <c r="D290" s="7" t="s">
        <v>187</v>
      </c>
      <c r="E290" t="s">
        <v>1017</v>
      </c>
      <c r="F290" s="10" t="s">
        <v>290</v>
      </c>
      <c r="G290" s="10" t="s">
        <v>592</v>
      </c>
      <c r="H290" s="10"/>
      <c r="I290" s="10" t="s">
        <v>3</v>
      </c>
      <c r="L290" s="7">
        <v>1</v>
      </c>
      <c r="T290" s="7" t="s">
        <v>762</v>
      </c>
      <c r="AB290" s="7" t="s">
        <v>846</v>
      </c>
    </row>
    <row r="291" spans="2:29" x14ac:dyDescent="0.3">
      <c r="B291" t="s">
        <v>734</v>
      </c>
      <c r="C291" s="7" t="s">
        <v>734</v>
      </c>
      <c r="D291" s="7" t="s">
        <v>187</v>
      </c>
      <c r="E291" t="s">
        <v>1017</v>
      </c>
      <c r="F291" s="10" t="s">
        <v>290</v>
      </c>
      <c r="G291" s="10" t="s">
        <v>303</v>
      </c>
      <c r="H291" s="10"/>
      <c r="I291" s="10" t="s">
        <v>3</v>
      </c>
      <c r="L291" s="7">
        <v>1</v>
      </c>
      <c r="T291" s="7" t="s">
        <v>763</v>
      </c>
    </row>
    <row r="292" spans="2:29" x14ac:dyDescent="0.3">
      <c r="B292" t="s">
        <v>500</v>
      </c>
      <c r="C292" s="7" t="s">
        <v>500</v>
      </c>
      <c r="D292" s="7" t="s">
        <v>187</v>
      </c>
      <c r="E292" t="s">
        <v>1017</v>
      </c>
      <c r="F292" s="10" t="s">
        <v>291</v>
      </c>
      <c r="G292" s="7" t="str">
        <f>F292</f>
        <v>Data Privacy and Security Incidents</v>
      </c>
      <c r="H292" s="7" t="s">
        <v>5</v>
      </c>
      <c r="I292" s="7" t="s">
        <v>78</v>
      </c>
      <c r="L292" s="7">
        <v>1</v>
      </c>
      <c r="T292" s="7">
        <v>0</v>
      </c>
    </row>
    <row r="293" spans="2:29" x14ac:dyDescent="0.3">
      <c r="B293" s="7" t="s">
        <v>501</v>
      </c>
      <c r="C293" s="7" t="s">
        <v>501</v>
      </c>
      <c r="D293" s="7" t="s">
        <v>187</v>
      </c>
      <c r="E293" s="7" t="s">
        <v>1018</v>
      </c>
      <c r="F293" s="10" t="s">
        <v>292</v>
      </c>
      <c r="G293" s="10" t="s">
        <v>735</v>
      </c>
      <c r="H293" s="7" t="s">
        <v>5</v>
      </c>
      <c r="I293" s="7" t="s">
        <v>78</v>
      </c>
      <c r="L293" s="7">
        <v>1</v>
      </c>
      <c r="T293" s="8">
        <v>47</v>
      </c>
      <c r="AA293" s="17"/>
      <c r="AB293" s="7" t="s">
        <v>1055</v>
      </c>
    </row>
    <row r="294" spans="2:29" x14ac:dyDescent="0.3">
      <c r="B294" t="s">
        <v>976</v>
      </c>
      <c r="C294" s="7" t="s">
        <v>800</v>
      </c>
      <c r="D294" s="7" t="s">
        <v>187</v>
      </c>
      <c r="E294" t="s">
        <v>1018</v>
      </c>
      <c r="F294" s="10" t="s">
        <v>293</v>
      </c>
      <c r="G294" s="10" t="s">
        <v>802</v>
      </c>
      <c r="H294" s="10" t="s">
        <v>19</v>
      </c>
      <c r="I294" s="10" t="s">
        <v>3</v>
      </c>
      <c r="L294" s="7">
        <v>1</v>
      </c>
      <c r="T294" s="7" t="s">
        <v>762</v>
      </c>
      <c r="AA294" s="17"/>
      <c r="AB294" s="7" t="s">
        <v>846</v>
      </c>
    </row>
    <row r="295" spans="2:29" x14ac:dyDescent="0.3">
      <c r="B295" t="s">
        <v>502</v>
      </c>
      <c r="C295" s="7" t="s">
        <v>502</v>
      </c>
      <c r="D295" s="7" t="s">
        <v>187</v>
      </c>
      <c r="E295" t="s">
        <v>1018</v>
      </c>
      <c r="F295" s="10" t="s">
        <v>294</v>
      </c>
      <c r="G295" s="7" t="str">
        <f>F295</f>
        <v xml:space="preserve">Bribery &amp; corruption incidents </v>
      </c>
      <c r="H295" s="7" t="s">
        <v>5</v>
      </c>
      <c r="I295" s="7" t="s">
        <v>78</v>
      </c>
      <c r="L295" s="7">
        <v>1</v>
      </c>
      <c r="O295" s="13"/>
      <c r="T295" s="7">
        <v>1</v>
      </c>
      <c r="AC295" s="7" t="s">
        <v>819</v>
      </c>
    </row>
    <row r="296" spans="2:29" x14ac:dyDescent="0.3">
      <c r="B296" t="s">
        <v>503</v>
      </c>
      <c r="C296" s="7" t="s">
        <v>503</v>
      </c>
      <c r="D296" s="7" t="s">
        <v>187</v>
      </c>
      <c r="E296" t="s">
        <v>1018</v>
      </c>
      <c r="F296" s="10" t="s">
        <v>295</v>
      </c>
      <c r="G296" s="10" t="s">
        <v>296</v>
      </c>
      <c r="H296" s="10"/>
      <c r="I296" s="10" t="s">
        <v>3</v>
      </c>
      <c r="L296" s="7">
        <v>1</v>
      </c>
      <c r="T296" s="7" t="s">
        <v>763</v>
      </c>
    </row>
    <row r="297" spans="2:29" x14ac:dyDescent="0.3">
      <c r="B297" t="s">
        <v>504</v>
      </c>
      <c r="C297" s="7" t="s">
        <v>504</v>
      </c>
      <c r="D297" s="7" t="s">
        <v>187</v>
      </c>
      <c r="E297" t="s">
        <v>1019</v>
      </c>
      <c r="F297" s="10" t="s">
        <v>297</v>
      </c>
      <c r="G297" s="10" t="s">
        <v>298</v>
      </c>
      <c r="H297" s="10"/>
      <c r="I297" s="10" t="s">
        <v>3</v>
      </c>
      <c r="L297" s="7">
        <v>1</v>
      </c>
      <c r="T297" s="7" t="s">
        <v>763</v>
      </c>
    </row>
    <row r="298" spans="2:29" x14ac:dyDescent="0.3">
      <c r="B298" t="s">
        <v>505</v>
      </c>
      <c r="C298" s="7" t="s">
        <v>505</v>
      </c>
      <c r="D298" s="7" t="s">
        <v>187</v>
      </c>
      <c r="E298" t="s">
        <v>1019</v>
      </c>
      <c r="F298" s="10" t="s">
        <v>297</v>
      </c>
      <c r="G298" s="10" t="s">
        <v>299</v>
      </c>
      <c r="H298" s="10"/>
      <c r="I298" s="10" t="s">
        <v>3</v>
      </c>
      <c r="L298" s="7">
        <v>1</v>
      </c>
      <c r="O298" s="13"/>
      <c r="T298" s="7" t="s">
        <v>763</v>
      </c>
    </row>
    <row r="299" spans="2:29" x14ac:dyDescent="0.3">
      <c r="B299" t="s">
        <v>506</v>
      </c>
      <c r="C299" s="7" t="s">
        <v>506</v>
      </c>
      <c r="D299" s="7" t="s">
        <v>187</v>
      </c>
      <c r="E299" t="s">
        <v>1019</v>
      </c>
      <c r="F299" s="10" t="s">
        <v>300</v>
      </c>
      <c r="G299" s="10" t="s">
        <v>301</v>
      </c>
      <c r="H299" s="10"/>
      <c r="I299" s="10" t="s">
        <v>3</v>
      </c>
      <c r="L299" s="7">
        <v>1</v>
      </c>
      <c r="O299" s="13"/>
      <c r="T299" s="7" t="s">
        <v>763</v>
      </c>
    </row>
    <row r="300" spans="2:29" x14ac:dyDescent="0.3">
      <c r="B300" t="s">
        <v>507</v>
      </c>
      <c r="C300" s="7" t="s">
        <v>507</v>
      </c>
      <c r="D300" s="7" t="s">
        <v>187</v>
      </c>
      <c r="E300" t="s">
        <v>1019</v>
      </c>
      <c r="F300" s="10" t="s">
        <v>302</v>
      </c>
      <c r="G300" s="10" t="s">
        <v>303</v>
      </c>
      <c r="H300" s="10" t="s">
        <v>19</v>
      </c>
      <c r="I300" s="10" t="s">
        <v>3</v>
      </c>
      <c r="L300" s="7">
        <v>1</v>
      </c>
      <c r="O300" s="13"/>
      <c r="T300" s="7">
        <v>0</v>
      </c>
    </row>
    <row r="301" spans="2:29" x14ac:dyDescent="0.3">
      <c r="B301" t="s">
        <v>508</v>
      </c>
      <c r="C301" s="7" t="s">
        <v>508</v>
      </c>
      <c r="D301" s="7" t="s">
        <v>187</v>
      </c>
      <c r="E301" t="s">
        <v>1019</v>
      </c>
      <c r="F301" s="10" t="s">
        <v>304</v>
      </c>
      <c r="G301" s="10" t="s">
        <v>305</v>
      </c>
      <c r="H301" s="7" t="s">
        <v>5</v>
      </c>
      <c r="I301" s="7" t="s">
        <v>78</v>
      </c>
      <c r="L301" s="7">
        <v>1</v>
      </c>
      <c r="O301" s="13"/>
      <c r="T301" s="7">
        <v>0</v>
      </c>
    </row>
    <row r="302" spans="2:29" x14ac:dyDescent="0.3">
      <c r="B302" t="s">
        <v>509</v>
      </c>
      <c r="C302" s="7" t="s">
        <v>509</v>
      </c>
      <c r="D302" s="7" t="s">
        <v>187</v>
      </c>
      <c r="E302" t="s">
        <v>1019</v>
      </c>
      <c r="F302" s="10" t="s">
        <v>306</v>
      </c>
      <c r="G302" s="10" t="str">
        <f>F302</f>
        <v>STI Performance Metrics</v>
      </c>
      <c r="H302" s="10" t="s">
        <v>19</v>
      </c>
      <c r="I302" s="10" t="s">
        <v>3</v>
      </c>
      <c r="L302" s="7">
        <v>1</v>
      </c>
      <c r="T302" s="7" t="s">
        <v>762</v>
      </c>
      <c r="AB302" s="7" t="s">
        <v>845</v>
      </c>
    </row>
    <row r="303" spans="2:29" x14ac:dyDescent="0.3">
      <c r="B303" t="s">
        <v>510</v>
      </c>
      <c r="C303" s="7" t="s">
        <v>510</v>
      </c>
      <c r="D303" s="7" t="s">
        <v>187</v>
      </c>
      <c r="E303" t="s">
        <v>1019</v>
      </c>
      <c r="F303" s="10" t="s">
        <v>307</v>
      </c>
      <c r="G303" s="7" t="str">
        <f>F303</f>
        <v>LTI Performance Metrics</v>
      </c>
      <c r="H303" s="10" t="s">
        <v>19</v>
      </c>
      <c r="I303" s="10" t="s">
        <v>3</v>
      </c>
      <c r="L303" s="7">
        <v>1</v>
      </c>
      <c r="O303" s="13"/>
      <c r="T303" s="7" t="s">
        <v>762</v>
      </c>
      <c r="AB303" s="7" t="s">
        <v>845</v>
      </c>
    </row>
    <row r="304" spans="2:29" x14ac:dyDescent="0.3">
      <c r="B304" s="7" t="s">
        <v>511</v>
      </c>
      <c r="C304" s="7" t="s">
        <v>511</v>
      </c>
      <c r="D304" s="7" t="s">
        <v>187</v>
      </c>
      <c r="E304" s="7" t="s">
        <v>1020</v>
      </c>
      <c r="F304" s="10" t="s">
        <v>308</v>
      </c>
      <c r="G304" s="10" t="s">
        <v>309</v>
      </c>
      <c r="H304" s="7" t="s">
        <v>5</v>
      </c>
      <c r="I304" s="10" t="s">
        <v>4</v>
      </c>
      <c r="L304" s="7">
        <v>1</v>
      </c>
      <c r="O304" s="13"/>
      <c r="T304" s="30">
        <v>1</v>
      </c>
      <c r="AB304" s="7" t="s">
        <v>1030</v>
      </c>
    </row>
    <row r="305" spans="2:28" s="47" customFormat="1" x14ac:dyDescent="0.3">
      <c r="B305" t="s">
        <v>512</v>
      </c>
      <c r="C305" s="47" t="s">
        <v>512</v>
      </c>
      <c r="D305" s="47" t="s">
        <v>187</v>
      </c>
      <c r="E305" t="s">
        <v>1020</v>
      </c>
      <c r="F305" s="49" t="s">
        <v>308</v>
      </c>
      <c r="G305" s="49" t="s">
        <v>310</v>
      </c>
      <c r="H305" s="49"/>
      <c r="I305" s="49" t="s">
        <v>3</v>
      </c>
      <c r="L305" s="47">
        <v>1</v>
      </c>
      <c r="R305" s="50"/>
      <c r="S305" s="50"/>
      <c r="T305" s="47" t="s">
        <v>763</v>
      </c>
    </row>
    <row r="306" spans="2:28" s="47" customFormat="1" x14ac:dyDescent="0.3">
      <c r="B306" t="s">
        <v>513</v>
      </c>
      <c r="C306" s="47" t="s">
        <v>513</v>
      </c>
      <c r="D306" s="47" t="s">
        <v>187</v>
      </c>
      <c r="E306" t="s">
        <v>1020</v>
      </c>
      <c r="F306" s="49" t="s">
        <v>308</v>
      </c>
      <c r="G306" s="49" t="s">
        <v>311</v>
      </c>
      <c r="H306" s="49"/>
      <c r="I306" s="49" t="s">
        <v>3</v>
      </c>
      <c r="L306" s="47">
        <v>1</v>
      </c>
      <c r="O306" s="48"/>
      <c r="T306" s="47" t="s">
        <v>763</v>
      </c>
    </row>
    <row r="307" spans="2:28" s="47" customFormat="1" x14ac:dyDescent="0.3">
      <c r="B307" t="s">
        <v>514</v>
      </c>
      <c r="C307" s="47" t="s">
        <v>514</v>
      </c>
      <c r="D307" s="47" t="s">
        <v>187</v>
      </c>
      <c r="E307" t="s">
        <v>1020</v>
      </c>
      <c r="F307" s="49" t="s">
        <v>308</v>
      </c>
      <c r="G307" s="49" t="s">
        <v>312</v>
      </c>
      <c r="H307" s="49"/>
      <c r="I307" s="49" t="s">
        <v>3</v>
      </c>
      <c r="L307" s="47">
        <v>1</v>
      </c>
      <c r="O307" s="48"/>
      <c r="T307" s="47" t="s">
        <v>763</v>
      </c>
    </row>
    <row r="308" spans="2:28" x14ac:dyDescent="0.3">
      <c r="B308" t="s">
        <v>515</v>
      </c>
      <c r="C308" s="7" t="s">
        <v>515</v>
      </c>
      <c r="D308" s="7" t="s">
        <v>187</v>
      </c>
      <c r="E308" t="s">
        <v>1020</v>
      </c>
      <c r="F308" s="10" t="s">
        <v>313</v>
      </c>
      <c r="G308" s="10" t="s">
        <v>314</v>
      </c>
      <c r="H308" s="7" t="s">
        <v>5</v>
      </c>
      <c r="I308" s="10" t="str">
        <f>I3</f>
        <v>KRW</v>
      </c>
      <c r="J308" s="10" t="s">
        <v>610</v>
      </c>
      <c r="K308" s="7" t="str">
        <f>K3</f>
        <v>December</v>
      </c>
      <c r="L308" s="7">
        <v>1</v>
      </c>
      <c r="O308" s="13"/>
    </row>
    <row r="309" spans="2:28" x14ac:dyDescent="0.3">
      <c r="B309" t="s">
        <v>516</v>
      </c>
      <c r="C309" s="7" t="s">
        <v>516</v>
      </c>
      <c r="D309" s="7" t="s">
        <v>187</v>
      </c>
      <c r="E309" t="s">
        <v>1020</v>
      </c>
      <c r="F309" s="10" t="s">
        <v>313</v>
      </c>
      <c r="G309" s="10" t="s">
        <v>315</v>
      </c>
      <c r="H309" s="7" t="s">
        <v>5</v>
      </c>
      <c r="I309" s="10" t="str">
        <f>I3</f>
        <v>KRW</v>
      </c>
      <c r="J309" s="10" t="s">
        <v>610</v>
      </c>
      <c r="K309" s="7" t="str">
        <f>K3</f>
        <v>December</v>
      </c>
      <c r="L309" s="7">
        <v>1</v>
      </c>
    </row>
    <row r="310" spans="2:28" s="51" customFormat="1" x14ac:dyDescent="0.3">
      <c r="B310" t="s">
        <v>517</v>
      </c>
      <c r="C310" s="51" t="s">
        <v>517</v>
      </c>
      <c r="D310" s="51" t="s">
        <v>187</v>
      </c>
      <c r="E310" t="s">
        <v>1020</v>
      </c>
      <c r="F310" s="52" t="s">
        <v>316</v>
      </c>
      <c r="G310" s="52" t="s">
        <v>19</v>
      </c>
      <c r="H310" s="52" t="s">
        <v>19</v>
      </c>
      <c r="I310" s="52" t="s">
        <v>3</v>
      </c>
      <c r="L310" s="51">
        <v>1</v>
      </c>
      <c r="T310" s="51" t="s">
        <v>763</v>
      </c>
    </row>
    <row r="311" spans="2:28" s="51" customFormat="1" x14ac:dyDescent="0.3">
      <c r="B311" t="s">
        <v>518</v>
      </c>
      <c r="C311" s="51" t="s">
        <v>518</v>
      </c>
      <c r="D311" s="51" t="s">
        <v>187</v>
      </c>
      <c r="E311" t="s">
        <v>1020</v>
      </c>
      <c r="F311" s="52" t="s">
        <v>316</v>
      </c>
      <c r="G311" s="52" t="s">
        <v>317</v>
      </c>
      <c r="H311" s="52" t="s">
        <v>320</v>
      </c>
      <c r="L311" s="51">
        <v>1</v>
      </c>
      <c r="O311" s="53"/>
      <c r="T311" s="51" t="s">
        <v>971</v>
      </c>
      <c r="AB311" s="7" t="s">
        <v>1032</v>
      </c>
    </row>
    <row r="312" spans="2:28" s="51" customFormat="1" x14ac:dyDescent="0.3">
      <c r="B312" t="s">
        <v>519</v>
      </c>
      <c r="C312" s="51" t="s">
        <v>519</v>
      </c>
      <c r="D312" s="51" t="s">
        <v>187</v>
      </c>
      <c r="E312" t="s">
        <v>1020</v>
      </c>
      <c r="F312" s="52" t="s">
        <v>316</v>
      </c>
      <c r="G312" s="52" t="s">
        <v>318</v>
      </c>
      <c r="H312" s="51" t="s">
        <v>5</v>
      </c>
      <c r="I312" s="51" t="s">
        <v>228</v>
      </c>
      <c r="L312" s="51">
        <v>1</v>
      </c>
      <c r="N312" s="55"/>
      <c r="T312" s="51">
        <v>1</v>
      </c>
      <c r="AA312" s="54"/>
      <c r="AB312" s="7" t="s">
        <v>1032</v>
      </c>
    </row>
    <row r="313" spans="2:28" s="51" customFormat="1" x14ac:dyDescent="0.3">
      <c r="B313" t="s">
        <v>520</v>
      </c>
      <c r="C313" s="51" t="s">
        <v>520</v>
      </c>
      <c r="D313" s="51" t="s">
        <v>187</v>
      </c>
      <c r="E313" t="s">
        <v>1020</v>
      </c>
      <c r="F313" s="52" t="s">
        <v>316</v>
      </c>
      <c r="G313" s="52" t="s">
        <v>319</v>
      </c>
      <c r="H313" s="52" t="s">
        <v>320</v>
      </c>
      <c r="L313" s="51">
        <v>1</v>
      </c>
      <c r="N313" s="55"/>
      <c r="T313" s="51" t="s">
        <v>972</v>
      </c>
      <c r="AB313" s="7" t="s">
        <v>1032</v>
      </c>
    </row>
    <row r="314" spans="2:28" ht="15.6" customHeight="1" thickBot="1" x14ac:dyDescent="0.35">
      <c r="B314" t="s">
        <v>521</v>
      </c>
      <c r="C314" s="7" t="s">
        <v>521</v>
      </c>
      <c r="D314" s="7" t="s">
        <v>187</v>
      </c>
      <c r="E314" t="s">
        <v>1020</v>
      </c>
      <c r="F314" s="10" t="s">
        <v>321</v>
      </c>
      <c r="G314" s="7" t="str">
        <f>F314</f>
        <v>Reporting Irregularities</v>
      </c>
      <c r="H314" s="7" t="s">
        <v>5</v>
      </c>
      <c r="I314" s="7" t="s">
        <v>78</v>
      </c>
      <c r="L314" s="7">
        <v>1</v>
      </c>
      <c r="N314" s="18"/>
      <c r="T314" s="7">
        <v>0</v>
      </c>
    </row>
    <row r="315" spans="2:28" ht="15" thickBot="1" x14ac:dyDescent="0.35">
      <c r="B315" t="s">
        <v>801</v>
      </c>
      <c r="C315" s="7" t="s">
        <v>801</v>
      </c>
      <c r="D315" s="7" t="s">
        <v>187</v>
      </c>
      <c r="E315" t="s">
        <v>1018</v>
      </c>
      <c r="F315" s="10" t="s">
        <v>293</v>
      </c>
      <c r="G315" s="10" t="s">
        <v>105</v>
      </c>
      <c r="H315" s="10" t="s">
        <v>19</v>
      </c>
      <c r="I315" s="10" t="s">
        <v>3</v>
      </c>
      <c r="L315" s="7">
        <v>1</v>
      </c>
      <c r="N315" s="18"/>
      <c r="T315" s="7" t="s">
        <v>762</v>
      </c>
      <c r="AB315" s="7" t="s">
        <v>812</v>
      </c>
    </row>
    <row r="316" spans="2:28" customFormat="1" x14ac:dyDescent="0.3">
      <c r="B316" t="s">
        <v>977</v>
      </c>
      <c r="C316" s="7"/>
      <c r="D316" t="s">
        <v>187</v>
      </c>
      <c r="E316" t="s">
        <v>979</v>
      </c>
      <c r="F316" t="s">
        <v>286</v>
      </c>
      <c r="G316" t="s">
        <v>592</v>
      </c>
      <c r="H316" t="s">
        <v>19</v>
      </c>
      <c r="I316" t="s">
        <v>3</v>
      </c>
      <c r="T316" t="s">
        <v>763</v>
      </c>
    </row>
    <row r="317" spans="2:28" x14ac:dyDescent="0.3">
      <c r="B317" t="s">
        <v>978</v>
      </c>
      <c r="D317" t="s">
        <v>66</v>
      </c>
      <c r="E317" t="s">
        <v>980</v>
      </c>
      <c r="F317" t="s">
        <v>981</v>
      </c>
      <c r="G317" t="s">
        <v>982</v>
      </c>
      <c r="H317" t="s">
        <v>5</v>
      </c>
      <c r="I317" t="s">
        <v>78</v>
      </c>
      <c r="J317"/>
      <c r="K317"/>
      <c r="L317"/>
      <c r="M317"/>
      <c r="N317">
        <v>325677</v>
      </c>
      <c r="O317">
        <v>308745</v>
      </c>
      <c r="P317">
        <v>320671</v>
      </c>
      <c r="Q317">
        <v>309630</v>
      </c>
      <c r="R317">
        <v>287439</v>
      </c>
      <c r="S317"/>
      <c r="T317"/>
    </row>
    <row r="318" spans="2:28" x14ac:dyDescent="0.3">
      <c r="B318" t="s">
        <v>803</v>
      </c>
      <c r="C318" t="s">
        <v>803</v>
      </c>
      <c r="D318" t="s">
        <v>187</v>
      </c>
      <c r="E318" t="s">
        <v>804</v>
      </c>
      <c r="F318" t="s">
        <v>804</v>
      </c>
      <c r="G318" t="s">
        <v>279</v>
      </c>
      <c r="H318" t="s">
        <v>225</v>
      </c>
      <c r="I318" t="s">
        <v>5</v>
      </c>
      <c r="J318">
        <f>J1</f>
        <v>0</v>
      </c>
      <c r="K318" t="s">
        <v>610</v>
      </c>
      <c r="L318">
        <v>1</v>
      </c>
      <c r="M318"/>
      <c r="N318"/>
      <c r="O318"/>
      <c r="P318"/>
      <c r="Q318"/>
      <c r="R318"/>
      <c r="S318"/>
      <c r="T318">
        <v>0</v>
      </c>
      <c r="V318" s="7" t="s">
        <v>1057</v>
      </c>
      <c r="W318" s="7" t="s">
        <v>1057</v>
      </c>
      <c r="X318" s="7" t="s">
        <v>814</v>
      </c>
      <c r="Y318" s="7" t="s">
        <v>814</v>
      </c>
      <c r="Z318" s="7" t="s">
        <v>814</v>
      </c>
    </row>
  </sheetData>
  <autoFilter ref="A2:AE318" xr:uid="{15FE315E-FA05-478A-A9A1-6B746F16E339}"/>
  <mergeCells count="1">
    <mergeCell ref="AD222:AD225"/>
  </mergeCells>
  <dataValidations count="1">
    <dataValidation type="textLength" operator="equal" allowBlank="1" showInputMessage="1" showErrorMessage="1" error="No data entry allowed in this cell" sqref="K176 K186 K190 K192:K194 K196 K198 K200 K204:K206 K211:K215 K219 K227:K229 K235:K240 K246:K249 K252:K262 K264:K265 K267:K273 K275 K277:K282 K284:K286 K288:K291 K294 K296:K300 K302:K303 K305:K307 K310:K311 K313 J10 J12:J81 J83:J90 J92:K93 J175:J176 J178:K181 J183:J186 J188:J200 J203:J220 J222:J230 J232:J240 J242:K243 J246:J307 J310:J315 K17:K19 K21 K35:K36 K41:K46 K51 K55:K61 K65:K68 K71:K81 K84:K85 K88:K90 K97 K99:K102 K105:K108 K110:K115 K118:K126 K140:K144 K146:K148 K150:K154 K156 K160:K161 K163:K164 K166:K171 N17:S19 N35:S36 N41:S46 K129:K138 N55:S61 N65:S68 N71:S81 N84:S85 N88:S90 N92:S93 N97:S97 N99:S102 N105:S108 N110:S115 N118:S126 N129:S139 N141:S145 N147:S148 N151:S151 N154:S155 N161:S162 N164:S165 N167:S172 N177:S177 Q51:S51 N187:S187 N191:S191 N193:S193 N195:S195 N197:S197 N201:S201 N205:S207 N212:S216 N220:S220 N188:R188 N285:R286 N244:S244 N247:S248 N250:S250 N253:S254 N257:S263 N265:S266 N272:S274 N276:S276 N278:S278 N281:S283 N179:R181 N289:S292 N295:S295 N297:S301 N303:S304 N306:S308 N311:S311 K315 J95:J172 N51:O51 S179:S182 S285:S287 S236:S241 N236:N241 O236:R240 R228:S230 N228:Q229" xr:uid="{D9A124A9-D86A-4BEC-A379-99F0B65B6DB6}">
      <formula1>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A9C50E8D-770C-4BB4-BAFE-64FBEC483C6F}">
          <x14:formula1>
            <xm:f>'Data validation'!$B$3:$B$25</xm:f>
          </x14:formula1>
          <xm:sqref>I3</xm:sqref>
        </x14:dataValidation>
        <x14:dataValidation type="list" allowBlank="1" showInputMessage="1" showErrorMessage="1" xr:uid="{6F761FB1-6DA1-4689-BC29-BC3411DEAE9B}">
          <x14:formula1>
            <xm:f>'Data validation'!$C$3:$C$6</xm:f>
          </x14:formula1>
          <xm:sqref>K3</xm:sqref>
        </x14:dataValidation>
        <x14:dataValidation type="list" allowBlank="1" showInputMessage="1" showErrorMessage="1" xr:uid="{5CBF363D-ADDE-49DE-9E18-9A2C35327530}">
          <x14:formula1>
            <xm:f>'Data validation'!$D$3:$D$4</xm:f>
          </x14:formula1>
          <xm:sqref>T36 AB161 T17:T19 T41:T46 T51 T55:T61 T65:T68 T71:T81 T84:T85 T88:T90 T93 T99:T102 T105:T108 T110:T115 T118:T126 T129:T134 T136 AB120:AB121 T138 T147:T148 T151 AB155 AB115 AB148 AB171:AB172 T205:T206 AB179 AB65:AB66 AB216 T236:T241 AB72 T257:T263 T276 T278 T228 T297:T299 AB167 T253:T254 T303 AB101:AB102 T179:T181 T265 AB56:AB61 AB68 AB84:AB85 AB74:AB81 AB93 T244 AB105 T154 AB182 AB90 AB123:AB126 AB130:AB131 AB139 T141:T144 AB151 AB145 T161 AB165 T169:T172 AB187 AB197 T167 AB110:AB113 AB244 AB265:AB266 T281:T282 AB212:AB214 AB278 AB281:AB283 AB285 AB295 AB298:AB301 T289:T291 AB306:AB308 T247:T248 T308 T201 T212:T215</xm:sqref>
        </x14:dataValidation>
        <x14:dataValidation type="list" allowBlank="1" showInputMessage="1" showErrorMessage="1" xr:uid="{53118B75-146E-4C19-A4E4-FC2C50702243}">
          <x14:formula1>
            <xm:f>'Data validation'!$E$3:$E$5</xm:f>
          </x14:formula1>
          <xm:sqref>T92 T97 AB92 AB97</xm:sqref>
        </x14:dataValidation>
        <x14:dataValidation type="list" allowBlank="1" showInputMessage="1" showErrorMessage="1" xr:uid="{37D38BBE-D534-436C-B9CA-DDEEA7701E73}">
          <x14:formula1>
            <xm:f>'Data validation'!$F$3:$F$4</xm:f>
          </x14:formula1>
          <xm:sqref>T135 AB135 AB138</xm:sqref>
        </x14:dataValidation>
        <x14:dataValidation type="list" allowBlank="1" showInputMessage="1" showErrorMessage="1" xr:uid="{DE67D947-6FCA-4E68-8B5E-9964D8424AB0}">
          <x14:formula1>
            <xm:f>'Data validation'!$G$3:$G$4</xm:f>
          </x14:formula1>
          <xm:sqref>T177 T35 AB177</xm:sqref>
        </x14:dataValidation>
        <x14:dataValidation type="list" allowBlank="1" showInputMessage="1" showErrorMessage="1" xr:uid="{5D2EA399-2660-48A4-BCEC-FB1745849EC2}">
          <x14:formula1>
            <xm:f>'Data validation'!$H$3:$H$4</xm:f>
          </x14:formula1>
          <xm:sqref>T285</xm:sqref>
        </x14:dataValidation>
        <x14:dataValidation type="list" allowBlank="1" showInputMessage="1" showErrorMessage="1" xr:uid="{21C0AECE-59D4-4CA6-9958-832C3776C71B}">
          <x14:formula1>
            <xm:f>'Data validation'!$I$3:$I$4</xm:f>
          </x14:formula1>
          <xm:sqref>AB287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9E44C-9788-4273-BECD-98ABB11436C8}">
  <dimension ref="B2:F6"/>
  <sheetViews>
    <sheetView workbookViewId="0">
      <selection activeCell="F7" sqref="F7"/>
    </sheetView>
  </sheetViews>
  <sheetFormatPr defaultRowHeight="14.4" x14ac:dyDescent="0.3"/>
  <cols>
    <col min="6" max="6" width="4.109375" bestFit="1" customWidth="1"/>
  </cols>
  <sheetData>
    <row r="2" spans="2:6" x14ac:dyDescent="0.3">
      <c r="C2" t="s">
        <v>1050</v>
      </c>
      <c r="D2" t="s">
        <v>1051</v>
      </c>
    </row>
    <row r="3" spans="2:6" x14ac:dyDescent="0.3">
      <c r="B3" t="s">
        <v>1052</v>
      </c>
      <c r="C3" s="56">
        <v>0.155</v>
      </c>
      <c r="D3">
        <v>42</v>
      </c>
      <c r="E3">
        <f t="shared" ref="E3:E5" si="0">+C3*D3</f>
        <v>6.51</v>
      </c>
      <c r="F3" s="41">
        <f>C3/SUM($C$3:$C$5)*D3</f>
        <v>14.030172413793103</v>
      </c>
    </row>
    <row r="4" spans="2:6" x14ac:dyDescent="0.3">
      <c r="B4" t="s">
        <v>1053</v>
      </c>
      <c r="C4" s="56">
        <v>0.153</v>
      </c>
      <c r="D4">
        <v>67</v>
      </c>
      <c r="E4">
        <f t="shared" si="0"/>
        <v>10.250999999999999</v>
      </c>
      <c r="F4" s="41">
        <f t="shared" ref="F4:F5" si="1">C4/SUM($C$3:$C$5)*D4</f>
        <v>22.092672413793107</v>
      </c>
    </row>
    <row r="5" spans="2:6" x14ac:dyDescent="0.3">
      <c r="B5" t="s">
        <v>1054</v>
      </c>
      <c r="C5" s="56">
        <v>0.156</v>
      </c>
      <c r="D5">
        <v>33</v>
      </c>
      <c r="E5">
        <f t="shared" si="0"/>
        <v>5.1479999999999997</v>
      </c>
      <c r="F5" s="41">
        <f t="shared" si="1"/>
        <v>11.094827586206897</v>
      </c>
    </row>
    <row r="6" spans="2:6" x14ac:dyDescent="0.3">
      <c r="E6">
        <f>+SUM(E3:E5)</f>
        <v>21.908999999999999</v>
      </c>
      <c r="F6" s="58">
        <f>SUM(F3:F5)</f>
        <v>47.217672413793103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2A4EA-102A-4581-BD02-883EE4ED7E0A}">
  <dimension ref="F2:J9"/>
  <sheetViews>
    <sheetView workbookViewId="0">
      <selection activeCell="I7" sqref="I7:I10"/>
    </sheetView>
  </sheetViews>
  <sheetFormatPr defaultRowHeight="14.4" x14ac:dyDescent="0.3"/>
  <cols>
    <col min="3" max="3" width="13.6640625" bestFit="1" customWidth="1"/>
  </cols>
  <sheetData>
    <row r="2" spans="6:10" x14ac:dyDescent="0.3">
      <c r="F2">
        <v>2016</v>
      </c>
      <c r="G2">
        <v>2017</v>
      </c>
      <c r="H2">
        <v>2018</v>
      </c>
      <c r="I2">
        <v>2019</v>
      </c>
      <c r="J2">
        <v>2020</v>
      </c>
    </row>
    <row r="3" spans="6:10" x14ac:dyDescent="0.3">
      <c r="F3">
        <f>420963+11846589+274783+1012588+109577+1004641</f>
        <v>14669141</v>
      </c>
      <c r="G3">
        <f>794388+14884256+327936+1313952+125213+609923</f>
        <v>18055668</v>
      </c>
      <c r="H3">
        <f>1181281+15877337+259482+1335742+179352+779920</f>
        <v>19613114</v>
      </c>
      <c r="I3">
        <f>1168378+16155846+321030+1462420+149265+853649</f>
        <v>20110588</v>
      </c>
      <c r="J3" s="41">
        <f>1306073+15224087+404555+1433736+121894+929273</f>
        <v>19419618</v>
      </c>
    </row>
    <row r="4" spans="6:10" x14ac:dyDescent="0.3">
      <c r="F4">
        <f>+F3*10^6</f>
        <v>14669141000000</v>
      </c>
      <c r="G4">
        <f>+G3*10^6</f>
        <v>18055668000000</v>
      </c>
      <c r="H4">
        <f>+H3*10^6</f>
        <v>19613114000000</v>
      </c>
      <c r="I4">
        <f>+I3*10^6</f>
        <v>20110588000000</v>
      </c>
      <c r="J4">
        <f>+J3*10^6</f>
        <v>19419618000000</v>
      </c>
    </row>
    <row r="7" spans="6:10" x14ac:dyDescent="0.3">
      <c r="F7">
        <v>61</v>
      </c>
      <c r="G7" s="56">
        <v>0.156</v>
      </c>
      <c r="H7">
        <f>(G7/SUM($G$7:$G$9))*F7</f>
        <v>20.508620689655174</v>
      </c>
    </row>
    <row r="8" spans="6:10" x14ac:dyDescent="0.3">
      <c r="F8">
        <v>42</v>
      </c>
      <c r="G8" s="56">
        <v>0.155</v>
      </c>
      <c r="H8">
        <f>(G8/SUM($G$7:$G$9))*F8</f>
        <v>14.030172413793103</v>
      </c>
    </row>
    <row r="9" spans="6:10" x14ac:dyDescent="0.3">
      <c r="F9">
        <v>67</v>
      </c>
      <c r="G9" s="56">
        <v>0.153</v>
      </c>
      <c r="H9">
        <f>(G9/SUM($G$7:$G$9))*F9</f>
        <v>22.092672413793107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A2D4-8499-41FC-B33F-253AE18EAEB7}">
  <dimension ref="B3:K25"/>
  <sheetViews>
    <sheetView workbookViewId="0">
      <selection activeCell="B4" sqref="B4"/>
    </sheetView>
  </sheetViews>
  <sheetFormatPr defaultRowHeight="14.4" x14ac:dyDescent="0.3"/>
  <cols>
    <col min="4" max="4" width="9.77734375" bestFit="1" customWidth="1"/>
  </cols>
  <sheetData>
    <row r="3" spans="2:11" x14ac:dyDescent="0.3">
      <c r="B3" t="s">
        <v>736</v>
      </c>
      <c r="C3" t="s">
        <v>758</v>
      </c>
      <c r="D3" t="s">
        <v>762</v>
      </c>
      <c r="E3" t="s">
        <v>764</v>
      </c>
      <c r="F3" t="s">
        <v>764</v>
      </c>
      <c r="G3" t="s">
        <v>767</v>
      </c>
      <c r="H3" t="s">
        <v>769</v>
      </c>
      <c r="I3" t="s">
        <v>771</v>
      </c>
      <c r="J3" t="s">
        <v>671</v>
      </c>
      <c r="K3" t="s">
        <v>782</v>
      </c>
    </row>
    <row r="4" spans="2:11" x14ac:dyDescent="0.3">
      <c r="B4" t="s">
        <v>737</v>
      </c>
      <c r="C4" t="s">
        <v>759</v>
      </c>
      <c r="D4" t="s">
        <v>763</v>
      </c>
      <c r="E4" t="s">
        <v>765</v>
      </c>
      <c r="F4" t="s">
        <v>766</v>
      </c>
      <c r="G4" t="s">
        <v>768</v>
      </c>
      <c r="H4" t="s">
        <v>770</v>
      </c>
      <c r="I4" t="s">
        <v>772</v>
      </c>
      <c r="J4" t="s">
        <v>780</v>
      </c>
      <c r="K4" t="s">
        <v>783</v>
      </c>
    </row>
    <row r="5" spans="2:11" x14ac:dyDescent="0.3">
      <c r="B5" t="s">
        <v>738</v>
      </c>
      <c r="C5" t="s">
        <v>760</v>
      </c>
      <c r="E5" t="s">
        <v>766</v>
      </c>
      <c r="J5" t="s">
        <v>781</v>
      </c>
    </row>
    <row r="6" spans="2:11" x14ac:dyDescent="0.3">
      <c r="B6" t="s">
        <v>739</v>
      </c>
      <c r="C6" t="s">
        <v>761</v>
      </c>
    </row>
    <row r="7" spans="2:11" x14ac:dyDescent="0.3">
      <c r="B7" t="s">
        <v>740</v>
      </c>
    </row>
    <row r="8" spans="2:11" x14ac:dyDescent="0.3">
      <c r="B8" t="s">
        <v>741</v>
      </c>
    </row>
    <row r="9" spans="2:11" x14ac:dyDescent="0.3">
      <c r="B9" t="s">
        <v>742</v>
      </c>
    </row>
    <row r="10" spans="2:11" x14ac:dyDescent="0.3">
      <c r="B10" t="s">
        <v>743</v>
      </c>
    </row>
    <row r="11" spans="2:11" x14ac:dyDescent="0.3">
      <c r="B11" t="s">
        <v>744</v>
      </c>
    </row>
    <row r="12" spans="2:11" x14ac:dyDescent="0.3">
      <c r="B12" t="s">
        <v>745</v>
      </c>
    </row>
    <row r="13" spans="2:11" x14ac:dyDescent="0.3">
      <c r="B13" t="s">
        <v>746</v>
      </c>
    </row>
    <row r="14" spans="2:11" x14ac:dyDescent="0.3">
      <c r="B14" t="s">
        <v>747</v>
      </c>
    </row>
    <row r="15" spans="2:11" x14ac:dyDescent="0.3">
      <c r="B15" t="s">
        <v>748</v>
      </c>
    </row>
    <row r="16" spans="2:11" x14ac:dyDescent="0.3">
      <c r="B16" t="s">
        <v>749</v>
      </c>
    </row>
    <row r="17" spans="2:2" x14ac:dyDescent="0.3">
      <c r="B17" t="s">
        <v>750</v>
      </c>
    </row>
    <row r="18" spans="2:2" x14ac:dyDescent="0.3">
      <c r="B18" t="s">
        <v>751</v>
      </c>
    </row>
    <row r="19" spans="2:2" x14ac:dyDescent="0.3">
      <c r="B19" t="s">
        <v>752</v>
      </c>
    </row>
    <row r="20" spans="2:2" x14ac:dyDescent="0.3">
      <c r="B20" t="s">
        <v>753</v>
      </c>
    </row>
    <row r="21" spans="2:2" x14ac:dyDescent="0.3">
      <c r="B21" t="s">
        <v>754</v>
      </c>
    </row>
    <row r="22" spans="2:2" x14ac:dyDescent="0.3">
      <c r="B22" t="s">
        <v>755</v>
      </c>
    </row>
    <row r="23" spans="2:2" x14ac:dyDescent="0.3">
      <c r="B23" t="s">
        <v>756</v>
      </c>
    </row>
    <row r="24" spans="2:2" x14ac:dyDescent="0.3">
      <c r="B24" t="s">
        <v>757</v>
      </c>
    </row>
    <row r="25" spans="2:2" x14ac:dyDescent="0.3">
      <c r="B25" t="s">
        <v>779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4D64C-BB57-464F-A7AB-1C1D44BD7799}">
  <dimension ref="B2:F5"/>
  <sheetViews>
    <sheetView workbookViewId="0">
      <selection activeCell="J21" sqref="J21"/>
    </sheetView>
  </sheetViews>
  <sheetFormatPr defaultRowHeight="14.4" x14ac:dyDescent="0.3"/>
  <sheetData>
    <row r="2" spans="2:6" x14ac:dyDescent="0.3">
      <c r="B2" t="s">
        <v>336</v>
      </c>
      <c r="C2" t="s">
        <v>678</v>
      </c>
    </row>
    <row r="5" spans="2:6" x14ac:dyDescent="0.3">
      <c r="B5" s="7" t="s">
        <v>446</v>
      </c>
      <c r="C5" s="7" t="s">
        <v>337</v>
      </c>
      <c r="D5" s="7" t="s">
        <v>187</v>
      </c>
      <c r="E5" s="7" t="s">
        <v>338</v>
      </c>
      <c r="F5" s="7" t="s">
        <v>356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3E375-C168-41DD-B4F5-CEDEABC3E693}">
  <dimension ref="A2:AB74"/>
  <sheetViews>
    <sheetView topLeftCell="G1" workbookViewId="0">
      <selection activeCell="K70" sqref="K70"/>
    </sheetView>
  </sheetViews>
  <sheetFormatPr defaultRowHeight="14.4" x14ac:dyDescent="0.3"/>
  <cols>
    <col min="2" max="2" width="27.109375" bestFit="1" customWidth="1"/>
    <col min="3" max="3" width="51.109375" bestFit="1" customWidth="1"/>
    <col min="4" max="4" width="8.88671875" style="28"/>
    <col min="5" max="5" width="9.88671875" bestFit="1" customWidth="1"/>
    <col min="6" max="6" width="122.21875" bestFit="1" customWidth="1"/>
    <col min="7" max="7" width="54.44140625" bestFit="1" customWidth="1"/>
    <col min="8" max="8" width="63.5546875" bestFit="1" customWidth="1"/>
    <col min="10" max="10" width="17.6640625" bestFit="1" customWidth="1"/>
    <col min="11" max="11" width="18.109375" bestFit="1" customWidth="1"/>
    <col min="12" max="12" width="25.88671875" bestFit="1" customWidth="1"/>
    <col min="14" max="18" width="10" bestFit="1" customWidth="1"/>
    <col min="19" max="19" width="20.21875" bestFit="1" customWidth="1"/>
    <col min="20" max="23" width="17" bestFit="1" customWidth="1"/>
    <col min="24" max="28" width="10.88671875" bestFit="1" customWidth="1"/>
  </cols>
  <sheetData>
    <row r="2" spans="1:28" x14ac:dyDescent="0.3">
      <c r="B2" s="34" t="s">
        <v>861</v>
      </c>
      <c r="C2" s="34" t="s">
        <v>862</v>
      </c>
      <c r="D2" s="35" t="s">
        <v>863</v>
      </c>
      <c r="E2" s="34" t="s">
        <v>864</v>
      </c>
      <c r="F2" s="36" t="s">
        <v>865</v>
      </c>
      <c r="G2" s="60" t="s">
        <v>866</v>
      </c>
      <c r="H2" s="60"/>
      <c r="I2" s="60"/>
      <c r="J2" s="60"/>
      <c r="K2" s="34" t="s">
        <v>867</v>
      </c>
      <c r="L2" s="34" t="s">
        <v>868</v>
      </c>
      <c r="M2" s="34" t="s">
        <v>869</v>
      </c>
      <c r="N2" s="60" t="s">
        <v>870</v>
      </c>
      <c r="O2" s="60"/>
      <c r="P2" s="60"/>
      <c r="Q2" s="60"/>
      <c r="R2" s="60"/>
      <c r="S2" s="60" t="s">
        <v>871</v>
      </c>
      <c r="T2" s="60"/>
      <c r="U2" s="60"/>
      <c r="V2" s="60"/>
      <c r="W2" s="60"/>
      <c r="X2" s="60" t="s">
        <v>872</v>
      </c>
      <c r="Y2" s="60"/>
      <c r="Z2" s="60"/>
      <c r="AA2" s="60"/>
      <c r="AB2" s="60"/>
    </row>
    <row r="3" spans="1:28" x14ac:dyDescent="0.3">
      <c r="G3" s="37" t="s">
        <v>873</v>
      </c>
      <c r="H3" s="37" t="s">
        <v>874</v>
      </c>
      <c r="I3" s="37" t="s">
        <v>869</v>
      </c>
      <c r="J3" s="37" t="s">
        <v>875</v>
      </c>
      <c r="N3" s="38">
        <v>2015</v>
      </c>
      <c r="O3" s="38">
        <v>2016</v>
      </c>
      <c r="P3" s="38">
        <v>2017</v>
      </c>
      <c r="Q3" s="38">
        <v>2018</v>
      </c>
      <c r="R3" s="38">
        <v>2019</v>
      </c>
      <c r="S3" s="38">
        <v>2015</v>
      </c>
      <c r="T3" s="38">
        <v>2016</v>
      </c>
      <c r="U3" s="38">
        <v>2017</v>
      </c>
      <c r="V3" s="38">
        <v>2018</v>
      </c>
      <c r="W3" s="38">
        <v>2019</v>
      </c>
      <c r="X3" s="38">
        <v>2015</v>
      </c>
      <c r="Y3" s="38">
        <v>2016</v>
      </c>
      <c r="Z3" s="38">
        <v>2017</v>
      </c>
      <c r="AA3" s="38">
        <v>2018</v>
      </c>
      <c r="AB3" s="38">
        <v>2019</v>
      </c>
    </row>
    <row r="4" spans="1:28" x14ac:dyDescent="0.3">
      <c r="A4">
        <v>1</v>
      </c>
      <c r="B4" t="s">
        <v>895</v>
      </c>
      <c r="C4" t="s">
        <v>896</v>
      </c>
      <c r="D4" s="28">
        <v>65</v>
      </c>
      <c r="E4">
        <f>2021-1977</f>
        <v>44</v>
      </c>
      <c r="F4" t="s">
        <v>897</v>
      </c>
      <c r="G4" t="s">
        <v>898</v>
      </c>
      <c r="H4" t="s">
        <v>885</v>
      </c>
      <c r="I4" t="s">
        <v>877</v>
      </c>
      <c r="J4" t="s">
        <v>878</v>
      </c>
      <c r="N4" s="39">
        <v>4.3900000000000003E-6</v>
      </c>
      <c r="P4" s="39">
        <v>7.61E-6</v>
      </c>
      <c r="R4" s="39"/>
      <c r="S4" s="39"/>
      <c r="T4" s="39"/>
      <c r="U4" s="39"/>
      <c r="V4" s="39"/>
      <c r="W4" s="39"/>
    </row>
    <row r="5" spans="1:28" x14ac:dyDescent="0.3">
      <c r="G5" t="s">
        <v>899</v>
      </c>
      <c r="H5" t="s">
        <v>881</v>
      </c>
      <c r="I5" t="s">
        <v>880</v>
      </c>
      <c r="J5" t="s">
        <v>892</v>
      </c>
    </row>
    <row r="6" spans="1:28" x14ac:dyDescent="0.3">
      <c r="G6" t="s">
        <v>900</v>
      </c>
      <c r="H6" t="s">
        <v>879</v>
      </c>
      <c r="I6" t="s">
        <v>880</v>
      </c>
      <c r="J6" t="s">
        <v>892</v>
      </c>
      <c r="K6">
        <f>2021-2016</f>
        <v>5</v>
      </c>
    </row>
    <row r="7" spans="1:28" x14ac:dyDescent="0.3">
      <c r="G7" t="s">
        <v>901</v>
      </c>
      <c r="H7" t="s">
        <v>881</v>
      </c>
      <c r="I7" t="s">
        <v>880</v>
      </c>
      <c r="J7" t="s">
        <v>878</v>
      </c>
    </row>
    <row r="8" spans="1:28" x14ac:dyDescent="0.3">
      <c r="K8" s="34">
        <f>SUM(K4:K7)</f>
        <v>5</v>
      </c>
    </row>
    <row r="10" spans="1:28" x14ac:dyDescent="0.3">
      <c r="A10">
        <v>2</v>
      </c>
      <c r="B10" t="s">
        <v>902</v>
      </c>
      <c r="C10" t="s">
        <v>903</v>
      </c>
      <c r="D10" s="28">
        <v>59</v>
      </c>
      <c r="E10">
        <f>2021-1983</f>
        <v>38</v>
      </c>
      <c r="F10" t="s">
        <v>904</v>
      </c>
      <c r="G10" t="s">
        <v>900</v>
      </c>
      <c r="H10" t="s">
        <v>881</v>
      </c>
      <c r="I10" t="s">
        <v>880</v>
      </c>
      <c r="J10" t="s">
        <v>905</v>
      </c>
      <c r="K10">
        <f>2021-2017</f>
        <v>4</v>
      </c>
      <c r="N10" s="39">
        <v>9.5799999999999998E-6</v>
      </c>
      <c r="O10" s="39">
        <v>9.5799999999999998E-6</v>
      </c>
      <c r="P10" s="39">
        <v>9.5799999999999998E-6</v>
      </c>
      <c r="Q10" s="39">
        <v>9.5799999999999998E-6</v>
      </c>
      <c r="R10" s="39">
        <v>9.5799999999999998E-6</v>
      </c>
      <c r="S10" s="39"/>
      <c r="T10" s="39"/>
      <c r="U10" s="39"/>
      <c r="V10" s="39"/>
      <c r="W10" s="39"/>
    </row>
    <row r="11" spans="1:28" x14ac:dyDescent="0.3">
      <c r="K11" s="34">
        <f>+K10</f>
        <v>4</v>
      </c>
    </row>
    <row r="12" spans="1:28" x14ac:dyDescent="0.3">
      <c r="K12" s="34"/>
    </row>
    <row r="13" spans="1:28" x14ac:dyDescent="0.3">
      <c r="A13">
        <v>3</v>
      </c>
      <c r="B13" t="s">
        <v>906</v>
      </c>
      <c r="C13" t="s">
        <v>907</v>
      </c>
      <c r="D13" s="28">
        <v>62</v>
      </c>
      <c r="E13">
        <f>2021-1981</f>
        <v>40</v>
      </c>
      <c r="F13" t="s">
        <v>908</v>
      </c>
      <c r="G13" t="s">
        <v>900</v>
      </c>
      <c r="H13" t="s">
        <v>883</v>
      </c>
      <c r="I13" t="s">
        <v>880</v>
      </c>
      <c r="J13" t="s">
        <v>905</v>
      </c>
      <c r="K13">
        <f>2021-2017</f>
        <v>4</v>
      </c>
      <c r="N13" s="39">
        <v>6.2030000000000001E-5</v>
      </c>
      <c r="O13" s="39">
        <v>6.2030000000000001E-5</v>
      </c>
      <c r="P13" s="39">
        <v>6.2030000000000001E-5</v>
      </c>
      <c r="Q13" s="39">
        <v>6.2030000000000001E-5</v>
      </c>
      <c r="R13" s="39">
        <v>6.2030000000000001E-5</v>
      </c>
      <c r="S13" s="39"/>
      <c r="T13" s="39"/>
      <c r="U13" s="39"/>
      <c r="V13" s="39"/>
      <c r="W13" s="39"/>
    </row>
    <row r="14" spans="1:28" x14ac:dyDescent="0.3">
      <c r="K14" s="34">
        <f>SUM(K13:K13)</f>
        <v>4</v>
      </c>
    </row>
    <row r="15" spans="1:28" x14ac:dyDescent="0.3">
      <c r="K15" s="34"/>
    </row>
    <row r="17" spans="1:23" x14ac:dyDescent="0.3">
      <c r="A17">
        <v>4</v>
      </c>
      <c r="B17" t="s">
        <v>909</v>
      </c>
      <c r="C17" t="s">
        <v>910</v>
      </c>
      <c r="D17" s="28">
        <v>59</v>
      </c>
      <c r="E17">
        <f>2021-1984</f>
        <v>37</v>
      </c>
      <c r="F17" t="s">
        <v>911</v>
      </c>
      <c r="G17" t="s">
        <v>900</v>
      </c>
      <c r="H17" t="s">
        <v>881</v>
      </c>
      <c r="I17" t="s">
        <v>880</v>
      </c>
      <c r="J17" t="s">
        <v>905</v>
      </c>
      <c r="K17">
        <f>2021-2016</f>
        <v>5</v>
      </c>
      <c r="L17" t="s">
        <v>886</v>
      </c>
      <c r="M17" t="s">
        <v>887</v>
      </c>
      <c r="N17" s="39">
        <v>2.3199999999999998E-6</v>
      </c>
      <c r="O17" s="39">
        <v>2.3199999999999998E-6</v>
      </c>
      <c r="P17" s="39">
        <v>2.3199999999999998E-6</v>
      </c>
      <c r="Q17" s="39">
        <v>2.3199999999999998E-6</v>
      </c>
      <c r="R17" s="39">
        <v>2.3199999999999998E-6</v>
      </c>
      <c r="S17" s="39"/>
      <c r="T17" s="39"/>
      <c r="U17" s="39"/>
      <c r="V17" s="39"/>
      <c r="W17" s="39"/>
    </row>
    <row r="18" spans="1:23" x14ac:dyDescent="0.3">
      <c r="K18" s="34">
        <f>+K17</f>
        <v>5</v>
      </c>
    </row>
    <row r="19" spans="1:23" x14ac:dyDescent="0.3">
      <c r="K19" s="34"/>
    </row>
    <row r="21" spans="1:23" x14ac:dyDescent="0.3">
      <c r="A21">
        <v>5</v>
      </c>
      <c r="B21" s="31" t="s">
        <v>912</v>
      </c>
      <c r="C21" s="31" t="s">
        <v>913</v>
      </c>
      <c r="D21" s="40">
        <v>57</v>
      </c>
      <c r="E21" s="31">
        <f>D21-25</f>
        <v>32</v>
      </c>
      <c r="F21" s="31"/>
      <c r="G21" t="s">
        <v>900</v>
      </c>
      <c r="H21" t="s">
        <v>881</v>
      </c>
      <c r="I21" t="s">
        <v>880</v>
      </c>
      <c r="J21" t="s">
        <v>914</v>
      </c>
      <c r="K21">
        <f>2021-2020</f>
        <v>1</v>
      </c>
      <c r="L21" t="s">
        <v>888</v>
      </c>
      <c r="M21" t="s">
        <v>887</v>
      </c>
    </row>
    <row r="22" spans="1:23" x14ac:dyDescent="0.3">
      <c r="K22" s="34">
        <f>SUM(K21:K21)</f>
        <v>1</v>
      </c>
    </row>
    <row r="23" spans="1:23" x14ac:dyDescent="0.3">
      <c r="K23" s="34"/>
    </row>
    <row r="25" spans="1:23" x14ac:dyDescent="0.3">
      <c r="A25">
        <v>6</v>
      </c>
      <c r="B25" t="s">
        <v>915</v>
      </c>
      <c r="C25" t="s">
        <v>916</v>
      </c>
      <c r="D25" s="28">
        <v>58</v>
      </c>
      <c r="E25">
        <f>D25-25</f>
        <v>33</v>
      </c>
      <c r="G25" t="s">
        <v>900</v>
      </c>
      <c r="H25" t="s">
        <v>881</v>
      </c>
      <c r="I25" t="s">
        <v>880</v>
      </c>
      <c r="J25" t="s">
        <v>914</v>
      </c>
      <c r="K25">
        <f>2021-2017</f>
        <v>4</v>
      </c>
    </row>
    <row r="26" spans="1:23" x14ac:dyDescent="0.3">
      <c r="K26" s="34">
        <f>+K25</f>
        <v>4</v>
      </c>
    </row>
    <row r="29" spans="1:23" hidden="1" x14ac:dyDescent="0.3">
      <c r="A29">
        <v>7</v>
      </c>
      <c r="B29" s="31" t="s">
        <v>917</v>
      </c>
      <c r="C29" s="31" t="s">
        <v>918</v>
      </c>
      <c r="D29" s="40">
        <v>70</v>
      </c>
      <c r="E29" s="31">
        <f>D29-25</f>
        <v>45</v>
      </c>
      <c r="F29" s="31"/>
      <c r="G29" t="s">
        <v>900</v>
      </c>
      <c r="H29" t="s">
        <v>884</v>
      </c>
      <c r="I29" t="s">
        <v>880</v>
      </c>
      <c r="J29" t="s">
        <v>878</v>
      </c>
    </row>
    <row r="30" spans="1:23" hidden="1" x14ac:dyDescent="0.3">
      <c r="K30" s="34">
        <f>SUM(K29:K29)</f>
        <v>0</v>
      </c>
    </row>
    <row r="31" spans="1:23" hidden="1" x14ac:dyDescent="0.3"/>
    <row r="32" spans="1:23" hidden="1" x14ac:dyDescent="0.3"/>
    <row r="33" spans="1:23" hidden="1" x14ac:dyDescent="0.3">
      <c r="A33">
        <v>8</v>
      </c>
      <c r="B33" t="s">
        <v>919</v>
      </c>
      <c r="C33" t="s">
        <v>920</v>
      </c>
      <c r="D33" s="28">
        <v>82</v>
      </c>
      <c r="E33">
        <f>D33-25</f>
        <v>57</v>
      </c>
      <c r="G33" t="s">
        <v>900</v>
      </c>
      <c r="H33" t="s">
        <v>884</v>
      </c>
      <c r="I33" t="s">
        <v>880</v>
      </c>
      <c r="J33" t="s">
        <v>878</v>
      </c>
    </row>
    <row r="34" spans="1:23" hidden="1" x14ac:dyDescent="0.3">
      <c r="K34" s="34">
        <f>SUM(K33:K33)</f>
        <v>0</v>
      </c>
    </row>
    <row r="35" spans="1:23" hidden="1" x14ac:dyDescent="0.3"/>
    <row r="36" spans="1:23" hidden="1" x14ac:dyDescent="0.3">
      <c r="A36">
        <v>9</v>
      </c>
      <c r="B36" s="31" t="s">
        <v>921</v>
      </c>
      <c r="C36" s="31" t="s">
        <v>922</v>
      </c>
      <c r="D36" s="40">
        <v>60</v>
      </c>
      <c r="E36" s="31">
        <f>D36-25</f>
        <v>35</v>
      </c>
      <c r="F36" s="31"/>
      <c r="G36" t="s">
        <v>923</v>
      </c>
      <c r="H36" t="s">
        <v>876</v>
      </c>
      <c r="I36" t="s">
        <v>877</v>
      </c>
      <c r="J36" t="s">
        <v>891</v>
      </c>
      <c r="K36">
        <f>2020-2014</f>
        <v>6</v>
      </c>
      <c r="L36" t="s">
        <v>888</v>
      </c>
      <c r="M36" t="s">
        <v>889</v>
      </c>
    </row>
    <row r="37" spans="1:23" hidden="1" x14ac:dyDescent="0.3">
      <c r="G37" t="s">
        <v>900</v>
      </c>
      <c r="H37" t="s">
        <v>924</v>
      </c>
      <c r="I37" t="s">
        <v>880</v>
      </c>
      <c r="J37" t="s">
        <v>878</v>
      </c>
      <c r="L37" t="s">
        <v>886</v>
      </c>
      <c r="M37" t="s">
        <v>889</v>
      </c>
    </row>
    <row r="38" spans="1:23" hidden="1" x14ac:dyDescent="0.3">
      <c r="K38" s="34">
        <f>SUM(K36)</f>
        <v>6</v>
      </c>
    </row>
    <row r="39" spans="1:23" hidden="1" x14ac:dyDescent="0.3"/>
    <row r="40" spans="1:23" x14ac:dyDescent="0.3">
      <c r="A40">
        <v>10</v>
      </c>
      <c r="B40" t="s">
        <v>925</v>
      </c>
      <c r="C40" t="s">
        <v>890</v>
      </c>
      <c r="D40" s="28">
        <v>61</v>
      </c>
      <c r="E40">
        <f>2021-1982</f>
        <v>39</v>
      </c>
      <c r="F40" t="s">
        <v>926</v>
      </c>
      <c r="G40" t="s">
        <v>900</v>
      </c>
      <c r="H40" t="s">
        <v>881</v>
      </c>
      <c r="I40" t="s">
        <v>880</v>
      </c>
      <c r="J40" s="46" t="s">
        <v>905</v>
      </c>
      <c r="K40">
        <f>2021-2018</f>
        <v>3</v>
      </c>
    </row>
    <row r="42" spans="1:23" x14ac:dyDescent="0.3">
      <c r="A42">
        <v>11</v>
      </c>
      <c r="B42" t="s">
        <v>927</v>
      </c>
      <c r="C42" t="s">
        <v>890</v>
      </c>
      <c r="D42" s="28">
        <v>65</v>
      </c>
      <c r="E42">
        <f>D42-25</f>
        <v>40</v>
      </c>
      <c r="F42" t="s">
        <v>928</v>
      </c>
      <c r="G42" t="s">
        <v>900</v>
      </c>
      <c r="H42" t="s">
        <v>881</v>
      </c>
      <c r="I42" t="s">
        <v>880</v>
      </c>
      <c r="J42" s="46" t="s">
        <v>929</v>
      </c>
      <c r="K42">
        <f>2021-2019</f>
        <v>2</v>
      </c>
      <c r="N42" s="39"/>
      <c r="O42" s="39">
        <v>2.04E-6</v>
      </c>
      <c r="P42" s="39">
        <v>1.013E-5</v>
      </c>
      <c r="Q42" s="39">
        <v>1.013E-5</v>
      </c>
      <c r="R42" s="39">
        <v>1.013E-5</v>
      </c>
      <c r="S42" s="39"/>
      <c r="T42" s="39"/>
      <c r="U42" s="39"/>
      <c r="V42" s="39"/>
      <c r="W42" s="39"/>
    </row>
    <row r="44" spans="1:23" x14ac:dyDescent="0.3">
      <c r="A44">
        <v>12</v>
      </c>
      <c r="B44" t="s">
        <v>930</v>
      </c>
      <c r="C44" t="s">
        <v>890</v>
      </c>
      <c r="D44" s="28">
        <v>64</v>
      </c>
      <c r="E44">
        <f>D44-25</f>
        <v>39</v>
      </c>
      <c r="F44" t="s">
        <v>931</v>
      </c>
      <c r="G44" t="s">
        <v>932</v>
      </c>
      <c r="H44" t="s">
        <v>885</v>
      </c>
      <c r="I44" t="s">
        <v>877</v>
      </c>
      <c r="J44" t="s">
        <v>933</v>
      </c>
    </row>
    <row r="45" spans="1:23" x14ac:dyDescent="0.3">
      <c r="G45" t="s">
        <v>934</v>
      </c>
      <c r="H45" t="s">
        <v>885</v>
      </c>
      <c r="I45" t="s">
        <v>877</v>
      </c>
      <c r="J45" t="s">
        <v>935</v>
      </c>
    </row>
    <row r="46" spans="1:23" x14ac:dyDescent="0.3">
      <c r="G46" t="s">
        <v>900</v>
      </c>
      <c r="H46" t="s">
        <v>881</v>
      </c>
      <c r="I46" t="s">
        <v>880</v>
      </c>
      <c r="J46" t="s">
        <v>929</v>
      </c>
      <c r="K46">
        <f>2021-2019</f>
        <v>2</v>
      </c>
    </row>
    <row r="47" spans="1:23" x14ac:dyDescent="0.3">
      <c r="K47">
        <f>+SUM(K44:K46)</f>
        <v>2</v>
      </c>
    </row>
    <row r="50" spans="1:23" x14ac:dyDescent="0.3">
      <c r="A50">
        <v>13</v>
      </c>
      <c r="B50" t="s">
        <v>936</v>
      </c>
      <c r="C50" t="s">
        <v>890</v>
      </c>
      <c r="D50" s="28">
        <v>60</v>
      </c>
      <c r="E50">
        <f>2021-1982</f>
        <v>39</v>
      </c>
      <c r="F50" t="s">
        <v>937</v>
      </c>
      <c r="G50" t="s">
        <v>938</v>
      </c>
      <c r="H50" t="s">
        <v>881</v>
      </c>
      <c r="I50" t="s">
        <v>880</v>
      </c>
      <c r="J50" t="s">
        <v>882</v>
      </c>
      <c r="K50">
        <f>2021-2014</f>
        <v>7</v>
      </c>
    </row>
    <row r="51" spans="1:23" x14ac:dyDescent="0.3">
      <c r="G51" t="s">
        <v>939</v>
      </c>
      <c r="H51" t="s">
        <v>956</v>
      </c>
      <c r="I51" t="s">
        <v>877</v>
      </c>
      <c r="J51" t="s">
        <v>940</v>
      </c>
    </row>
    <row r="52" spans="1:23" x14ac:dyDescent="0.3">
      <c r="G52" t="s">
        <v>941</v>
      </c>
      <c r="H52" t="s">
        <v>876</v>
      </c>
      <c r="I52" t="s">
        <v>877</v>
      </c>
      <c r="J52" t="s">
        <v>878</v>
      </c>
    </row>
    <row r="53" spans="1:23" x14ac:dyDescent="0.3">
      <c r="G53" t="s">
        <v>942</v>
      </c>
      <c r="H53" t="s">
        <v>943</v>
      </c>
      <c r="I53" t="s">
        <v>880</v>
      </c>
      <c r="J53" t="s">
        <v>878</v>
      </c>
    </row>
    <row r="54" spans="1:23" x14ac:dyDescent="0.3">
      <c r="G54" t="s">
        <v>944</v>
      </c>
      <c r="H54" t="s">
        <v>881</v>
      </c>
      <c r="I54" t="s">
        <v>880</v>
      </c>
      <c r="J54" t="s">
        <v>878</v>
      </c>
    </row>
    <row r="55" spans="1:23" x14ac:dyDescent="0.3">
      <c r="G55" t="s">
        <v>945</v>
      </c>
      <c r="H55" t="s">
        <v>885</v>
      </c>
      <c r="I55" t="s">
        <v>877</v>
      </c>
      <c r="J55" t="s">
        <v>878</v>
      </c>
    </row>
    <row r="56" spans="1:23" x14ac:dyDescent="0.3">
      <c r="G56" t="s">
        <v>946</v>
      </c>
      <c r="H56" t="s">
        <v>879</v>
      </c>
      <c r="I56" t="s">
        <v>880</v>
      </c>
      <c r="J56" t="s">
        <v>878</v>
      </c>
    </row>
    <row r="57" spans="1:23" x14ac:dyDescent="0.3">
      <c r="G57" t="s">
        <v>947</v>
      </c>
      <c r="H57" t="s">
        <v>885</v>
      </c>
      <c r="I57" t="s">
        <v>877</v>
      </c>
      <c r="J57" t="s">
        <v>948</v>
      </c>
      <c r="K57">
        <f>2005-2002</f>
        <v>3</v>
      </c>
    </row>
    <row r="58" spans="1:23" x14ac:dyDescent="0.3">
      <c r="G58" t="s">
        <v>949</v>
      </c>
      <c r="H58" t="s">
        <v>881</v>
      </c>
      <c r="I58" t="s">
        <v>880</v>
      </c>
      <c r="J58" t="s">
        <v>878</v>
      </c>
    </row>
    <row r="59" spans="1:23" x14ac:dyDescent="0.3">
      <c r="G59" t="s">
        <v>950</v>
      </c>
      <c r="H59" t="s">
        <v>957</v>
      </c>
      <c r="I59" t="s">
        <v>877</v>
      </c>
      <c r="J59" t="s">
        <v>951</v>
      </c>
    </row>
    <row r="60" spans="1:23" x14ac:dyDescent="0.3">
      <c r="G60" t="s">
        <v>900</v>
      </c>
      <c r="H60" t="s">
        <v>881</v>
      </c>
      <c r="I60" t="s">
        <v>880</v>
      </c>
      <c r="J60" t="s">
        <v>905</v>
      </c>
      <c r="K60">
        <f>2021-2018</f>
        <v>3</v>
      </c>
      <c r="S60" s="41">
        <v>3408184249514.022</v>
      </c>
      <c r="T60" s="41">
        <v>3369867196751.6387</v>
      </c>
      <c r="U60" s="41">
        <v>3020298773333.8052</v>
      </c>
      <c r="V60" s="41">
        <v>3464032715683.4893</v>
      </c>
      <c r="W60" s="41">
        <v>4898049596020.6348</v>
      </c>
    </row>
    <row r="61" spans="1:23" x14ac:dyDescent="0.3">
      <c r="G61" t="s">
        <v>952</v>
      </c>
      <c r="H61" t="s">
        <v>958</v>
      </c>
      <c r="I61" t="s">
        <v>877</v>
      </c>
      <c r="J61" t="s">
        <v>953</v>
      </c>
      <c r="K61">
        <f>2016-2011</f>
        <v>5</v>
      </c>
      <c r="S61" s="41"/>
      <c r="T61" s="41"/>
      <c r="U61" s="41"/>
      <c r="V61" s="41"/>
      <c r="W61" s="41"/>
    </row>
    <row r="62" spans="1:23" x14ac:dyDescent="0.3">
      <c r="G62" t="s">
        <v>954</v>
      </c>
      <c r="H62" t="s">
        <v>876</v>
      </c>
      <c r="I62" t="s">
        <v>877</v>
      </c>
      <c r="J62" t="s">
        <v>955</v>
      </c>
      <c r="S62" s="41"/>
      <c r="T62" s="41"/>
      <c r="U62" s="41"/>
      <c r="V62" s="41"/>
      <c r="W62" s="41"/>
    </row>
    <row r="63" spans="1:23" x14ac:dyDescent="0.3">
      <c r="K63">
        <f>+SUM(K50:K62)-4</f>
        <v>14</v>
      </c>
      <c r="S63" s="41"/>
      <c r="T63" s="41"/>
      <c r="U63" s="41"/>
      <c r="V63" s="41"/>
      <c r="W63" s="41"/>
    </row>
    <row r="64" spans="1:23" x14ac:dyDescent="0.3">
      <c r="S64" s="41"/>
      <c r="T64" s="41"/>
      <c r="U64" s="41"/>
      <c r="V64" s="41"/>
      <c r="W64" s="41"/>
    </row>
    <row r="65" spans="1:28" x14ac:dyDescent="0.3">
      <c r="A65">
        <v>14</v>
      </c>
      <c r="B65" t="s">
        <v>959</v>
      </c>
      <c r="C65" t="s">
        <v>890</v>
      </c>
      <c r="D65" s="28">
        <v>68</v>
      </c>
      <c r="E65">
        <f>2021-1975</f>
        <v>46</v>
      </c>
      <c r="F65" t="s">
        <v>960</v>
      </c>
      <c r="G65" t="s">
        <v>900</v>
      </c>
      <c r="H65" t="s">
        <v>881</v>
      </c>
      <c r="I65" t="s">
        <v>880</v>
      </c>
      <c r="J65" t="s">
        <v>905</v>
      </c>
      <c r="K65">
        <f>2021-2018</f>
        <v>3</v>
      </c>
      <c r="S65" s="41"/>
      <c r="T65" s="41"/>
      <c r="U65" s="41"/>
      <c r="V65" s="41"/>
      <c r="W65" s="41"/>
    </row>
    <row r="66" spans="1:28" x14ac:dyDescent="0.3">
      <c r="K66">
        <f>+K65</f>
        <v>3</v>
      </c>
      <c r="S66" s="41"/>
      <c r="T66" s="41"/>
      <c r="U66" s="41"/>
      <c r="V66" s="41"/>
      <c r="W66" s="41"/>
    </row>
    <row r="67" spans="1:28" x14ac:dyDescent="0.3">
      <c r="S67" s="41"/>
      <c r="T67" s="41"/>
      <c r="U67" s="41"/>
      <c r="V67" s="41"/>
      <c r="W67" s="41"/>
    </row>
    <row r="68" spans="1:28" x14ac:dyDescent="0.3">
      <c r="S68" s="41"/>
      <c r="T68" s="41"/>
      <c r="U68" s="41"/>
      <c r="V68" s="41"/>
      <c r="W68" s="41"/>
    </row>
    <row r="69" spans="1:28" x14ac:dyDescent="0.3">
      <c r="S69" s="41"/>
      <c r="T69" s="41"/>
      <c r="U69" s="41"/>
      <c r="V69" s="41"/>
      <c r="W69" s="41"/>
    </row>
    <row r="70" spans="1:28" x14ac:dyDescent="0.3">
      <c r="B70" s="34" t="s">
        <v>893</v>
      </c>
      <c r="D70" s="35">
        <f>SUM(D4:D65)</f>
        <v>890</v>
      </c>
      <c r="E70" s="35">
        <f>SUM(E4:E65)</f>
        <v>564</v>
      </c>
      <c r="K70" s="35">
        <f>K42+K40+K38+K34+K30+K26+K22+K18+K14+K11+K8+K47+K63+K66</f>
        <v>53</v>
      </c>
      <c r="N70" s="42">
        <f t="shared" ref="N70:Q70" si="0">SUM(N4:N42)</f>
        <v>7.8320000000000009E-5</v>
      </c>
      <c r="O70" s="42">
        <f t="shared" si="0"/>
        <v>7.5970000000000006E-5</v>
      </c>
      <c r="P70" s="42">
        <f t="shared" si="0"/>
        <v>9.1670000000000008E-5</v>
      </c>
      <c r="Q70" s="42">
        <f t="shared" si="0"/>
        <v>8.4060000000000005E-5</v>
      </c>
      <c r="R70" s="42">
        <f>SUM(R4:R42)</f>
        <v>8.4060000000000005E-5</v>
      </c>
      <c r="S70" s="43">
        <f>S60*N70</f>
        <v>266928990.42193824</v>
      </c>
      <c r="T70" s="43">
        <f>T60*O70</f>
        <v>256008810.937222</v>
      </c>
      <c r="U70" s="43">
        <f>U60*P70</f>
        <v>276870788.55150992</v>
      </c>
      <c r="V70" s="43">
        <f>V60*Q70</f>
        <v>291186590.08035409</v>
      </c>
      <c r="W70" s="43">
        <f>W60*R70</f>
        <v>411730049.04149461</v>
      </c>
      <c r="X70" s="44">
        <v>352652000</v>
      </c>
      <c r="Y70" s="44">
        <v>321547000</v>
      </c>
      <c r="Z70" s="44">
        <v>426920000</v>
      </c>
      <c r="AA70" s="44">
        <v>397149000</v>
      </c>
      <c r="AB70" s="44">
        <v>420411000</v>
      </c>
    </row>
    <row r="71" spans="1:28" x14ac:dyDescent="0.3">
      <c r="B71" s="34" t="s">
        <v>894</v>
      </c>
      <c r="D71" s="45">
        <f>AVERAGE(D4:D65)</f>
        <v>63.571428571428569</v>
      </c>
      <c r="E71" s="45">
        <f>AVERAGE(E4:E65)</f>
        <v>40.285714285714285</v>
      </c>
      <c r="K71" s="45">
        <f>(K42+K40+K38+K34+K30+K26+K22+K18+K14+K11+K8+K47+K63+K66)/14</f>
        <v>3.7857142857142856</v>
      </c>
    </row>
    <row r="73" spans="1:28" x14ac:dyDescent="0.3">
      <c r="E73">
        <v>383</v>
      </c>
    </row>
    <row r="74" spans="1:28" x14ac:dyDescent="0.3">
      <c r="E74" s="41">
        <f>+E73/11</f>
        <v>34.81818181818182</v>
      </c>
    </row>
  </sheetData>
  <mergeCells count="4">
    <mergeCell ref="G2:J2"/>
    <mergeCell ref="N2:R2"/>
    <mergeCell ref="S2:W2"/>
    <mergeCell ref="X2:AB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for Prog</vt:lpstr>
      <vt:lpstr>Regional Corruption</vt:lpstr>
      <vt:lpstr>Sheet1</vt:lpstr>
      <vt:lpstr>Data validation</vt:lpstr>
      <vt:lpstr>Other Data</vt:lpstr>
      <vt:lpstr>G5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dc:creator>
  <cp:lastModifiedBy>MHM</cp:lastModifiedBy>
  <dcterms:created xsi:type="dcterms:W3CDTF">2015-06-05T18:17:20Z</dcterms:created>
  <dcterms:modified xsi:type="dcterms:W3CDTF">2021-05-24T11:30:55Z</dcterms:modified>
</cp:coreProperties>
</file>