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_C++\Processamento de Imagem\Teste\"/>
    </mc:Choice>
  </mc:AlternateContent>
  <bookViews>
    <workbookView xWindow="6510" yWindow="0" windowWidth="20490" windowHeight="7755" firstSheet="2" activeTab="8"/>
  </bookViews>
  <sheets>
    <sheet name="Testes Iniciais" sheetId="1" r:id="rId1"/>
    <sheet name="Testes Finais" sheetId="2" r:id="rId2"/>
    <sheet name="14-03-2014" sheetId="3" r:id="rId3"/>
    <sheet name="17-03-2014" sheetId="4" r:id="rId4"/>
    <sheet name="Padrao" sheetId="5" r:id="rId5"/>
    <sheet name="Scaner" sheetId="6" r:id="rId6"/>
    <sheet name="Scaner 2" sheetId="7" r:id="rId7"/>
    <sheet name="Fotos e Scanner 2" sheetId="8" r:id="rId8"/>
    <sheet name="Sheet1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7" l="1"/>
  <c r="H8" i="7" l="1"/>
  <c r="H9" i="7"/>
  <c r="H10" i="7"/>
  <c r="H11" i="7"/>
  <c r="H12" i="7"/>
  <c r="H13" i="7"/>
  <c r="H14" i="7"/>
  <c r="H15" i="7"/>
  <c r="H16" i="7"/>
  <c r="H17" i="7"/>
  <c r="H18" i="7"/>
  <c r="G18" i="7"/>
  <c r="G8" i="7"/>
  <c r="G9" i="7"/>
  <c r="G10" i="7"/>
  <c r="G11" i="7"/>
  <c r="G12" i="7"/>
  <c r="G13" i="7"/>
  <c r="G14" i="7"/>
  <c r="G15" i="7"/>
  <c r="G16" i="7"/>
  <c r="G17" i="7"/>
  <c r="G7" i="7"/>
  <c r="I17" i="7" l="1"/>
  <c r="I14" i="7"/>
  <c r="I11" i="7"/>
  <c r="I8" i="7"/>
  <c r="I29" i="6"/>
  <c r="I30" i="6"/>
  <c r="I31" i="6"/>
  <c r="I32" i="6"/>
  <c r="I33" i="6"/>
  <c r="I34" i="6"/>
  <c r="I35" i="6"/>
  <c r="I36" i="6"/>
  <c r="I37" i="6"/>
  <c r="I38" i="6"/>
  <c r="I39" i="6"/>
  <c r="I28" i="6"/>
  <c r="K29" i="6" s="1"/>
  <c r="K38" i="6"/>
  <c r="K35" i="6"/>
  <c r="K32" i="6"/>
  <c r="I12" i="6"/>
  <c r="I13" i="6"/>
  <c r="I14" i="6"/>
  <c r="I15" i="6"/>
  <c r="I16" i="6"/>
  <c r="I17" i="6"/>
  <c r="K18" i="6" s="1"/>
  <c r="I18" i="6"/>
  <c r="I19" i="6"/>
  <c r="I20" i="6"/>
  <c r="I21" i="6"/>
  <c r="I22" i="6"/>
  <c r="I11" i="6"/>
  <c r="K12" i="6"/>
  <c r="K15" i="6"/>
  <c r="K21" i="6"/>
  <c r="H20" i="4" l="1"/>
  <c r="R36" i="4" s="1"/>
  <c r="H11" i="4"/>
  <c r="H12" i="4"/>
  <c r="H13" i="4"/>
  <c r="H14" i="4"/>
  <c r="R30" i="4" s="1"/>
  <c r="H15" i="4"/>
  <c r="H16" i="4"/>
  <c r="H17" i="4"/>
  <c r="R33" i="4" s="1"/>
  <c r="H18" i="4"/>
  <c r="R34" i="4" s="1"/>
  <c r="H19" i="4"/>
  <c r="H21" i="4"/>
  <c r="R37" i="4" s="1"/>
  <c r="H10" i="4"/>
  <c r="R26" i="4" s="1"/>
  <c r="R28" i="4"/>
  <c r="R32" i="4"/>
  <c r="R27" i="4"/>
  <c r="R29" i="4"/>
  <c r="R31" i="4"/>
  <c r="R35" i="4"/>
  <c r="I53" i="4"/>
  <c r="J53" i="4"/>
  <c r="J52" i="4"/>
  <c r="I52" i="4"/>
  <c r="J41" i="4"/>
  <c r="J42" i="4"/>
  <c r="J43" i="4"/>
  <c r="J44" i="4"/>
  <c r="J45" i="4"/>
  <c r="J46" i="4"/>
  <c r="J47" i="4"/>
  <c r="J48" i="4"/>
  <c r="J49" i="4"/>
  <c r="J50" i="4"/>
  <c r="J51" i="4"/>
  <c r="I41" i="4"/>
  <c r="I42" i="4"/>
  <c r="I43" i="4"/>
  <c r="I44" i="4"/>
  <c r="I45" i="4"/>
  <c r="I46" i="4"/>
  <c r="I47" i="4"/>
  <c r="I48" i="4"/>
  <c r="I49" i="4"/>
  <c r="I50" i="4"/>
  <c r="I51" i="4"/>
  <c r="J40" i="4"/>
  <c r="I40" i="4"/>
  <c r="S35" i="4" l="1"/>
  <c r="L49" i="4" s="1"/>
  <c r="S36" i="4"/>
  <c r="L50" i="4" s="1"/>
  <c r="S33" i="4"/>
  <c r="L47" i="4" s="1"/>
  <c r="S34" i="4"/>
  <c r="L48" i="4" s="1"/>
  <c r="S37" i="4"/>
  <c r="L51" i="4" s="1"/>
  <c r="S31" i="4"/>
  <c r="L45" i="4" s="1"/>
  <c r="S28" i="4"/>
  <c r="L42" i="4" s="1"/>
  <c r="M51" i="4"/>
  <c r="M50" i="4"/>
  <c r="M49" i="4"/>
  <c r="M48" i="4"/>
  <c r="M47" i="4"/>
  <c r="M46" i="4"/>
  <c r="M45" i="4"/>
  <c r="M44" i="4"/>
  <c r="M43" i="4"/>
  <c r="S29" i="4"/>
  <c r="L43" i="4" s="1"/>
  <c r="M42" i="4"/>
  <c r="M41" i="4"/>
  <c r="S27" i="4"/>
  <c r="L41" i="4" s="1"/>
  <c r="M40" i="4"/>
  <c r="S26" i="4"/>
  <c r="L40" i="4" s="1"/>
  <c r="I55" i="4" l="1"/>
  <c r="J20" i="4"/>
  <c r="J17" i="4"/>
  <c r="S32" i="4"/>
  <c r="L46" i="4" s="1"/>
  <c r="J14" i="4"/>
  <c r="J11" i="4"/>
  <c r="M52" i="4"/>
  <c r="M53" i="4" s="1"/>
  <c r="M54" i="4" s="1"/>
  <c r="S30" i="4"/>
  <c r="L44" i="4" s="1"/>
  <c r="L52" i="4" s="1"/>
  <c r="L55" i="3"/>
  <c r="M55" i="3"/>
  <c r="J55" i="3"/>
  <c r="I55" i="3"/>
  <c r="I54" i="3"/>
  <c r="J54" i="3"/>
  <c r="M54" i="3"/>
  <c r="L54" i="3"/>
  <c r="J53" i="3"/>
  <c r="J52" i="3"/>
  <c r="I53" i="3"/>
  <c r="I52" i="3"/>
  <c r="M52" i="3"/>
  <c r="L52" i="3"/>
  <c r="M53" i="3"/>
  <c r="L53" i="3"/>
  <c r="J41" i="3"/>
  <c r="J42" i="3"/>
  <c r="J43" i="3"/>
  <c r="J44" i="3"/>
  <c r="J45" i="3"/>
  <c r="J46" i="3"/>
  <c r="J47" i="3"/>
  <c r="J48" i="3"/>
  <c r="J49" i="3"/>
  <c r="J50" i="3"/>
  <c r="J51" i="3"/>
  <c r="J40" i="3"/>
  <c r="I41" i="3"/>
  <c r="I42" i="3"/>
  <c r="I43" i="3"/>
  <c r="I44" i="3"/>
  <c r="I45" i="3"/>
  <c r="I46" i="3"/>
  <c r="I47" i="3"/>
  <c r="I48" i="3"/>
  <c r="I49" i="3"/>
  <c r="I50" i="3"/>
  <c r="I51" i="3"/>
  <c r="I40" i="3"/>
  <c r="M41" i="3"/>
  <c r="M42" i="3"/>
  <c r="M43" i="3"/>
  <c r="M44" i="3"/>
  <c r="M45" i="3"/>
  <c r="M46" i="3"/>
  <c r="M47" i="3"/>
  <c r="M48" i="3"/>
  <c r="M49" i="3"/>
  <c r="M50" i="3"/>
  <c r="M51" i="3"/>
  <c r="M40" i="3"/>
  <c r="L41" i="3"/>
  <c r="L42" i="3"/>
  <c r="L43" i="3"/>
  <c r="L44" i="3"/>
  <c r="L45" i="3"/>
  <c r="L46" i="3"/>
  <c r="L47" i="3"/>
  <c r="L48" i="3"/>
  <c r="L49" i="3"/>
  <c r="L50" i="3"/>
  <c r="L51" i="3"/>
  <c r="L40" i="3"/>
  <c r="P55" i="2"/>
  <c r="R65" i="2"/>
  <c r="R66" i="2"/>
  <c r="R64" i="2"/>
  <c r="R62" i="2"/>
  <c r="R63" i="2"/>
  <c r="R61" i="2"/>
  <c r="R59" i="2"/>
  <c r="R60" i="2"/>
  <c r="R58" i="2"/>
  <c r="R56" i="2"/>
  <c r="R57" i="2"/>
  <c r="R55" i="2"/>
  <c r="O56" i="2"/>
  <c r="O57" i="2"/>
  <c r="N55" i="2"/>
  <c r="O55" i="2" s="1"/>
  <c r="O66" i="2"/>
  <c r="O65" i="2"/>
  <c r="O64" i="2"/>
  <c r="O63" i="2"/>
  <c r="O62" i="2"/>
  <c r="O61" i="2"/>
  <c r="O60" i="2"/>
  <c r="O59" i="2"/>
  <c r="O58" i="2"/>
  <c r="U37" i="3"/>
  <c r="U36" i="3"/>
  <c r="U35" i="3"/>
  <c r="U34" i="3"/>
  <c r="U33" i="3"/>
  <c r="U32" i="3"/>
  <c r="U31" i="3"/>
  <c r="U30" i="3"/>
  <c r="U29" i="3"/>
  <c r="U28" i="3"/>
  <c r="U27" i="3"/>
  <c r="U26" i="3"/>
  <c r="S36" i="3"/>
  <c r="S37" i="3"/>
  <c r="S35" i="3"/>
  <c r="S33" i="3"/>
  <c r="S34" i="3"/>
  <c r="S32" i="3"/>
  <c r="S30" i="3"/>
  <c r="S31" i="3"/>
  <c r="S29" i="3"/>
  <c r="S27" i="3"/>
  <c r="S28" i="3"/>
  <c r="S26" i="3"/>
  <c r="T27" i="3"/>
  <c r="T28" i="3"/>
  <c r="T29" i="3"/>
  <c r="T30" i="3"/>
  <c r="T31" i="3"/>
  <c r="T32" i="3"/>
  <c r="T33" i="3"/>
  <c r="T34" i="3"/>
  <c r="T35" i="3"/>
  <c r="T36" i="3"/>
  <c r="T37" i="3"/>
  <c r="T26" i="3"/>
  <c r="R26" i="3"/>
  <c r="R37" i="3"/>
  <c r="R31" i="3"/>
  <c r="R28" i="3"/>
  <c r="R27" i="3"/>
  <c r="R29" i="3"/>
  <c r="R30" i="3"/>
  <c r="R32" i="3"/>
  <c r="R33" i="3"/>
  <c r="R34" i="3"/>
  <c r="R35" i="3"/>
  <c r="R36" i="3"/>
  <c r="S20" i="3"/>
  <c r="S17" i="3"/>
  <c r="S14" i="3"/>
  <c r="S11" i="3"/>
  <c r="J14" i="3"/>
  <c r="J20" i="3"/>
  <c r="Q21" i="3"/>
  <c r="H21" i="3"/>
  <c r="Q20" i="3"/>
  <c r="H20" i="3"/>
  <c r="Q19" i="3"/>
  <c r="H19" i="3"/>
  <c r="Q18" i="3"/>
  <c r="H18" i="3"/>
  <c r="Q17" i="3"/>
  <c r="H17" i="3"/>
  <c r="Q16" i="3"/>
  <c r="H16" i="3"/>
  <c r="Q15" i="3"/>
  <c r="H15" i="3"/>
  <c r="Q14" i="3"/>
  <c r="H14" i="3"/>
  <c r="Q13" i="3"/>
  <c r="H13" i="3"/>
  <c r="Q12" i="3"/>
  <c r="H12" i="3"/>
  <c r="Q11" i="3"/>
  <c r="H11" i="3"/>
  <c r="Q10" i="3"/>
  <c r="H10" i="3"/>
  <c r="J55" i="4" l="1"/>
  <c r="I54" i="4"/>
  <c r="L53" i="4"/>
  <c r="J54" i="4"/>
  <c r="M55" i="4"/>
  <c r="T20" i="3"/>
  <c r="J17" i="3"/>
  <c r="T14" i="3"/>
  <c r="T11" i="3"/>
  <c r="J11" i="3"/>
  <c r="T17" i="3"/>
  <c r="Q6" i="2"/>
  <c r="Q7" i="2"/>
  <c r="Q8" i="2"/>
  <c r="Q9" i="2"/>
  <c r="Q10" i="2"/>
  <c r="Q11" i="2"/>
  <c r="Q12" i="2"/>
  <c r="Q13" i="2"/>
  <c r="Q14" i="2"/>
  <c r="Q15" i="2"/>
  <c r="Q16" i="2"/>
  <c r="Q17" i="2"/>
  <c r="S16" i="2"/>
  <c r="S13" i="2"/>
  <c r="S10" i="2"/>
  <c r="S7" i="2"/>
  <c r="U23" i="2"/>
  <c r="U22" i="2"/>
  <c r="U7" i="2"/>
  <c r="U8" i="2"/>
  <c r="U9" i="2"/>
  <c r="U10" i="2"/>
  <c r="U11" i="2"/>
  <c r="U12" i="2"/>
  <c r="U13" i="2"/>
  <c r="U14" i="2"/>
  <c r="U15" i="2"/>
  <c r="U16" i="2"/>
  <c r="U17" i="2"/>
  <c r="T7" i="2"/>
  <c r="T8" i="2"/>
  <c r="T9" i="2"/>
  <c r="T10" i="2"/>
  <c r="T11" i="2"/>
  <c r="T12" i="2"/>
  <c r="T13" i="2"/>
  <c r="T14" i="2"/>
  <c r="T15" i="2"/>
  <c r="T16" i="2"/>
  <c r="T17" i="2"/>
  <c r="U6" i="2"/>
  <c r="T6" i="2"/>
  <c r="T56" i="2"/>
  <c r="Q39" i="2"/>
  <c r="V59" i="2" s="1"/>
  <c r="Q40" i="2"/>
  <c r="V60" i="2" s="1"/>
  <c r="Q41" i="2"/>
  <c r="V61" i="2" s="1"/>
  <c r="Q42" i="2"/>
  <c r="V62" i="2" s="1"/>
  <c r="Q43" i="2"/>
  <c r="V63" i="2" s="1"/>
  <c r="Q44" i="2"/>
  <c r="V64" i="2" s="1"/>
  <c r="Q45" i="2"/>
  <c r="V65" i="2" s="1"/>
  <c r="Q46" i="2"/>
  <c r="S79" i="2" s="1"/>
  <c r="Q47" i="2"/>
  <c r="V67" i="2" s="1"/>
  <c r="Q48" i="2"/>
  <c r="S48" i="2" s="1"/>
  <c r="Q49" i="2"/>
  <c r="V69" i="2" s="1"/>
  <c r="Q38" i="2"/>
  <c r="S39" i="2" s="1"/>
  <c r="H39" i="2"/>
  <c r="T72" i="2" s="1"/>
  <c r="H40" i="2"/>
  <c r="T73" i="2" s="1"/>
  <c r="H41" i="2"/>
  <c r="T74" i="2" s="1"/>
  <c r="H42" i="2"/>
  <c r="Q75" i="2" s="1"/>
  <c r="H43" i="2"/>
  <c r="T76" i="2" s="1"/>
  <c r="H44" i="2"/>
  <c r="T77" i="2" s="1"/>
  <c r="H45" i="2"/>
  <c r="T78" i="2" s="1"/>
  <c r="H46" i="2"/>
  <c r="T79" i="2" s="1"/>
  <c r="H47" i="2"/>
  <c r="T80" i="2" s="1"/>
  <c r="H48" i="2"/>
  <c r="J48" i="2" s="1"/>
  <c r="H49" i="2"/>
  <c r="T82" i="2" s="1"/>
  <c r="H38" i="2"/>
  <c r="T71" i="2" s="1"/>
  <c r="P23" i="2"/>
  <c r="V43" i="2" s="1"/>
  <c r="P24" i="2"/>
  <c r="V44" i="2" s="1"/>
  <c r="P25" i="2"/>
  <c r="V45" i="2" s="1"/>
  <c r="P26" i="2"/>
  <c r="P27" i="2"/>
  <c r="V47" i="2" s="1"/>
  <c r="P28" i="2"/>
  <c r="V48" i="2" s="1"/>
  <c r="P29" i="2"/>
  <c r="V49" i="2" s="1"/>
  <c r="P30" i="2"/>
  <c r="V50" i="2" s="1"/>
  <c r="P31" i="2"/>
  <c r="V51" i="2" s="1"/>
  <c r="P32" i="2"/>
  <c r="V52" i="2" s="1"/>
  <c r="P33" i="2"/>
  <c r="V53" i="2" s="1"/>
  <c r="P22" i="2"/>
  <c r="R23" i="2" s="1"/>
  <c r="P7" i="2"/>
  <c r="Q56" i="2" s="1"/>
  <c r="P8" i="2"/>
  <c r="T57" i="2" s="1"/>
  <c r="P9" i="2"/>
  <c r="T58" i="2" s="1"/>
  <c r="P10" i="2"/>
  <c r="P11" i="2"/>
  <c r="Q60" i="2" s="1"/>
  <c r="P12" i="2"/>
  <c r="T61" i="2" s="1"/>
  <c r="P13" i="2"/>
  <c r="T62" i="2" s="1"/>
  <c r="P14" i="2"/>
  <c r="P15" i="2"/>
  <c r="Q64" i="2" s="1"/>
  <c r="P16" i="2"/>
  <c r="T65" i="2" s="1"/>
  <c r="P17" i="2"/>
  <c r="T66" i="2" s="1"/>
  <c r="P6" i="2"/>
  <c r="L55" i="4" l="1"/>
  <c r="L54" i="4"/>
  <c r="V24" i="2"/>
  <c r="U24" i="2"/>
  <c r="T64" i="2"/>
  <c r="R26" i="2"/>
  <c r="T60" i="2"/>
  <c r="R7" i="2"/>
  <c r="J39" i="2"/>
  <c r="Q22" i="2"/>
  <c r="Q26" i="2"/>
  <c r="N59" i="2"/>
  <c r="P63" i="2"/>
  <c r="Q63" i="2"/>
  <c r="S63" i="2"/>
  <c r="T55" i="2"/>
  <c r="V46" i="2"/>
  <c r="N75" i="2"/>
  <c r="Q71" i="2"/>
  <c r="S71" i="2"/>
  <c r="S75" i="2"/>
  <c r="T75" i="2"/>
  <c r="V66" i="2"/>
  <c r="R10" i="2"/>
  <c r="R29" i="2"/>
  <c r="S26" i="2"/>
  <c r="J42" i="2"/>
  <c r="S42" i="2"/>
  <c r="T42" i="2"/>
  <c r="Q33" i="2"/>
  <c r="Q29" i="2"/>
  <c r="Q25" i="2"/>
  <c r="N66" i="2"/>
  <c r="N62" i="2"/>
  <c r="N58" i="2"/>
  <c r="P66" i="2"/>
  <c r="P62" i="2"/>
  <c r="P58" i="2"/>
  <c r="Q66" i="2"/>
  <c r="Q62" i="2"/>
  <c r="Q58" i="2"/>
  <c r="S66" i="2"/>
  <c r="S62" i="2"/>
  <c r="S58" i="2"/>
  <c r="V42" i="2"/>
  <c r="T63" i="2"/>
  <c r="T59" i="2"/>
  <c r="N82" i="2"/>
  <c r="N78" i="2"/>
  <c r="N74" i="2"/>
  <c r="P82" i="2"/>
  <c r="P78" i="2"/>
  <c r="P74" i="2"/>
  <c r="Q82" i="2"/>
  <c r="Q78" i="2"/>
  <c r="Q74" i="2"/>
  <c r="S82" i="2"/>
  <c r="S78" i="2"/>
  <c r="S74" i="2"/>
  <c r="S23" i="2"/>
  <c r="T39" i="2"/>
  <c r="Q30" i="2"/>
  <c r="N63" i="2"/>
  <c r="P59" i="2"/>
  <c r="S55" i="2"/>
  <c r="S59" i="2"/>
  <c r="N71" i="2"/>
  <c r="P71" i="2"/>
  <c r="P75" i="2"/>
  <c r="V58" i="2"/>
  <c r="R13" i="2"/>
  <c r="R32" i="2"/>
  <c r="S29" i="2"/>
  <c r="J45" i="2"/>
  <c r="S45" i="2"/>
  <c r="T45" i="2"/>
  <c r="Q32" i="2"/>
  <c r="Q28" i="2"/>
  <c r="Q24" i="2"/>
  <c r="N65" i="2"/>
  <c r="N61" i="2"/>
  <c r="N57" i="2"/>
  <c r="P65" i="2"/>
  <c r="P61" i="2"/>
  <c r="P57" i="2"/>
  <c r="Q65" i="2"/>
  <c r="Q61" i="2"/>
  <c r="Q57" i="2"/>
  <c r="S65" i="2"/>
  <c r="S61" i="2"/>
  <c r="S57" i="2"/>
  <c r="N81" i="2"/>
  <c r="N77" i="2"/>
  <c r="N73" i="2"/>
  <c r="P81" i="2"/>
  <c r="P77" i="2"/>
  <c r="P73" i="2"/>
  <c r="Q81" i="2"/>
  <c r="Q77" i="2"/>
  <c r="Q73" i="2"/>
  <c r="S81" i="2"/>
  <c r="S77" i="2"/>
  <c r="S73" i="2"/>
  <c r="T81" i="2"/>
  <c r="V68" i="2"/>
  <c r="Q55" i="2"/>
  <c r="Q59" i="2"/>
  <c r="N79" i="2"/>
  <c r="P79" i="2"/>
  <c r="Q79" i="2"/>
  <c r="R16" i="2"/>
  <c r="S32" i="2"/>
  <c r="T48" i="2"/>
  <c r="Q31" i="2"/>
  <c r="Q27" i="2"/>
  <c r="Q23" i="2"/>
  <c r="N64" i="2"/>
  <c r="N60" i="2"/>
  <c r="N56" i="2"/>
  <c r="P64" i="2"/>
  <c r="P60" i="2"/>
  <c r="P56" i="2"/>
  <c r="S64" i="2"/>
  <c r="S60" i="2"/>
  <c r="S56" i="2"/>
  <c r="N80" i="2"/>
  <c r="N76" i="2"/>
  <c r="N72" i="2"/>
  <c r="P80" i="2"/>
  <c r="P76" i="2"/>
  <c r="P72" i="2"/>
  <c r="Q80" i="2"/>
  <c r="Q76" i="2"/>
  <c r="Q72" i="2"/>
  <c r="S80" i="2"/>
  <c r="S76" i="2"/>
  <c r="S72" i="2"/>
  <c r="D47" i="1"/>
  <c r="E47" i="1"/>
  <c r="F47" i="1"/>
  <c r="C47" i="1"/>
  <c r="D46" i="1"/>
  <c r="E46" i="1"/>
  <c r="F46" i="1"/>
  <c r="C46" i="1"/>
  <c r="C45" i="1"/>
  <c r="F45" i="1"/>
  <c r="E45" i="1"/>
  <c r="D45" i="1"/>
  <c r="F44" i="1"/>
  <c r="E44" i="1"/>
  <c r="D44" i="1"/>
  <c r="C44" i="1"/>
  <c r="V92" i="1" l="1"/>
  <c r="U60" i="1" s="1"/>
  <c r="V91" i="1"/>
  <c r="U59" i="1" s="1"/>
  <c r="V90" i="1"/>
  <c r="U58" i="1" s="1"/>
  <c r="V89" i="1"/>
  <c r="T60" i="1" s="1"/>
  <c r="V88" i="1"/>
  <c r="T59" i="1" s="1"/>
  <c r="V87" i="1"/>
  <c r="T58" i="1" s="1"/>
  <c r="V86" i="1"/>
  <c r="S60" i="1" s="1"/>
  <c r="V85" i="1"/>
  <c r="S59" i="1" s="1"/>
  <c r="V84" i="1"/>
  <c r="S58" i="1" s="1"/>
  <c r="V83" i="1"/>
  <c r="R60" i="1" s="1"/>
  <c r="V82" i="1"/>
  <c r="R59" i="1" s="1"/>
  <c r="V81" i="1"/>
  <c r="R58" i="1" s="1"/>
  <c r="V66" i="1"/>
  <c r="R56" i="1" s="1"/>
  <c r="V67" i="1"/>
  <c r="R57" i="1" s="1"/>
  <c r="V68" i="1"/>
  <c r="S55" i="1" s="1"/>
  <c r="V69" i="1"/>
  <c r="S56" i="1" s="1"/>
  <c r="V70" i="1"/>
  <c r="S57" i="1" s="1"/>
  <c r="V71" i="1"/>
  <c r="T55" i="1" s="1"/>
  <c r="V72" i="1"/>
  <c r="T56" i="1" s="1"/>
  <c r="V73" i="1"/>
  <c r="T57" i="1" s="1"/>
  <c r="V74" i="1"/>
  <c r="U55" i="1" s="1"/>
  <c r="V75" i="1"/>
  <c r="U56" i="1" s="1"/>
  <c r="V76" i="1"/>
  <c r="U57" i="1" s="1"/>
  <c r="V65" i="1"/>
  <c r="R55" i="1" s="1"/>
  <c r="F9" i="1"/>
  <c r="S54" i="1" s="1"/>
  <c r="F10" i="1"/>
  <c r="T54" i="1" s="1"/>
  <c r="F11" i="1"/>
  <c r="U54" i="1" s="1"/>
  <c r="F8" i="1"/>
  <c r="R54" i="1" s="1"/>
  <c r="T46" i="1"/>
  <c r="U46" i="1"/>
  <c r="S46" i="1"/>
  <c r="T44" i="1"/>
  <c r="U44" i="1"/>
  <c r="S44" i="1"/>
  <c r="Q49" i="1"/>
  <c r="Q50" i="1" s="1"/>
  <c r="R49" i="1"/>
  <c r="R50" i="1" s="1"/>
  <c r="P49" i="1"/>
  <c r="P50" i="1" s="1"/>
  <c r="U48" i="1" l="1"/>
  <c r="T48" i="1"/>
  <c r="S48" i="1"/>
  <c r="E50" i="1"/>
  <c r="E51" i="1"/>
  <c r="E52" i="1"/>
  <c r="E49" i="1"/>
  <c r="C50" i="1" l="1"/>
  <c r="C51" i="1"/>
  <c r="C52" i="1"/>
  <c r="C49" i="1"/>
  <c r="G31" i="1" l="1"/>
  <c r="G32" i="1"/>
  <c r="G33" i="1"/>
  <c r="G30" i="1"/>
  <c r="P30" i="1" s="1"/>
  <c r="N31" i="1"/>
  <c r="N32" i="1"/>
  <c r="N30" i="1"/>
  <c r="O31" i="1"/>
  <c r="O32" i="1"/>
  <c r="O37" i="1"/>
  <c r="O38" i="1"/>
  <c r="O39" i="1"/>
  <c r="O30" i="1"/>
  <c r="H37" i="1"/>
  <c r="H38" i="1"/>
  <c r="H39" i="1"/>
  <c r="H40" i="1"/>
  <c r="H31" i="1"/>
  <c r="H32" i="1"/>
  <c r="H33" i="1"/>
  <c r="H30" i="1"/>
  <c r="N37" i="1"/>
  <c r="N38" i="1"/>
  <c r="N39" i="1"/>
  <c r="G37" i="1"/>
  <c r="G38" i="1"/>
  <c r="G39" i="1"/>
  <c r="G40" i="1"/>
  <c r="M9" i="1"/>
  <c r="N9" i="1" s="1"/>
  <c r="M10" i="1"/>
  <c r="N10" i="1" s="1"/>
  <c r="M8" i="1"/>
  <c r="N8" i="1" s="1"/>
  <c r="C17" i="1"/>
  <c r="C18" i="1"/>
  <c r="C19" i="1"/>
  <c r="C16" i="1"/>
  <c r="C21" i="1" s="1"/>
  <c r="P32" i="1" l="1"/>
  <c r="P31" i="1"/>
  <c r="C22" i="1"/>
  <c r="C23" i="1"/>
</calcChain>
</file>

<file path=xl/sharedStrings.xml><?xml version="1.0" encoding="utf-8"?>
<sst xmlns="http://schemas.openxmlformats.org/spreadsheetml/2006/main" count="359" uniqueCount="131">
  <si>
    <t>Teste</t>
  </si>
  <si>
    <t>Sat</t>
  </si>
  <si>
    <t>Desvio</t>
  </si>
  <si>
    <t>Controle</t>
  </si>
  <si>
    <t>Val</t>
  </si>
  <si>
    <t>Hue</t>
  </si>
  <si>
    <t>Teste 1</t>
  </si>
  <si>
    <t>Teste 2</t>
  </si>
  <si>
    <t>Teste 3</t>
  </si>
  <si>
    <t>Resultado</t>
  </si>
  <si>
    <t>Value</t>
  </si>
  <si>
    <t>2 mg</t>
  </si>
  <si>
    <t>4 mg</t>
  </si>
  <si>
    <t>7 mg</t>
  </si>
  <si>
    <t>15 mg</t>
  </si>
  <si>
    <t>Calculos</t>
  </si>
  <si>
    <t>1 etapa</t>
  </si>
  <si>
    <t>Conc.</t>
  </si>
  <si>
    <t>Saturation</t>
  </si>
  <si>
    <t>Medias</t>
  </si>
  <si>
    <t>Teste Auto-busca</t>
  </si>
  <si>
    <t>Teste Busca Manual</t>
  </si>
  <si>
    <t>Teste Auto-Busca</t>
  </si>
  <si>
    <t>Gray</t>
  </si>
  <si>
    <t>Medias Inteiras</t>
  </si>
  <si>
    <t>11.935x - 6.7718</t>
  </si>
  <si>
    <t>Fromula Auto</t>
  </si>
  <si>
    <t>Formula Manual Int</t>
  </si>
  <si>
    <t>Formula Manual Med</t>
  </si>
  <si>
    <t>Auto</t>
  </si>
  <si>
    <t>Man</t>
  </si>
  <si>
    <t>12.357x - 7.4072</t>
  </si>
  <si>
    <t>10.774x - 5.7721</t>
  </si>
  <si>
    <t>Concentracoes SATURATION</t>
  </si>
  <si>
    <t>201.89x - 195.59</t>
  </si>
  <si>
    <t>163.89x - 157.98</t>
  </si>
  <si>
    <t>187.74x - 182.33</t>
  </si>
  <si>
    <t>Val CV</t>
  </si>
  <si>
    <t>Older Tests</t>
  </si>
  <si>
    <t>New Tests</t>
  </si>
  <si>
    <t>STDEV</t>
  </si>
  <si>
    <t>AVG</t>
  </si>
  <si>
    <t>CV</t>
  </si>
  <si>
    <t>95.6% de chance do erro estar abaixo desse valor</t>
  </si>
  <si>
    <t>Erro</t>
  </si>
  <si>
    <t>Teste Auto-Busca imagens normais</t>
  </si>
  <si>
    <t>Utilizado na proxima tabela</t>
  </si>
  <si>
    <t>Scanner</t>
  </si>
  <si>
    <t>Mean</t>
  </si>
  <si>
    <t>Stddv</t>
  </si>
  <si>
    <t>7mg0</t>
  </si>
  <si>
    <t>7mg1</t>
  </si>
  <si>
    <t>7mg2</t>
  </si>
  <si>
    <t>7mg3</t>
  </si>
  <si>
    <t>7mg4</t>
  </si>
  <si>
    <t>7mg5</t>
  </si>
  <si>
    <t>7mg6</t>
  </si>
  <si>
    <t>7mg7</t>
  </si>
  <si>
    <t>7mg8</t>
  </si>
  <si>
    <t>7mg9</t>
  </si>
  <si>
    <t>7mg10</t>
  </si>
  <si>
    <t>7mg11</t>
  </si>
  <si>
    <t>7mg12</t>
  </si>
  <si>
    <t>7mg13</t>
  </si>
  <si>
    <t>7mg14</t>
  </si>
  <si>
    <t>7mg15</t>
  </si>
  <si>
    <t>7mg16</t>
  </si>
  <si>
    <t>7mg17</t>
  </si>
  <si>
    <t>7mg18</t>
  </si>
  <si>
    <t>7mg19</t>
  </si>
  <si>
    <t>7mg20</t>
  </si>
  <si>
    <t>7mg21</t>
  </si>
  <si>
    <t>7mg22</t>
  </si>
  <si>
    <t>7mg23</t>
  </si>
  <si>
    <t>7mg24</t>
  </si>
  <si>
    <t>7mg25</t>
  </si>
  <si>
    <t>7mg26</t>
  </si>
  <si>
    <t>7mg27</t>
  </si>
  <si>
    <t>7mg28</t>
  </si>
  <si>
    <t>7mg29</t>
  </si>
  <si>
    <t>7mg30</t>
  </si>
  <si>
    <t>7mg31</t>
  </si>
  <si>
    <t>7mg32</t>
  </si>
  <si>
    <t>7mg33</t>
  </si>
  <si>
    <t>7mg34</t>
  </si>
  <si>
    <t>7mg35</t>
  </si>
  <si>
    <t>7mg36</t>
  </si>
  <si>
    <t>7mg37</t>
  </si>
  <si>
    <t>7mg38</t>
  </si>
  <si>
    <t>7mg39</t>
  </si>
  <si>
    <t>7mg40</t>
  </si>
  <si>
    <t>7mg41</t>
  </si>
  <si>
    <t>7mg42</t>
  </si>
  <si>
    <t>7mg43</t>
  </si>
  <si>
    <t>7mg44</t>
  </si>
  <si>
    <t>7mg45</t>
  </si>
  <si>
    <t>7mg46</t>
  </si>
  <si>
    <t>7mg47</t>
  </si>
  <si>
    <t>7mg48</t>
  </si>
  <si>
    <t>7mg49</t>
  </si>
  <si>
    <t>7mg50</t>
  </si>
  <si>
    <t>7mg51</t>
  </si>
  <si>
    <t>7mg52</t>
  </si>
  <si>
    <t>7mg53</t>
  </si>
  <si>
    <t>7mg54</t>
  </si>
  <si>
    <t>7mg55</t>
  </si>
  <si>
    <t>7mg56</t>
  </si>
  <si>
    <t>7mg57</t>
  </si>
  <si>
    <t>7mg58</t>
  </si>
  <si>
    <t>7mg59</t>
  </si>
  <si>
    <t>7mg60</t>
  </si>
  <si>
    <t>7mg61</t>
  </si>
  <si>
    <t>7mg62</t>
  </si>
  <si>
    <t>7mg63</t>
  </si>
  <si>
    <t>7mg64</t>
  </si>
  <si>
    <t>7mg65</t>
  </si>
  <si>
    <t>7mg66</t>
  </si>
  <si>
    <t>7mg67</t>
  </si>
  <si>
    <t>7mg68</t>
  </si>
  <si>
    <t>7mg69</t>
  </si>
  <si>
    <t>7mg70</t>
  </si>
  <si>
    <t>7mg71</t>
  </si>
  <si>
    <t>7mg72</t>
  </si>
  <si>
    <t>7mg73</t>
  </si>
  <si>
    <t>7mg74</t>
  </si>
  <si>
    <t>7mg75</t>
  </si>
  <si>
    <t>7mg76</t>
  </si>
  <si>
    <t>7mg77</t>
  </si>
  <si>
    <t>7mg78</t>
  </si>
  <si>
    <t>Meio</t>
  </si>
  <si>
    <t>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</si>
</sst>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%"/>
    <numFmt numFmtId="165" formatCode="_-* #,##0.0000_-;\-* #,##0.0000_-;_-* &quot;-&quot;??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DF7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/>
    <xf numFmtId="9" fontId="0" fillId="0" borderId="1" xfId="2" applyFont="1" applyBorder="1"/>
    <xf numFmtId="9" fontId="0" fillId="0" borderId="0" xfId="2" applyFont="1"/>
    <xf numFmtId="43" fontId="0" fillId="0" borderId="0" xfId="1" applyFo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/>
    <xf numFmtId="0" fontId="0" fillId="2" borderId="0" xfId="0" applyFill="1"/>
    <xf numFmtId="0" fontId="0" fillId="8" borderId="1" xfId="0" applyFill="1" applyBorder="1"/>
    <xf numFmtId="0" fontId="0" fillId="6" borderId="1" xfId="0" applyFill="1" applyBorder="1"/>
    <xf numFmtId="0" fontId="2" fillId="2" borderId="1" xfId="0" applyFont="1" applyFill="1" applyBorder="1"/>
    <xf numFmtId="0" fontId="0" fillId="9" borderId="0" xfId="0" applyFill="1"/>
    <xf numFmtId="0" fontId="0" fillId="6" borderId="0" xfId="0" applyFill="1"/>
    <xf numFmtId="9" fontId="0" fillId="9" borderId="1" xfId="2" applyFont="1" applyFill="1" applyBorder="1"/>
    <xf numFmtId="10" fontId="0" fillId="0" borderId="0" xfId="2" applyNumberFormat="1" applyFont="1"/>
    <xf numFmtId="164" fontId="0" fillId="0" borderId="0" xfId="2" applyNumberFormat="1" applyFont="1"/>
    <xf numFmtId="0" fontId="0" fillId="10" borderId="1" xfId="0" applyFill="1" applyBorder="1" applyAlignment="1">
      <alignment horizontal="center" vertical="center"/>
    </xf>
    <xf numFmtId="165" fontId="0" fillId="0" borderId="0" xfId="1" applyNumberFormat="1" applyFont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ont="1" applyFill="1" applyBorder="1"/>
    <xf numFmtId="0" fontId="0" fillId="2" borderId="1" xfId="0" applyFont="1" applyFill="1" applyBorder="1"/>
    <xf numFmtId="166" fontId="0" fillId="11" borderId="1" xfId="0" applyNumberFormat="1" applyFill="1" applyBorder="1"/>
    <xf numFmtId="166" fontId="0" fillId="0" borderId="0" xfId="0" applyNumberFormat="1"/>
    <xf numFmtId="166" fontId="0" fillId="0" borderId="1" xfId="0" applyNumberFormat="1" applyFill="1" applyBorder="1"/>
    <xf numFmtId="166" fontId="0" fillId="0" borderId="3" xfId="0" applyNumberFormat="1" applyFill="1" applyBorder="1"/>
    <xf numFmtId="166" fontId="0" fillId="0" borderId="1" xfId="0" applyNumberFormat="1" applyBorder="1"/>
    <xf numFmtId="166" fontId="0" fillId="0" borderId="3" xfId="0" applyNumberFormat="1" applyBorder="1"/>
    <xf numFmtId="166" fontId="0" fillId="11" borderId="1" xfId="2" applyNumberFormat="1" applyFont="1" applyFill="1" applyBorder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12" borderId="1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9" xfId="0" applyFill="1" applyBorder="1"/>
    <xf numFmtId="0" fontId="0" fillId="6" borderId="9" xfId="0" applyFill="1" applyBorder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0" fillId="17" borderId="1" xfId="0" applyFill="1" applyBorder="1"/>
    <xf numFmtId="0" fontId="0" fillId="7" borderId="1" xfId="0" applyFill="1" applyBorder="1"/>
    <xf numFmtId="0" fontId="3" fillId="17" borderId="1" xfId="0" applyFont="1" applyFill="1" applyBorder="1"/>
    <xf numFmtId="0" fontId="3" fillId="14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0" fontId="3" fillId="16" borderId="12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99"/>
      <color rgb="FFFF9393"/>
      <color rgb="FFCD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53450671607221E-2"/>
          <c:y val="0.17634259259259263"/>
          <c:w val="0.8885997375328083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Sat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217210583539996E-4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'Testes Iniciais'!$C$16:$C$19</c:f>
              <c:numCache>
                <c:formatCode>General</c:formatCode>
                <c:ptCount val="4"/>
                <c:pt idx="0">
                  <c:v>0.85076443158525772</c:v>
                </c:pt>
                <c:pt idx="1">
                  <c:v>0.94304557431820912</c:v>
                </c:pt>
                <c:pt idx="2">
                  <c:v>1.1175521595979105</c:v>
                </c:pt>
                <c:pt idx="3">
                  <c:v>1.5149728626912922</c:v>
                </c:pt>
              </c:numCache>
            </c:numRef>
          </c:xVal>
          <c:yVal>
            <c:numRef>
              <c:f>'Testes Iniciais'!$D$16:$D$19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3"/>
          <c:order val="1"/>
          <c:tx>
            <c:v>Sat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6592232271676"/>
                  <c:y val="0.18569663167104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'Testes Iniciais'!$M$8:$M$10</c:f>
              <c:numCache>
                <c:formatCode>General</c:formatCode>
                <c:ptCount val="3"/>
                <c:pt idx="0">
                  <c:v>0.72561576354679791</c:v>
                </c:pt>
                <c:pt idx="1">
                  <c:v>0.91144868469803642</c:v>
                </c:pt>
                <c:pt idx="2">
                  <c:v>1.221826809015421</c:v>
                </c:pt>
              </c:numCache>
            </c:numRef>
          </c:xVal>
          <c:yVal>
            <c:numRef>
              <c:f>'Testes Iniciais'!$D$16:$D$18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7</c:v>
                </c:pt>
              </c:numCache>
            </c:numRef>
          </c:yVal>
          <c:smooth val="0"/>
        </c:ser>
        <c:ser>
          <c:idx val="4"/>
          <c:order val="2"/>
          <c:tx>
            <c:v>Sat Media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443749300163432"/>
                  <c:y val="-4.06627296587926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'Testes Iniciais'!$C$21:$C$23</c:f>
              <c:numCache>
                <c:formatCode>General</c:formatCode>
                <c:ptCount val="3"/>
                <c:pt idx="0">
                  <c:v>0.78819009756602787</c:v>
                </c:pt>
                <c:pt idx="1">
                  <c:v>0.92724712950812282</c:v>
                </c:pt>
                <c:pt idx="2">
                  <c:v>1.1696894843066659</c:v>
                </c:pt>
              </c:numCache>
            </c:numRef>
          </c:xVal>
          <c:yVal>
            <c:numRef>
              <c:f>'Testes Iniciais'!$D$16:$D$18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6376"/>
        <c:axId val="171151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v>Val + Hue T1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9.028485409911996E-3"/>
                        <c:y val="-0.1505125400991542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'Testes Iniciais'!$B$30:$B$33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'Testes Iniciais'!$G$30:$G$33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167.2</c:v>
                      </c:pt>
                      <c:pt idx="1">
                        <c:v>169.07550000000001</c:v>
                      </c:pt>
                      <c:pt idx="2">
                        <c:v>170.07249999999999</c:v>
                      </c:pt>
                      <c:pt idx="3">
                        <c:v>160.73500000000001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4"/>
                <c:tx>
                  <c:v>Val + Hue T2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0038713910761154"/>
                        <c:y val="-9.158573928258975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Iniciais'!$I$30:$I$32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Iniciais'!$N$30:$N$32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153.81549999999999</c:v>
                      </c:pt>
                      <c:pt idx="1">
                        <c:v>152.392</c:v>
                      </c:pt>
                      <c:pt idx="2">
                        <c:v>151.76900000000001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5"/>
                <c:tx>
                  <c:v>Val test T1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Iniciais'!$B$30:$B$33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Iniciais'!$C$30:$C$33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206.1</c:v>
                      </c:pt>
                      <c:pt idx="1">
                        <c:v>196</c:v>
                      </c:pt>
                      <c:pt idx="2">
                        <c:v>198.13499999999999</c:v>
                      </c:pt>
                      <c:pt idx="3">
                        <c:v>185.5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6"/>
                <c:tx>
                  <c:v>Val test T2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Iniciais'!$I$30:$I$32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Iniciais'!$J$30:$J$32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200.03399999999999</c:v>
                      </c:pt>
                      <c:pt idx="1">
                        <c:v>180.989</c:v>
                      </c:pt>
                      <c:pt idx="2">
                        <c:v>190.92400000000001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7"/>
                <c:tx>
                  <c:v>Hue test T1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Iniciais'!$B$37:$B$40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Iniciais'!$C$37:$C$40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128.30000000000001</c:v>
                      </c:pt>
                      <c:pt idx="1">
                        <c:v>142.15100000000001</c:v>
                      </c:pt>
                      <c:pt idx="2">
                        <c:v>142.01</c:v>
                      </c:pt>
                      <c:pt idx="3">
                        <c:v>135.97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8"/>
                <c:tx>
                  <c:v>Hue test T2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Iniciais'!$I$37:$I$39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Iniciais'!$J$37:$J$39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107.59699999999999</c:v>
                      </c:pt>
                      <c:pt idx="1">
                        <c:v>123.795</c:v>
                      </c:pt>
                      <c:pt idx="2">
                        <c:v>112.614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9"/>
                <c:tx>
                  <c:v>Val + Hue Media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Iniciais'!$I$30:$I$32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Iniciais'!$P$30:$P$32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160.50774999999999</c:v>
                      </c:pt>
                      <c:pt idx="1">
                        <c:v>160.73374999999999</c:v>
                      </c:pt>
                      <c:pt idx="2">
                        <c:v>160.92075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11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51080"/>
        <c:crosses val="autoZero"/>
        <c:crossBetween val="midCat"/>
      </c:valAx>
      <c:valAx>
        <c:axId val="1711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4637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171296296296298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('Scaner 2'!$I$8,'Scaner 2'!$I$11,'Scaner 2'!$I$14,'Scaner 2'!$I$17)</c:f>
              <c:numCache>
                <c:formatCode>General</c:formatCode>
                <c:ptCount val="4"/>
                <c:pt idx="0">
                  <c:v>0.53279642507547054</c:v>
                </c:pt>
                <c:pt idx="1">
                  <c:v>0.73939576412053987</c:v>
                </c:pt>
                <c:pt idx="2">
                  <c:v>1.1819804226674744</c:v>
                </c:pt>
                <c:pt idx="3">
                  <c:v>2.0676282233984788</c:v>
                </c:pt>
              </c:numCache>
            </c:numRef>
          </c:xVal>
          <c:yVal>
            <c:numRef>
              <c:f>'Scaner 2'!$A$7:$A$10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0024"/>
        <c:axId val="360394728"/>
      </c:scatterChart>
      <c:valAx>
        <c:axId val="3603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4728"/>
        <c:crosses val="autoZero"/>
        <c:crossBetween val="midCat"/>
      </c:valAx>
      <c:valAx>
        <c:axId val="3603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Sat with 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90944881889764"/>
                  <c:y val="0.25147710702828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('Testes Iniciais'!$V$67,'Testes Iniciais'!$V$70,'Testes Iniciais'!$V$72,'Testes Iniciais'!$V$76)</c:f>
              <c:numCache>
                <c:formatCode>General</c:formatCode>
                <c:ptCount val="4"/>
                <c:pt idx="0">
                  <c:v>0.80591900436949493</c:v>
                </c:pt>
                <c:pt idx="1">
                  <c:v>0.98126069371389402</c:v>
                </c:pt>
                <c:pt idx="2">
                  <c:v>1.1542801266832428</c:v>
                </c:pt>
                <c:pt idx="3">
                  <c:v>1.8356862142075527</c:v>
                </c:pt>
              </c:numCache>
            </c:numRef>
          </c:xVal>
          <c:yVal>
            <c:numRef>
              <c:f>'Testes Iniciais'!$B$44:$B$47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6768"/>
        <c:axId val="171151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Sat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'Testes Iniciais'!$E$44:$E$47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12.616216666666668</c:v>
                      </c:pt>
                      <c:pt idx="1">
                        <c:v>17.950300000000002</c:v>
                      </c:pt>
                      <c:pt idx="2">
                        <c:v>20.086933333333334</c:v>
                      </c:pt>
                      <c:pt idx="3">
                        <c:v>25.861566666666665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'Testes Iniciais'!$B$44:$B$47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Sat both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Iniciais'!$C$49:$C$52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0.65334469175185494</c:v>
                      </c:pt>
                      <c:pt idx="1">
                        <c:v>0.8413388078029943</c:v>
                      </c:pt>
                      <c:pt idx="2">
                        <c:v>1.1028030883932707</c:v>
                      </c:pt>
                      <c:pt idx="3">
                        <c:v>1.5612708353037534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Iniciais'!$B$44:$B$47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11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51864"/>
        <c:crosses val="autoZero"/>
        <c:crossBetween val="midCat"/>
      </c:valAx>
      <c:valAx>
        <c:axId val="1711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4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'Testes Iniciais'!$C$60:$C$62</c:f>
              <c:numCache>
                <c:formatCode>General</c:formatCode>
                <c:ptCount val="3"/>
                <c:pt idx="0">
                  <c:v>105.863</c:v>
                </c:pt>
                <c:pt idx="1">
                  <c:v>139.78700000000001</c:v>
                </c:pt>
                <c:pt idx="2">
                  <c:v>111.956</c:v>
                </c:pt>
              </c:numCache>
            </c:numRef>
          </c:xVal>
          <c:yVal>
            <c:numRef>
              <c:f>'Testes Iniciais'!$D$60:$D$62</c:f>
              <c:numCache>
                <c:formatCode>General</c:formatCode>
                <c:ptCount val="3"/>
                <c:pt idx="0">
                  <c:v>18.432300000000001</c:v>
                </c:pt>
                <c:pt idx="1">
                  <c:v>11.335900000000001</c:v>
                </c:pt>
                <c:pt idx="2">
                  <c:v>8.0804500000000008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300"/>
            <c:dispRSqr val="0"/>
            <c:dispEq val="0"/>
          </c:trendline>
          <c:xVal>
            <c:numRef>
              <c:f>'Testes Iniciais'!$F$60:$F$62</c:f>
              <c:numCache>
                <c:formatCode>General</c:formatCode>
                <c:ptCount val="3"/>
                <c:pt idx="0">
                  <c:v>117.508</c:v>
                </c:pt>
                <c:pt idx="1">
                  <c:v>137.68199999999999</c:v>
                </c:pt>
                <c:pt idx="2">
                  <c:v>147.58000000000001</c:v>
                </c:pt>
              </c:numCache>
            </c:numRef>
          </c:xVal>
          <c:yVal>
            <c:numRef>
              <c:f>'Testes Iniciais'!$G$60:$G$62</c:f>
              <c:numCache>
                <c:formatCode>General</c:formatCode>
                <c:ptCount val="3"/>
                <c:pt idx="0">
                  <c:v>13.632400000000001</c:v>
                </c:pt>
                <c:pt idx="1">
                  <c:v>17.162600000000001</c:v>
                </c:pt>
                <c:pt idx="2">
                  <c:v>23.055900000000001</c:v>
                </c:pt>
              </c:numCache>
            </c:numRef>
          </c:yVal>
          <c:smooth val="0"/>
        </c:ser>
        <c:ser>
          <c:idx val="2"/>
          <c:order val="2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'Testes Iniciais'!$I$60:$I$62</c:f>
              <c:numCache>
                <c:formatCode>General</c:formatCode>
                <c:ptCount val="3"/>
                <c:pt idx="0">
                  <c:v>145.55799999999999</c:v>
                </c:pt>
                <c:pt idx="1">
                  <c:v>134.786</c:v>
                </c:pt>
                <c:pt idx="2">
                  <c:v>142.37899999999999</c:v>
                </c:pt>
              </c:numCache>
            </c:numRef>
          </c:xVal>
          <c:yVal>
            <c:numRef>
              <c:f>'Testes Iniciais'!$J$60:$J$62</c:f>
              <c:numCache>
                <c:formatCode>General</c:formatCode>
                <c:ptCount val="3"/>
                <c:pt idx="0">
                  <c:v>24.0687</c:v>
                </c:pt>
                <c:pt idx="1">
                  <c:v>16.0974</c:v>
                </c:pt>
                <c:pt idx="2">
                  <c:v>20.0947</c:v>
                </c:pt>
              </c:numCache>
            </c:numRef>
          </c:yVal>
          <c:smooth val="0"/>
        </c:ser>
        <c:ser>
          <c:idx val="3"/>
          <c:order val="3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'Testes Iniciais'!$L$60:$L$62</c:f>
              <c:numCache>
                <c:formatCode>General</c:formatCode>
                <c:ptCount val="3"/>
                <c:pt idx="0">
                  <c:v>136.31</c:v>
                </c:pt>
                <c:pt idx="1">
                  <c:v>140.733</c:v>
                </c:pt>
                <c:pt idx="2">
                  <c:v>150.398</c:v>
                </c:pt>
              </c:numCache>
            </c:numRef>
          </c:xVal>
          <c:yVal>
            <c:numRef>
              <c:f>'Testes Iniciais'!$M$60:$M$62</c:f>
              <c:numCache>
                <c:formatCode>General</c:formatCode>
                <c:ptCount val="3"/>
                <c:pt idx="0">
                  <c:v>23.5533</c:v>
                </c:pt>
                <c:pt idx="1">
                  <c:v>26.527799999999999</c:v>
                </c:pt>
                <c:pt idx="2">
                  <c:v>27.503599999999999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8336"/>
        <c:axId val="171153040"/>
      </c:scatterChart>
      <c:valAx>
        <c:axId val="1711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53040"/>
        <c:crosses val="autoZero"/>
        <c:crossBetween val="midCat"/>
      </c:valAx>
      <c:valAx>
        <c:axId val="171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641929133858267"/>
                  <c:y val="-6.05971128608923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('Testes Iniciais'!$V$81,'Testes Iniciais'!$V$84,'Testes Iniciais'!$V$87,'Testes Iniciais'!$V$90)</c:f>
              <c:numCache>
                <c:formatCode>General</c:formatCode>
                <c:ptCount val="4"/>
                <c:pt idx="0">
                  <c:v>0.56426430984714981</c:v>
                </c:pt>
                <c:pt idx="1">
                  <c:v>0.91344101231964203</c:v>
                </c:pt>
                <c:pt idx="2">
                  <c:v>1.2736586795699514</c:v>
                </c:pt>
                <c:pt idx="3">
                  <c:v>1.5522196052603321</c:v>
                </c:pt>
              </c:numCache>
            </c:numRef>
          </c:xVal>
          <c:yVal>
            <c:numRef>
              <c:f>'Testes Iniciais'!$B$30:$B$33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979702537182853"/>
                  <c:y val="0.10185185185185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('Testes Iniciais'!$V$82,'Testes Iniciais'!$V$85,'Testes Iniciais'!$V$88,'Testes Iniciais'!$V$91)</c:f>
              <c:numCache>
                <c:formatCode>General</c:formatCode>
                <c:ptCount val="4"/>
                <c:pt idx="0">
                  <c:v>0.68534078214011029</c:v>
                </c:pt>
                <c:pt idx="1">
                  <c:v>0.8270626933969466</c:v>
                </c:pt>
                <c:pt idx="2">
                  <c:v>1.1178392847022718</c:v>
                </c:pt>
                <c:pt idx="3">
                  <c:v>1.9903331858629796</c:v>
                </c:pt>
              </c:numCache>
            </c:numRef>
          </c:xVal>
          <c:yVal>
            <c:numRef>
              <c:f>'Testes Iniciais'!$A$8:$A$11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420975503062106"/>
                  <c:y val="-1.1088145231846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('Testes Iniciais'!$V$83,'Testes Iniciais'!$V$86,'Testes Iniciais'!$V$89,'Testes Iniciais'!$V$92)</c:f>
              <c:numCache>
                <c:formatCode>General</c:formatCode>
                <c:ptCount val="4"/>
                <c:pt idx="0">
                  <c:v>0.72689419398047328</c:v>
                </c:pt>
                <c:pt idx="1">
                  <c:v>0.84389598111553976</c:v>
                </c:pt>
                <c:pt idx="2">
                  <c:v>1.3956448114034798</c:v>
                </c:pt>
                <c:pt idx="3">
                  <c:v>1.9293586028858505</c:v>
                </c:pt>
              </c:numCache>
            </c:numRef>
          </c:xVal>
          <c:yVal>
            <c:numRef>
              <c:f>'Testes Iniciais'!$A$8:$A$11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611264216972879"/>
                  <c:y val="6.9941673957421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('Testes Iniciais'!$V$65,'Testes Iniciais'!$V$68,'Testes Iniciais'!$V$71,'Testes Iniciais'!$V$74)</c:f>
              <c:numCache>
                <c:formatCode>General</c:formatCode>
                <c:ptCount val="4"/>
                <c:pt idx="0">
                  <c:v>0.55710037864244133</c:v>
                </c:pt>
                <c:pt idx="1">
                  <c:v>1.0467728791494531</c:v>
                </c:pt>
                <c:pt idx="2">
                  <c:v>1.2618127358773137</c:v>
                </c:pt>
                <c:pt idx="3">
                  <c:v>1.5372635554330385</c:v>
                </c:pt>
              </c:numCache>
            </c:numRef>
          </c:xVal>
          <c:yVal>
            <c:numRef>
              <c:f>'Testes Iniciais'!$A$8:$A$11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2471347331583549E-2"/>
                  <c:y val="0.449074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('Testes Iniciais'!$V$66,'Testes Iniciais'!$V$69,'Testes Iniciais'!$V$72,'Testes Iniciais'!$V$75)</c:f>
              <c:numCache>
                <c:formatCode>General</c:formatCode>
                <c:ptCount val="4"/>
                <c:pt idx="0">
                  <c:v>0.75081498036162209</c:v>
                </c:pt>
                <c:pt idx="1">
                  <c:v>0.88063004985387661</c:v>
                </c:pt>
                <c:pt idx="2">
                  <c:v>1.1542801266832428</c:v>
                </c:pt>
                <c:pt idx="3">
                  <c:v>1.8716278944425357</c:v>
                </c:pt>
              </c:numCache>
            </c:numRef>
          </c:xVal>
          <c:yVal>
            <c:numRef>
              <c:f>'Testes Iniciais'!$A$8:$A$11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89063867016622"/>
                  <c:y val="0.34694808982210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('Testes Iniciais'!$V$67,'Testes Iniciais'!$V$70,'Testes Iniciais'!$V$73,'Testes Iniciais'!$V$76)</c:f>
              <c:numCache>
                <c:formatCode>General</c:formatCode>
                <c:ptCount val="4"/>
                <c:pt idx="0">
                  <c:v>0.80591900436949493</c:v>
                </c:pt>
                <c:pt idx="1">
                  <c:v>0.98126069371389402</c:v>
                </c:pt>
                <c:pt idx="2">
                  <c:v>1.3834718883639168</c:v>
                </c:pt>
                <c:pt idx="3">
                  <c:v>1.8356862142075527</c:v>
                </c:pt>
              </c:numCache>
            </c:numRef>
          </c:xVal>
          <c:yVal>
            <c:numRef>
              <c:f>'Testes Iniciais'!$A$8:$A$11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'Testes Iniciais'!$F$8:$F$12</c:f>
              <c:numCache>
                <c:formatCode>General</c:formatCode>
                <c:ptCount val="5"/>
                <c:pt idx="0">
                  <c:v>0.85076443158525772</c:v>
                </c:pt>
                <c:pt idx="1">
                  <c:v>0.94304557431820912</c:v>
                </c:pt>
                <c:pt idx="2">
                  <c:v>1.1175521595979105</c:v>
                </c:pt>
                <c:pt idx="3">
                  <c:v>1.5149728626912922</c:v>
                </c:pt>
              </c:numCache>
            </c:numRef>
          </c:xVal>
          <c:yVal>
            <c:numRef>
              <c:f>'Testes Iniciais'!$A$8:$A$11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2395669291338584E-2"/>
                  <c:y val="0.26308617672790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072900262467192"/>
                  <c:y val="0.16123432487605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'Testes Iniciais'!$E$49:$E$52</c:f>
              <c:numCache>
                <c:formatCode>General</c:formatCode>
                <c:ptCount val="4"/>
                <c:pt idx="0">
                  <c:v>0.66736261056074841</c:v>
                </c:pt>
                <c:pt idx="1">
                  <c:v>0.86456504951344615</c:v>
                </c:pt>
                <c:pt idx="2">
                  <c:v>1.2707706594031352</c:v>
                </c:pt>
                <c:pt idx="3">
                  <c:v>1.7982507869797419</c:v>
                </c:pt>
              </c:numCache>
            </c:numRef>
          </c:xVal>
          <c:yVal>
            <c:numRef>
              <c:f>'Testes Iniciais'!$B$44:$B$47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8728"/>
        <c:axId val="171149904"/>
      </c:scatterChart>
      <c:valAx>
        <c:axId val="17114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49904"/>
        <c:crosses val="autoZero"/>
        <c:crossBetween val="midCat"/>
      </c:valAx>
      <c:valAx>
        <c:axId val="1711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4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5"/>
          <c:tx>
            <c:v>Sat Autobusca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863517060367456E-2"/>
                  <c:y val="0.3935185185185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('Testes Finais'!$R$7,'Testes Finais'!$R$10,'Testes Finais'!$R$13,'Testes Finais'!$R$16)</c:f>
              <c:numCache>
                <c:formatCode>General</c:formatCode>
                <c:ptCount val="4"/>
                <c:pt idx="0">
                  <c:v>0.66579053142534672</c:v>
                </c:pt>
                <c:pt idx="1">
                  <c:v>0.94193160209748594</c:v>
                </c:pt>
                <c:pt idx="2">
                  <c:v>1.2355074976731277</c:v>
                </c:pt>
                <c:pt idx="3">
                  <c:v>1.7723267374267839</c:v>
                </c:pt>
              </c:numCache>
            </c:numRef>
          </c:xVal>
          <c:yVal>
            <c:numRef>
              <c:f>'Testes Finais'!$B$6:$B$9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6"/>
          <c:order val="6"/>
          <c:tx>
            <c:v>Sat Autobusca Inteiras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35279965004373"/>
                  <c:y val="3.3954870224555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('Testes Finais'!$S$7,'Testes Finais'!$S$10,'Testes Finais'!$S$13,'Testes Finais'!$S$16)</c:f>
              <c:numCache>
                <c:formatCode>General</c:formatCode>
                <c:ptCount val="4"/>
                <c:pt idx="0">
                  <c:v>0.72019464895224117</c:v>
                </c:pt>
                <c:pt idx="1">
                  <c:v>0.94193160209748594</c:v>
                </c:pt>
                <c:pt idx="2">
                  <c:v>1.2355074976731277</c:v>
                </c:pt>
                <c:pt idx="3">
                  <c:v>1.665234244871562</c:v>
                </c:pt>
              </c:numCache>
            </c:numRef>
          </c:xVal>
          <c:yVal>
            <c:numRef>
              <c:f>'Testes Finais'!$B$6:$B$9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53432"/>
        <c:axId val="171150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Gray Manual Medias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('Testes Finais'!$S$39,'Testes Finais'!$S$42,'Testes Finais'!$S$45,'Testes Finais'!$S$48)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0.98526691381900322</c:v>
                      </c:pt>
                      <c:pt idx="1">
                        <c:v>0.98457740621308076</c:v>
                      </c:pt>
                      <c:pt idx="2">
                        <c:v>1.0192706098051392</c:v>
                      </c:pt>
                      <c:pt idx="3">
                        <c:v>1.0448702248257613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'Testes Finais'!$B$6:$B$9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Gray Manual Inteiras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179133858267717"/>
                        <c:y val="0.3278423009623797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('Testes Finais'!$T$39,'Testes Finais'!$T$42,'Testes Finais'!$T$45,'Testes Finais'!$T$48)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0.97442073339774504</c:v>
                      </c:pt>
                      <c:pt idx="1">
                        <c:v>0.98457740621308076</c:v>
                      </c:pt>
                      <c:pt idx="2">
                        <c:v>1.0192706098051392</c:v>
                      </c:pt>
                      <c:pt idx="3">
                        <c:v>1.048310611902483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Finais'!$B$6:$B$9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Gray Auto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19187117235345583"/>
                        <c:y val="1.4297171186934967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('Testes Finais'!$J$39,'Testes Finais'!$J$42,'Testes Finais'!$J$45,'Testes Finais'!$J$48)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0.97903408002612413</c:v>
                      </c:pt>
                      <c:pt idx="1">
                        <c:v>0.98369431042118871</c:v>
                      </c:pt>
                      <c:pt idx="2">
                        <c:v>1.0171724957293231</c:v>
                      </c:pt>
                      <c:pt idx="3">
                        <c:v>1.0340376172722898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Finais'!$B$6:$B$9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Sat Manual Medias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('Testes Finais'!$R$23,'Testes Finais'!$R$26,'Testes Finais'!$R$29,'Testes Finais'!$R$32)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0.66485021245102149</c:v>
                      </c:pt>
                      <c:pt idx="1">
                        <c:v>0.92863100668066323</c:v>
                      </c:pt>
                      <c:pt idx="2">
                        <c:v>1.2630421022130875</c:v>
                      </c:pt>
                      <c:pt idx="3">
                        <c:v>1.8852590695483364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Finais'!$B$6:$B$9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Sat Manual Inteiras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('Testes Finais'!$S$23,'Testes Finais'!$S$26,'Testes Finais'!$S$29,'Testes Finais'!$S$32)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0.71087787596930951</c:v>
                      </c:pt>
                      <c:pt idx="1">
                        <c:v>0.92863100668066323</c:v>
                      </c:pt>
                      <c:pt idx="2">
                        <c:v>1.2630421022130875</c:v>
                      </c:pt>
                      <c:pt idx="3">
                        <c:v>1.7611326082303977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'Testes Finais'!$B$6:$B$9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115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50688"/>
        <c:crosses val="autoZero"/>
        <c:crossBetween val="midCat"/>
      </c:valAx>
      <c:valAx>
        <c:axId val="1711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5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Auto Medias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65201224846893"/>
                  <c:y val="5.5082750072907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('14-03-2014'!$J$11,'14-03-2014'!$J$14,'14-03-2014'!$J$17,'14-03-2014'!$J$20)</c:f>
              <c:numCache>
                <c:formatCode>General</c:formatCode>
                <c:ptCount val="4"/>
                <c:pt idx="0">
                  <c:v>0.60374205215042043</c:v>
                </c:pt>
                <c:pt idx="1">
                  <c:v>0.80582500727124173</c:v>
                </c:pt>
                <c:pt idx="2">
                  <c:v>1.2068847638173956</c:v>
                </c:pt>
                <c:pt idx="3">
                  <c:v>2.0213478436037606</c:v>
                </c:pt>
              </c:numCache>
            </c:numRef>
          </c:xVal>
          <c:yVal>
            <c:numRef>
              <c:f>'14-03-2014'!$C$23:$C$26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6688"/>
        <c:axId val="3603904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Manual Medias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('14-03-2014'!$S$11,'14-03-2014'!$S$14,'14-03-2014'!$S$17,'14-03-2014'!$S$20)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0.59519673930263806</c:v>
                      </c:pt>
                      <c:pt idx="1">
                        <c:v>0.79566410730747505</c:v>
                      </c:pt>
                      <c:pt idx="2">
                        <c:v>1.1846977688247982</c:v>
                      </c:pt>
                      <c:pt idx="3">
                        <c:v>1.8374259488743445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'14-03-2014'!$C$23:$C$26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Manual Inteiras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6901837270341206"/>
                        <c:y val="0.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('14-03-2014'!$T$11,'14-03-2014'!$T$14,'14-03-2014'!$T$17,'14-03-2014'!$T$20)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0.6276507320041681</c:v>
                      </c:pt>
                      <c:pt idx="1">
                        <c:v>0.82123540195487887</c:v>
                      </c:pt>
                      <c:pt idx="2">
                        <c:v>1.1846977688247982</c:v>
                      </c:pt>
                      <c:pt idx="3">
                        <c:v>1.7824041505143484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'14-03-2014'!$C$23:$C$26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03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0416"/>
        <c:crosses val="autoZero"/>
        <c:crossBetween val="midCat"/>
      </c:valAx>
      <c:valAx>
        <c:axId val="3603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('17-03-2014'!$J$11,'17-03-2014'!$J$14,'17-03-2014'!$J$17,'17-03-2014'!$J$20)</c:f>
              <c:numCache>
                <c:formatCode>General</c:formatCode>
                <c:ptCount val="4"/>
                <c:pt idx="0">
                  <c:v>0.59092726878830759</c:v>
                </c:pt>
                <c:pt idx="1">
                  <c:v>0.68803441378871111</c:v>
                </c:pt>
                <c:pt idx="2">
                  <c:v>1.4352177661065399</c:v>
                </c:pt>
                <c:pt idx="3">
                  <c:v>2.296294884983761</c:v>
                </c:pt>
              </c:numCache>
            </c:numRef>
          </c:xVal>
          <c:yVal>
            <c:numRef>
              <c:f>'17-03-2014'!$C$23:$C$26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6296"/>
        <c:axId val="360392768"/>
        <c:extLst/>
      </c:scatterChart>
      <c:valAx>
        <c:axId val="36039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2768"/>
        <c:crosses val="autoZero"/>
        <c:crossBetween val="midCat"/>
      </c:valAx>
      <c:valAx>
        <c:axId val="3603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Padrao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8333333333333334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1111111111111213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1111111111111109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25400" cap="sq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24212598425197"/>
                  <c:y val="-2.3148148148148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Padrao!$D$5:$D$8</c:f>
              <c:numCache>
                <c:formatCode>General</c:formatCode>
                <c:ptCount val="4"/>
                <c:pt idx="0">
                  <c:v>0.66400000000000003</c:v>
                </c:pt>
                <c:pt idx="1">
                  <c:v>0.82420000000000004</c:v>
                </c:pt>
                <c:pt idx="2">
                  <c:v>1.107</c:v>
                </c:pt>
                <c:pt idx="3">
                  <c:v>1.681</c:v>
                </c:pt>
              </c:numCache>
            </c:numRef>
          </c:xVal>
          <c:yVal>
            <c:numRef>
              <c:f>Padrao!$C$5:$C$8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Programa 'Padrao'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42782152230972"/>
                  <c:y val="0.6944444444444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Padrao!$E$5:$E$8</c:f>
              <c:numCache>
                <c:formatCode>General</c:formatCode>
                <c:ptCount val="4"/>
                <c:pt idx="0">
                  <c:v>0.79568399999999995</c:v>
                </c:pt>
                <c:pt idx="1">
                  <c:v>1.01319</c:v>
                </c:pt>
                <c:pt idx="2">
                  <c:v>1.32707</c:v>
                </c:pt>
                <c:pt idx="3">
                  <c:v>2.5848900000000001</c:v>
                </c:pt>
              </c:numCache>
            </c:numRef>
          </c:xVal>
          <c:yVal>
            <c:numRef>
              <c:f>Padrao!$C$5:$C$8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Padrao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04790026246718"/>
                  <c:y val="-2.3148148148148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Padrao!$F$5:$F$8</c:f>
              <c:numCache>
                <c:formatCode>General</c:formatCode>
                <c:ptCount val="4"/>
                <c:pt idx="0">
                  <c:v>0.66163700000000003</c:v>
                </c:pt>
                <c:pt idx="1">
                  <c:v>0.87238700000000002</c:v>
                </c:pt>
                <c:pt idx="2">
                  <c:v>1.2538899999999999</c:v>
                </c:pt>
                <c:pt idx="3">
                  <c:v>2.2959200000000002</c:v>
                </c:pt>
              </c:numCache>
            </c:numRef>
          </c:xVal>
          <c:yVal>
            <c:numRef>
              <c:f>Padrao!$C$5:$C$8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4336"/>
        <c:axId val="360391984"/>
      </c:scatterChart>
      <c:valAx>
        <c:axId val="3603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1984"/>
        <c:crosses val="autoZero"/>
        <c:crossBetween val="midCat"/>
      </c:valAx>
      <c:valAx>
        <c:axId val="360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2E-2"/>
          <c:y val="0.12078703703703704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84251968503937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(Scaner!$K$12,Scaner!$K$15,Scaner!$K$18,Scaner!$K$21)</c:f>
              <c:numCache>
                <c:formatCode>General</c:formatCode>
                <c:ptCount val="4"/>
                <c:pt idx="0">
                  <c:v>0.59986573319267289</c:v>
                </c:pt>
                <c:pt idx="1">
                  <c:v>0.88628241270128794</c:v>
                </c:pt>
                <c:pt idx="2">
                  <c:v>1.1808026479106331</c:v>
                </c:pt>
                <c:pt idx="3">
                  <c:v>1.7642711736832202</c:v>
                </c:pt>
              </c:numCache>
            </c:numRef>
          </c:xVal>
          <c:yVal>
            <c:numRef>
              <c:f>Scaner!$C$11:$C$14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Sat 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110476815398074"/>
                  <c:y val="-1.10309128025663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(Scaner!$K$29,Scaner!$K$32,Scaner!$K$35,Scaner!$K$38)</c:f>
              <c:numCache>
                <c:formatCode>General</c:formatCode>
                <c:ptCount val="4"/>
                <c:pt idx="0">
                  <c:v>0.6259677060901685</c:v>
                </c:pt>
                <c:pt idx="1">
                  <c:v>0.80908790368890571</c:v>
                </c:pt>
                <c:pt idx="2">
                  <c:v>1.2181928512655187</c:v>
                </c:pt>
                <c:pt idx="3">
                  <c:v>1.5842788676906463</c:v>
                </c:pt>
              </c:numCache>
            </c:numRef>
          </c:xVal>
          <c:yVal>
            <c:numRef>
              <c:f>Scaner!$C$11:$C$14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1200"/>
        <c:axId val="360393160"/>
      </c:scatterChart>
      <c:valAx>
        <c:axId val="3603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3160"/>
        <c:crosses val="autoZero"/>
        <c:crossBetween val="midCat"/>
      </c:valAx>
      <c:valAx>
        <c:axId val="3603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3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4762</xdr:rowOff>
    </xdr:from>
    <xdr:to>
      <xdr:col>13</xdr:col>
      <xdr:colOff>304800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40</xdr:row>
      <xdr:rowOff>169209</xdr:rowOff>
    </xdr:from>
    <xdr:to>
      <xdr:col>14</xdr:col>
      <xdr:colOff>336177</xdr:colOff>
      <xdr:row>55</xdr:row>
      <xdr:rowOff>54909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78441</xdr:colOff>
      <xdr:row>62</xdr:row>
      <xdr:rowOff>180415</xdr:rowOff>
    </xdr:from>
    <xdr:to>
      <xdr:col>13</xdr:col>
      <xdr:colOff>414618</xdr:colOff>
      <xdr:row>77</xdr:row>
      <xdr:rowOff>66115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89647</xdr:colOff>
      <xdr:row>78</xdr:row>
      <xdr:rowOff>101973</xdr:rowOff>
    </xdr:from>
    <xdr:to>
      <xdr:col>13</xdr:col>
      <xdr:colOff>425824</xdr:colOff>
      <xdr:row>92</xdr:row>
      <xdr:rowOff>178173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50</xdr:row>
      <xdr:rowOff>23812</xdr:rowOff>
    </xdr:from>
    <xdr:to>
      <xdr:col>11</xdr:col>
      <xdr:colOff>390525</xdr:colOff>
      <xdr:row>64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185737</xdr:rowOff>
    </xdr:from>
    <xdr:to>
      <xdr:col>14</xdr:col>
      <xdr:colOff>304800</xdr:colOff>
      <xdr:row>36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4762</xdr:rowOff>
    </xdr:from>
    <xdr:to>
      <xdr:col>14</xdr:col>
      <xdr:colOff>304800</xdr:colOff>
      <xdr:row>36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14</xdr:col>
      <xdr:colOff>304800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7</xdr:row>
      <xdr:rowOff>166687</xdr:rowOff>
    </xdr:from>
    <xdr:to>
      <xdr:col>19</xdr:col>
      <xdr:colOff>342900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00"/>
  <sheetViews>
    <sheetView topLeftCell="A59" zoomScale="85" zoomScaleNormal="85" workbookViewId="0">
      <selection activeCell="M95" sqref="M95"/>
    </sheetView>
  </sheetViews>
  <sheetFormatPr defaultRowHeight="15" x14ac:dyDescent="0.25"/>
  <cols>
    <col min="4" max="4" width="9.42578125" customWidth="1"/>
    <col min="15" max="15" width="9.140625" customWidth="1"/>
    <col min="19" max="19" width="9.85546875" customWidth="1"/>
    <col min="22" max="22" width="10.7109375" customWidth="1"/>
  </cols>
  <sheetData>
    <row r="6" spans="1:21" x14ac:dyDescent="0.25">
      <c r="B6" s="79" t="s">
        <v>0</v>
      </c>
      <c r="C6" s="79"/>
      <c r="D6" s="79" t="s">
        <v>3</v>
      </c>
      <c r="E6" s="79"/>
      <c r="I6" s="79" t="s">
        <v>0</v>
      </c>
      <c r="J6" s="79"/>
      <c r="K6" s="79" t="s">
        <v>3</v>
      </c>
      <c r="L6" s="79"/>
      <c r="P6" s="6"/>
      <c r="Q6" s="7"/>
      <c r="R6" s="7"/>
      <c r="S6" s="7"/>
      <c r="T6" s="7"/>
      <c r="U6" s="6"/>
    </row>
    <row r="7" spans="1:21" x14ac:dyDescent="0.25">
      <c r="B7" s="1" t="s">
        <v>1</v>
      </c>
      <c r="C7" s="1" t="s">
        <v>2</v>
      </c>
      <c r="D7" s="1" t="s">
        <v>1</v>
      </c>
      <c r="E7" s="1" t="s">
        <v>2</v>
      </c>
      <c r="I7" s="1" t="s">
        <v>1</v>
      </c>
      <c r="J7" s="1" t="s">
        <v>2</v>
      </c>
      <c r="K7" s="1" t="s">
        <v>1</v>
      </c>
      <c r="L7" s="1" t="s">
        <v>2</v>
      </c>
      <c r="P7" s="6"/>
      <c r="Q7" s="6"/>
      <c r="R7" s="6"/>
      <c r="S7" s="6"/>
      <c r="T7" s="6"/>
      <c r="U7" s="6"/>
    </row>
    <row r="8" spans="1:21" x14ac:dyDescent="0.25">
      <c r="A8" s="3">
        <v>2</v>
      </c>
      <c r="B8" s="1">
        <v>19.3</v>
      </c>
      <c r="C8" s="1">
        <v>2.2000000000000002</v>
      </c>
      <c r="D8" s="1">
        <v>23.737300000000001</v>
      </c>
      <c r="E8" s="1">
        <v>2.06</v>
      </c>
      <c r="F8">
        <f>(B8+2*C8)/(D8+2*E8)</f>
        <v>0.85076443158525772</v>
      </c>
      <c r="G8" s="3">
        <v>2</v>
      </c>
      <c r="H8" s="3"/>
      <c r="I8" s="1">
        <v>12.45</v>
      </c>
      <c r="J8" s="1">
        <v>1.1399999999999999</v>
      </c>
      <c r="K8" s="1">
        <v>17.7</v>
      </c>
      <c r="L8" s="1">
        <v>1.3</v>
      </c>
      <c r="M8">
        <f>(I8+2*J8)/(K8+2*L8)</f>
        <v>0.72561576354679791</v>
      </c>
      <c r="N8">
        <f>12.927*M8-8.1857</f>
        <v>1.1943349753694559</v>
      </c>
      <c r="P8" s="6"/>
      <c r="Q8" s="6"/>
      <c r="R8" s="6"/>
      <c r="S8" s="6"/>
      <c r="T8" s="6"/>
      <c r="U8" s="6"/>
    </row>
    <row r="9" spans="1:21" x14ac:dyDescent="0.25">
      <c r="A9" s="2">
        <v>4</v>
      </c>
      <c r="B9" s="1">
        <v>22.3</v>
      </c>
      <c r="C9" s="1">
        <v>2.5</v>
      </c>
      <c r="D9" s="1">
        <v>21.375299999999999</v>
      </c>
      <c r="E9" s="1">
        <v>3.7867299999999999</v>
      </c>
      <c r="F9">
        <f t="shared" ref="F9:F11" si="0">(B9+2*C9)/(D9+2*E9)</f>
        <v>0.94304557431820912</v>
      </c>
      <c r="G9" s="2">
        <v>4</v>
      </c>
      <c r="H9" s="2"/>
      <c r="I9" s="1">
        <v>20.36</v>
      </c>
      <c r="J9" s="1">
        <v>2.12</v>
      </c>
      <c r="K9" s="1">
        <v>21.45</v>
      </c>
      <c r="L9" s="1">
        <v>2.77</v>
      </c>
      <c r="M9">
        <f t="shared" ref="M9:M10" si="1">(I9+2*J9)/(K9+2*L9)</f>
        <v>0.91144868469803642</v>
      </c>
      <c r="N9">
        <f t="shared" ref="N9:N10" si="2">12.927*M9-8.1857</f>
        <v>3.596597147091515</v>
      </c>
      <c r="P9" s="6"/>
      <c r="Q9" s="6"/>
      <c r="R9" s="6"/>
      <c r="S9" s="6"/>
      <c r="T9" s="6"/>
      <c r="U9" s="6"/>
    </row>
    <row r="10" spans="1:21" x14ac:dyDescent="0.25">
      <c r="A10" s="2">
        <v>7</v>
      </c>
      <c r="B10" s="1">
        <v>34</v>
      </c>
      <c r="C10" s="1">
        <v>2.5</v>
      </c>
      <c r="D10" s="1">
        <v>28.797699999999999</v>
      </c>
      <c r="E10" s="1">
        <v>3.05</v>
      </c>
      <c r="F10">
        <f t="shared" si="0"/>
        <v>1.1175521595979105</v>
      </c>
      <c r="G10" s="4">
        <v>7</v>
      </c>
      <c r="H10" s="4"/>
      <c r="I10" s="1">
        <v>17.239999999999998</v>
      </c>
      <c r="J10" s="1">
        <v>1.68</v>
      </c>
      <c r="K10" s="1">
        <v>14.94</v>
      </c>
      <c r="L10" s="1">
        <v>0.96</v>
      </c>
      <c r="M10">
        <f t="shared" si="1"/>
        <v>1.221826809015421</v>
      </c>
      <c r="N10">
        <f t="shared" si="2"/>
        <v>7.6088551601423458</v>
      </c>
      <c r="P10" s="6"/>
      <c r="Q10" s="6"/>
      <c r="R10" s="6"/>
      <c r="S10" s="6"/>
      <c r="T10" s="6"/>
      <c r="U10" s="6"/>
    </row>
    <row r="11" spans="1:21" x14ac:dyDescent="0.25">
      <c r="A11" s="4">
        <v>15</v>
      </c>
      <c r="B11" s="1">
        <v>35.6</v>
      </c>
      <c r="C11" s="1">
        <v>3.4</v>
      </c>
      <c r="D11" s="1">
        <v>22.7273</v>
      </c>
      <c r="E11" s="1">
        <v>2.63</v>
      </c>
      <c r="F11">
        <f t="shared" si="0"/>
        <v>1.5149728626912922</v>
      </c>
      <c r="P11" s="6"/>
      <c r="Q11" s="6"/>
      <c r="R11" s="6"/>
      <c r="S11" s="6"/>
      <c r="T11" s="6"/>
      <c r="U11" s="6"/>
    </row>
    <row r="16" spans="1:21" x14ac:dyDescent="0.25">
      <c r="C16">
        <f>(B8+2*C8)/(D8+2*E8)</f>
        <v>0.85076443158525772</v>
      </c>
      <c r="D16">
        <v>2</v>
      </c>
    </row>
    <row r="17" spans="2:16" x14ac:dyDescent="0.25">
      <c r="C17">
        <f t="shared" ref="C17:C19" si="3">(B9+2*C9)/(D9+2*E9)</f>
        <v>0.94304557431820912</v>
      </c>
      <c r="D17">
        <v>4</v>
      </c>
    </row>
    <row r="18" spans="2:16" x14ac:dyDescent="0.25">
      <c r="C18">
        <f t="shared" si="3"/>
        <v>1.1175521595979105</v>
      </c>
      <c r="D18">
        <v>7</v>
      </c>
    </row>
    <row r="19" spans="2:16" x14ac:dyDescent="0.25">
      <c r="C19">
        <f t="shared" si="3"/>
        <v>1.5149728626912922</v>
      </c>
      <c r="D19">
        <v>15</v>
      </c>
    </row>
    <row r="21" spans="2:16" x14ac:dyDescent="0.25">
      <c r="C21">
        <f>(C16+M8)/2</f>
        <v>0.78819009756602787</v>
      </c>
    </row>
    <row r="22" spans="2:16" x14ac:dyDescent="0.25">
      <c r="C22">
        <f t="shared" ref="C22:C23" si="4">(C17+M9)/2</f>
        <v>0.92724712950812282</v>
      </c>
    </row>
    <row r="23" spans="2:16" x14ac:dyDescent="0.25">
      <c r="C23">
        <f t="shared" si="4"/>
        <v>1.1696894843066659</v>
      </c>
    </row>
    <row r="28" spans="2:16" x14ac:dyDescent="0.25">
      <c r="C28" s="79" t="s">
        <v>0</v>
      </c>
      <c r="D28" s="79"/>
      <c r="E28" s="79" t="s">
        <v>3</v>
      </c>
      <c r="F28" s="79"/>
      <c r="J28" s="79" t="s">
        <v>0</v>
      </c>
      <c r="K28" s="79"/>
      <c r="L28" s="79" t="s">
        <v>3</v>
      </c>
      <c r="M28" s="79"/>
    </row>
    <row r="29" spans="2:16" x14ac:dyDescent="0.25">
      <c r="C29" s="1" t="s">
        <v>4</v>
      </c>
      <c r="D29" s="1" t="s">
        <v>2</v>
      </c>
      <c r="E29" s="1" t="s">
        <v>4</v>
      </c>
      <c r="F29" s="1" t="s">
        <v>2</v>
      </c>
      <c r="J29" s="1" t="s">
        <v>4</v>
      </c>
      <c r="K29" s="1" t="s">
        <v>2</v>
      </c>
      <c r="L29" s="1" t="s">
        <v>4</v>
      </c>
      <c r="M29" s="1" t="s">
        <v>2</v>
      </c>
    </row>
    <row r="30" spans="2:16" x14ac:dyDescent="0.25">
      <c r="B30" s="3">
        <v>2</v>
      </c>
      <c r="C30" s="5">
        <v>206.1</v>
      </c>
      <c r="D30" s="1">
        <v>18.059999999999999</v>
      </c>
      <c r="E30" s="1">
        <v>201.92400000000001</v>
      </c>
      <c r="F30" s="1">
        <v>7.1479999999999997</v>
      </c>
      <c r="G30">
        <f>(C30+C37)/2</f>
        <v>167.2</v>
      </c>
      <c r="H30">
        <f>(C30+2*D30)</f>
        <v>242.22</v>
      </c>
      <c r="I30" s="3">
        <v>2</v>
      </c>
      <c r="J30" s="1">
        <v>200.03399999999999</v>
      </c>
      <c r="K30" s="1">
        <v>4.49824</v>
      </c>
      <c r="L30" s="1">
        <v>180.75800000000001</v>
      </c>
      <c r="M30" s="1">
        <v>17.5792</v>
      </c>
      <c r="N30">
        <f>(J30+J37)/2</f>
        <v>153.81549999999999</v>
      </c>
      <c r="O30">
        <f>J30+2*K30</f>
        <v>209.03047999999998</v>
      </c>
      <c r="P30">
        <f>(G30+N30)/2</f>
        <v>160.50774999999999</v>
      </c>
    </row>
    <row r="31" spans="2:16" x14ac:dyDescent="0.25">
      <c r="B31" s="2">
        <v>4</v>
      </c>
      <c r="C31" s="5">
        <v>196</v>
      </c>
      <c r="D31" s="1">
        <v>7.9</v>
      </c>
      <c r="E31" s="1">
        <v>186.80500000000001</v>
      </c>
      <c r="F31" s="1">
        <v>16.260200000000001</v>
      </c>
      <c r="G31">
        <f t="shared" ref="G31:G33" si="5">(C31+C38)/2</f>
        <v>169.07550000000001</v>
      </c>
      <c r="H31">
        <f t="shared" ref="H31:H40" si="6">(C31+2*D31)</f>
        <v>211.8</v>
      </c>
      <c r="I31" s="2">
        <v>4</v>
      </c>
      <c r="J31" s="1">
        <v>180.989</v>
      </c>
      <c r="K31" s="1">
        <v>25.353200000000001</v>
      </c>
      <c r="L31" s="1">
        <v>189.26900000000001</v>
      </c>
      <c r="M31" s="1">
        <v>17.347200000000001</v>
      </c>
      <c r="N31">
        <f t="shared" ref="N31:N32" si="7">(J31+J38)/2</f>
        <v>152.392</v>
      </c>
      <c r="O31">
        <f t="shared" ref="O31:O39" si="8">J31+2*K31</f>
        <v>231.69540000000001</v>
      </c>
      <c r="P31">
        <f t="shared" ref="P31:P32" si="9">(G31+N31)/2</f>
        <v>160.73374999999999</v>
      </c>
    </row>
    <row r="32" spans="2:16" x14ac:dyDescent="0.25">
      <c r="B32" s="2">
        <v>7</v>
      </c>
      <c r="C32" s="5">
        <v>198.13499999999999</v>
      </c>
      <c r="D32" s="1">
        <v>7.57</v>
      </c>
      <c r="E32" s="1">
        <v>197.887</v>
      </c>
      <c r="F32" s="1">
        <v>15.6</v>
      </c>
      <c r="G32">
        <f t="shared" si="5"/>
        <v>170.07249999999999</v>
      </c>
      <c r="H32">
        <f t="shared" si="6"/>
        <v>213.27499999999998</v>
      </c>
      <c r="I32" s="4">
        <v>7</v>
      </c>
      <c r="J32" s="1">
        <v>190.92400000000001</v>
      </c>
      <c r="K32" s="1">
        <v>13.6936</v>
      </c>
      <c r="L32" s="1">
        <v>190.3</v>
      </c>
      <c r="M32" s="1">
        <v>21.425699999999999</v>
      </c>
      <c r="N32">
        <f t="shared" si="7"/>
        <v>151.76900000000001</v>
      </c>
      <c r="O32">
        <f t="shared" si="8"/>
        <v>218.31120000000001</v>
      </c>
      <c r="P32">
        <f t="shared" si="9"/>
        <v>160.92075</v>
      </c>
    </row>
    <row r="33" spans="2:21" x14ac:dyDescent="0.25">
      <c r="B33" s="4">
        <v>15</v>
      </c>
      <c r="C33" s="5">
        <v>185.5</v>
      </c>
      <c r="D33" s="1">
        <v>11.36</v>
      </c>
      <c r="E33" s="1">
        <v>192.797</v>
      </c>
      <c r="F33" s="1">
        <v>19.04</v>
      </c>
      <c r="G33">
        <f t="shared" si="5"/>
        <v>160.73500000000001</v>
      </c>
      <c r="H33">
        <f t="shared" si="6"/>
        <v>208.22</v>
      </c>
    </row>
    <row r="35" spans="2:21" x14ac:dyDescent="0.25">
      <c r="C35" s="79" t="s">
        <v>0</v>
      </c>
      <c r="D35" s="79"/>
      <c r="E35" s="79" t="s">
        <v>3</v>
      </c>
      <c r="F35" s="79"/>
      <c r="J35" s="79" t="s">
        <v>0</v>
      </c>
      <c r="K35" s="79"/>
      <c r="L35" s="79" t="s">
        <v>3</v>
      </c>
      <c r="M35" s="79"/>
    </row>
    <row r="36" spans="2:21" x14ac:dyDescent="0.25">
      <c r="C36" s="1" t="s">
        <v>5</v>
      </c>
      <c r="D36" s="1" t="s">
        <v>2</v>
      </c>
      <c r="E36" s="1" t="s">
        <v>5</v>
      </c>
      <c r="F36" s="1" t="s">
        <v>2</v>
      </c>
      <c r="J36" s="1" t="s">
        <v>5</v>
      </c>
      <c r="K36" s="1" t="s">
        <v>2</v>
      </c>
      <c r="L36" s="1" t="s">
        <v>5</v>
      </c>
      <c r="M36" s="1" t="s">
        <v>2</v>
      </c>
    </row>
    <row r="37" spans="2:21" x14ac:dyDescent="0.25">
      <c r="B37" s="3">
        <v>2</v>
      </c>
      <c r="C37" s="5">
        <v>128.30000000000001</v>
      </c>
      <c r="D37" s="1">
        <v>14.67</v>
      </c>
      <c r="E37" s="1">
        <v>146.17599999999999</v>
      </c>
      <c r="F37" s="1">
        <v>5.5149999999999997</v>
      </c>
      <c r="G37">
        <f t="shared" ref="G37:G40" si="10">(C37+2*D37)/(E37+2*F37)</f>
        <v>1.0027607088787962</v>
      </c>
      <c r="H37">
        <f t="shared" si="6"/>
        <v>157.64000000000001</v>
      </c>
      <c r="I37" s="3">
        <v>2</v>
      </c>
      <c r="J37" s="5">
        <v>107.59699999999999</v>
      </c>
      <c r="K37" s="1">
        <v>3.7714500000000002</v>
      </c>
      <c r="L37" s="1">
        <v>109.02800000000001</v>
      </c>
      <c r="M37" s="1">
        <v>4.1028399999999996</v>
      </c>
      <c r="N37">
        <f t="shared" ref="N37:N39" si="11">(J37+2*K37)/(L37+2*M37)</f>
        <v>0.9821401153661643</v>
      </c>
      <c r="O37">
        <f t="shared" si="8"/>
        <v>115.1399</v>
      </c>
    </row>
    <row r="38" spans="2:21" x14ac:dyDescent="0.25">
      <c r="B38" s="2">
        <v>4</v>
      </c>
      <c r="C38" s="5">
        <v>142.15100000000001</v>
      </c>
      <c r="D38" s="1">
        <v>8.3699999999999992</v>
      </c>
      <c r="E38" s="1">
        <v>137.14599999999999</v>
      </c>
      <c r="F38" s="1">
        <v>14.714499999999999</v>
      </c>
      <c r="G38">
        <f t="shared" si="10"/>
        <v>0.95387062884586538</v>
      </c>
      <c r="H38">
        <f t="shared" si="6"/>
        <v>158.89100000000002</v>
      </c>
      <c r="I38" s="2">
        <v>4</v>
      </c>
      <c r="J38" s="5">
        <v>123.795</v>
      </c>
      <c r="K38" s="1">
        <v>12.0648</v>
      </c>
      <c r="L38" s="1">
        <v>111.833</v>
      </c>
      <c r="M38" s="1">
        <v>6.3395700000000001</v>
      </c>
      <c r="N38">
        <f t="shared" si="11"/>
        <v>1.1880335523909555</v>
      </c>
      <c r="O38">
        <f t="shared" si="8"/>
        <v>147.9246</v>
      </c>
    </row>
    <row r="39" spans="2:21" x14ac:dyDescent="0.25">
      <c r="B39" s="2">
        <v>7</v>
      </c>
      <c r="C39" s="5">
        <v>142.01</v>
      </c>
      <c r="D39" s="1">
        <v>11.76</v>
      </c>
      <c r="E39" s="1">
        <v>133.09100000000001</v>
      </c>
      <c r="F39" s="1">
        <v>15.025700000000001</v>
      </c>
      <c r="G39">
        <f t="shared" si="10"/>
        <v>1.0146350672786473</v>
      </c>
      <c r="H39">
        <f t="shared" si="6"/>
        <v>165.53</v>
      </c>
      <c r="I39" s="4">
        <v>7</v>
      </c>
      <c r="J39" s="5">
        <v>112.614</v>
      </c>
      <c r="K39" s="1">
        <v>6.9634600000000004</v>
      </c>
      <c r="L39" s="1">
        <v>91.340900000000005</v>
      </c>
      <c r="M39" s="1">
        <v>7.5299300000000002</v>
      </c>
      <c r="N39">
        <f t="shared" si="11"/>
        <v>1.1892858660032126</v>
      </c>
      <c r="O39">
        <f t="shared" si="8"/>
        <v>126.54092</v>
      </c>
    </row>
    <row r="40" spans="2:21" x14ac:dyDescent="0.25">
      <c r="B40" s="4">
        <v>15</v>
      </c>
      <c r="C40" s="5">
        <v>135.97</v>
      </c>
      <c r="D40" s="1">
        <v>12.28</v>
      </c>
      <c r="E40" s="1">
        <v>117.146</v>
      </c>
      <c r="F40" s="1">
        <v>9.89</v>
      </c>
      <c r="G40">
        <f t="shared" si="10"/>
        <v>1.1723850839139389</v>
      </c>
      <c r="H40">
        <f t="shared" si="6"/>
        <v>160.53</v>
      </c>
    </row>
    <row r="42" spans="2:21" x14ac:dyDescent="0.25">
      <c r="C42" s="79" t="s">
        <v>3</v>
      </c>
      <c r="D42" s="79"/>
      <c r="E42" s="79" t="s">
        <v>0</v>
      </c>
      <c r="F42" s="79"/>
    </row>
    <row r="43" spans="2:21" x14ac:dyDescent="0.25">
      <c r="C43" s="1" t="s">
        <v>1</v>
      </c>
      <c r="D43" s="1" t="s">
        <v>2</v>
      </c>
      <c r="E43" s="1" t="s">
        <v>1</v>
      </c>
      <c r="F43" s="1" t="s">
        <v>2</v>
      </c>
    </row>
    <row r="44" spans="2:21" x14ac:dyDescent="0.25">
      <c r="B44" s="3">
        <v>2</v>
      </c>
      <c r="C44" s="1">
        <f>(R81+R82+R83)/3</f>
        <v>19.310199999999998</v>
      </c>
      <c r="D44" s="1">
        <f>(S81+S82+S83)/3</f>
        <v>4.2851999999999997</v>
      </c>
      <c r="E44" s="1">
        <f>(T81+T82+T83)/3</f>
        <v>12.616216666666668</v>
      </c>
      <c r="F44" s="1">
        <f>(U81+U82+U83)/3</f>
        <v>2.9951266666666663</v>
      </c>
      <c r="P44" s="1">
        <v>22.7273</v>
      </c>
      <c r="Q44" s="1">
        <v>21.375299999999999</v>
      </c>
      <c r="R44" s="1">
        <v>28.797699999999999</v>
      </c>
      <c r="S44" s="8">
        <f>(P45/P44)</f>
        <v>0.11571986113616664</v>
      </c>
      <c r="T44" s="8">
        <f t="shared" ref="T44:U44" si="12">(Q45/Q44)</f>
        <v>0.17715447268576348</v>
      </c>
      <c r="U44" s="8">
        <f t="shared" si="12"/>
        <v>0.10591123596676123</v>
      </c>
    </row>
    <row r="45" spans="2:21" x14ac:dyDescent="0.25">
      <c r="B45" s="2">
        <v>4</v>
      </c>
      <c r="C45" s="1">
        <f>(R85+R86+R84)/3</f>
        <v>21.335399999999996</v>
      </c>
      <c r="D45" s="1">
        <f>(S85+S86+S84)/3</f>
        <v>4.4830666666666668</v>
      </c>
      <c r="E45" s="1">
        <f>(T85+T86+T84)/3</f>
        <v>17.950300000000002</v>
      </c>
      <c r="F45" s="1">
        <f>(U85+U86+U84)/3</f>
        <v>4.1236733333333335</v>
      </c>
      <c r="P45" s="1">
        <v>2.63</v>
      </c>
      <c r="Q45" s="1">
        <v>3.7867299999999999</v>
      </c>
      <c r="R45" s="1">
        <v>3.05</v>
      </c>
      <c r="S45" s="9"/>
      <c r="T45" s="9"/>
      <c r="U45" s="9"/>
    </row>
    <row r="46" spans="2:21" x14ac:dyDescent="0.25">
      <c r="B46" s="2">
        <v>7</v>
      </c>
      <c r="C46" s="1">
        <f>(R89+R88+R87)/3</f>
        <v>18.214433333333332</v>
      </c>
      <c r="D46" s="1">
        <f t="shared" ref="D46:F46" si="13">(S89+S88+S87)/3</f>
        <v>3.6860699999999995</v>
      </c>
      <c r="E46" s="1">
        <f t="shared" si="13"/>
        <v>20.086933333333334</v>
      </c>
      <c r="F46" s="1">
        <f t="shared" si="13"/>
        <v>6.2138666666666671</v>
      </c>
      <c r="P46" s="1">
        <v>35.6</v>
      </c>
      <c r="Q46" s="1">
        <v>22.3</v>
      </c>
      <c r="R46" s="1">
        <v>34</v>
      </c>
      <c r="S46" s="9">
        <f>(P47/P46)</f>
        <v>9.5505617977528087E-2</v>
      </c>
      <c r="T46" s="9">
        <f t="shared" ref="T46:U46" si="14">(Q47/Q46)</f>
        <v>0.11210762331838564</v>
      </c>
      <c r="U46" s="9">
        <f t="shared" si="14"/>
        <v>7.3529411764705885E-2</v>
      </c>
    </row>
    <row r="47" spans="2:21" x14ac:dyDescent="0.25">
      <c r="B47" s="4">
        <v>15</v>
      </c>
      <c r="C47" s="1">
        <f>(R90+R91+R92)/3</f>
        <v>16.56443333333333</v>
      </c>
      <c r="D47" s="1">
        <f t="shared" ref="D47:F47" si="15">(S90+S91+S92)/3</f>
        <v>3.3561600000000005</v>
      </c>
      <c r="E47" s="1">
        <f t="shared" si="15"/>
        <v>25.861566666666665</v>
      </c>
      <c r="F47" s="1">
        <f t="shared" si="15"/>
        <v>7.9979366666666651</v>
      </c>
      <c r="P47" s="1">
        <v>3.4</v>
      </c>
      <c r="Q47" s="1">
        <v>2.5</v>
      </c>
      <c r="R47" s="1">
        <v>2.5</v>
      </c>
    </row>
    <row r="48" spans="2:21" x14ac:dyDescent="0.25">
      <c r="S48" s="10">
        <f>S44/S46</f>
        <v>1.2116550166022155</v>
      </c>
      <c r="T48" s="10">
        <f t="shared" ref="T48:U48" si="16">T44/T46</f>
        <v>1.5802178963570104</v>
      </c>
      <c r="U48" s="10">
        <f t="shared" si="16"/>
        <v>1.4403928091479528</v>
      </c>
    </row>
    <row r="49" spans="3:22" x14ac:dyDescent="0.25">
      <c r="C49">
        <f>E44/C44</f>
        <v>0.65334469175185494</v>
      </c>
      <c r="E49">
        <f>(E44+2*F44)/(C44+2*D44 )</f>
        <v>0.66736261056074841</v>
      </c>
      <c r="P49">
        <f>(P46+2*P47)/(P44+2*P45)</f>
        <v>1.5149728626912922</v>
      </c>
      <c r="Q49">
        <f t="shared" ref="Q49:R49" si="17">(Q46+2*Q47)/(Q44+2*Q45)</f>
        <v>0.94304557431820912</v>
      </c>
      <c r="R49">
        <f t="shared" si="17"/>
        <v>1.1175521595979105</v>
      </c>
    </row>
    <row r="50" spans="3:22" x14ac:dyDescent="0.25">
      <c r="C50">
        <f t="shared" ref="C50:C52" si="18">E45/C45</f>
        <v>0.8413388078029943</v>
      </c>
      <c r="E50">
        <f t="shared" ref="E50:E52" si="19">(E45+2*F45)/(C45+2*D45 )</f>
        <v>0.86456504951344615</v>
      </c>
      <c r="P50">
        <f>11.286*P49-5.9812</f>
        <v>11.116783728333921</v>
      </c>
      <c r="Q50">
        <f t="shared" ref="Q50:R50" si="20">11.286*Q49-5.9812</f>
        <v>4.6620123517553074</v>
      </c>
      <c r="R50">
        <f t="shared" si="20"/>
        <v>6.6314936732220184</v>
      </c>
    </row>
    <row r="51" spans="3:22" x14ac:dyDescent="0.25">
      <c r="C51">
        <f t="shared" si="18"/>
        <v>1.1028030883932707</v>
      </c>
      <c r="E51">
        <f t="shared" si="19"/>
        <v>1.2707706594031352</v>
      </c>
    </row>
    <row r="52" spans="3:22" x14ac:dyDescent="0.25">
      <c r="C52">
        <f t="shared" si="18"/>
        <v>1.5612708353037534</v>
      </c>
      <c r="E52">
        <f t="shared" si="19"/>
        <v>1.7982507869797419</v>
      </c>
    </row>
    <row r="53" spans="3:22" x14ac:dyDescent="0.25">
      <c r="Q53" s="1"/>
      <c r="R53" s="1">
        <v>2</v>
      </c>
      <c r="S53" s="1">
        <v>4</v>
      </c>
      <c r="T53" s="1">
        <v>7</v>
      </c>
      <c r="U53" s="1">
        <v>15</v>
      </c>
    </row>
    <row r="54" spans="3:22" x14ac:dyDescent="0.25">
      <c r="Q54" s="1" t="s">
        <v>6</v>
      </c>
      <c r="R54" s="1">
        <f>11.286*F8-5.9812</f>
        <v>3.6205273748712186</v>
      </c>
      <c r="S54" s="1">
        <f>11.286*F9-5.9812</f>
        <v>4.6620123517553074</v>
      </c>
      <c r="T54" s="1">
        <f>11.286*F10-5.9812</f>
        <v>6.6314936732220184</v>
      </c>
      <c r="U54" s="1">
        <f>11.286*F11-5.9812</f>
        <v>11.116783728333921</v>
      </c>
    </row>
    <row r="55" spans="3:22" x14ac:dyDescent="0.25">
      <c r="Q55" s="78" t="s">
        <v>7</v>
      </c>
      <c r="R55" s="1">
        <f>11.286*V65-5.9812</f>
        <v>0.30623487335859245</v>
      </c>
      <c r="S55" s="1">
        <f>11.286*V68-5.9812</f>
        <v>5.8326787140807257</v>
      </c>
      <c r="T55" s="1">
        <f>11.286*V71-5.9812</f>
        <v>8.2596185371113613</v>
      </c>
      <c r="U55" s="1">
        <f>11.286*V74-5.9812</f>
        <v>11.368356486617269</v>
      </c>
    </row>
    <row r="56" spans="3:22" x14ac:dyDescent="0.25">
      <c r="Q56" s="78"/>
      <c r="R56" s="1">
        <f t="shared" ref="R56:R57" si="21">11.286*V66-5.9812</f>
        <v>2.4924978683612666</v>
      </c>
      <c r="S56" s="1">
        <f t="shared" ref="S56:S57" si="22">11.286*V69-5.9812</f>
        <v>3.9575907426508499</v>
      </c>
      <c r="T56" s="1">
        <f t="shared" ref="T56:T57" si="23">11.286*V72-5.9812</f>
        <v>7.0460055097470766</v>
      </c>
      <c r="U56" s="1">
        <f t="shared" ref="U56:U57" si="24">11.286*V75-5.9812</f>
        <v>15.141992416678455</v>
      </c>
    </row>
    <row r="57" spans="3:22" x14ac:dyDescent="0.25">
      <c r="Q57" s="78"/>
      <c r="R57" s="1">
        <f t="shared" si="21"/>
        <v>3.1144018833141187</v>
      </c>
      <c r="S57" s="1">
        <f t="shared" si="22"/>
        <v>5.0933081892550076</v>
      </c>
      <c r="T57" s="1">
        <f t="shared" si="23"/>
        <v>9.6326637320751622</v>
      </c>
      <c r="U57" s="1">
        <f t="shared" si="24"/>
        <v>14.736354613546439</v>
      </c>
    </row>
    <row r="58" spans="3:22" x14ac:dyDescent="0.25">
      <c r="Q58" s="78" t="s">
        <v>8</v>
      </c>
      <c r="R58" s="1">
        <f>11.286*V81-5.9812</f>
        <v>0.38708700093493231</v>
      </c>
      <c r="S58" s="1">
        <f>11.286*V84-5.9812</f>
        <v>4.3278952650394791</v>
      </c>
      <c r="T58" s="1">
        <f>11.286*V87-5.9812</f>
        <v>8.3933118576264718</v>
      </c>
      <c r="U58" s="1">
        <f>11.286*V90-5.9812</f>
        <v>11.537150464968107</v>
      </c>
    </row>
    <row r="59" spans="3:22" x14ac:dyDescent="0.25">
      <c r="Q59" s="78"/>
      <c r="R59" s="1">
        <f t="shared" ref="R59:R60" si="25">11.286*V82-5.9812</f>
        <v>1.7535560672332844</v>
      </c>
      <c r="S59" s="1">
        <f t="shared" ref="S59:S60" si="26">11.286*V85-5.9812</f>
        <v>3.3530295576779379</v>
      </c>
      <c r="T59" s="1">
        <f t="shared" ref="T59:T60" si="27">11.286*V88-5.9812</f>
        <v>6.6347341671498379</v>
      </c>
      <c r="U59" s="1">
        <f t="shared" ref="U59:U60" si="28">11.286*V91-5.9812</f>
        <v>16.481700335649585</v>
      </c>
    </row>
    <row r="60" spans="3:22" x14ac:dyDescent="0.25">
      <c r="C60">
        <v>105.863</v>
      </c>
      <c r="D60">
        <v>18.432300000000001</v>
      </c>
      <c r="F60">
        <v>117.508</v>
      </c>
      <c r="G60">
        <v>13.632400000000001</v>
      </c>
      <c r="I60">
        <v>145.55799999999999</v>
      </c>
      <c r="J60">
        <v>24.0687</v>
      </c>
      <c r="L60">
        <v>136.31</v>
      </c>
      <c r="M60">
        <v>23.5533</v>
      </c>
      <c r="Q60" s="78"/>
      <c r="R60" s="1">
        <f t="shared" si="25"/>
        <v>2.22252787326362</v>
      </c>
      <c r="S60" s="1">
        <f t="shared" si="26"/>
        <v>3.5430100428699811</v>
      </c>
      <c r="T60" s="1">
        <f t="shared" si="27"/>
        <v>9.7700473414996729</v>
      </c>
      <c r="U60" s="1">
        <f t="shared" si="28"/>
        <v>15.793541192169705</v>
      </c>
    </row>
    <row r="61" spans="3:22" x14ac:dyDescent="0.25">
      <c r="C61">
        <v>139.78700000000001</v>
      </c>
      <c r="D61">
        <v>11.335900000000001</v>
      </c>
      <c r="F61">
        <v>137.68199999999999</v>
      </c>
      <c r="G61">
        <v>17.162600000000001</v>
      </c>
      <c r="I61">
        <v>134.786</v>
      </c>
      <c r="J61">
        <v>16.0974</v>
      </c>
      <c r="L61">
        <v>140.733</v>
      </c>
      <c r="M61">
        <v>26.527799999999999</v>
      </c>
    </row>
    <row r="62" spans="3:22" x14ac:dyDescent="0.25">
      <c r="C62">
        <v>111.956</v>
      </c>
      <c r="D62">
        <v>8.0804500000000008</v>
      </c>
      <c r="F62">
        <v>147.58000000000001</v>
      </c>
      <c r="G62">
        <v>23.055900000000001</v>
      </c>
      <c r="I62">
        <v>142.37899999999999</v>
      </c>
      <c r="J62">
        <v>20.0947</v>
      </c>
      <c r="L62">
        <v>150.398</v>
      </c>
      <c r="M62">
        <v>27.503599999999999</v>
      </c>
      <c r="Q62" s="78" t="s">
        <v>7</v>
      </c>
      <c r="R62" s="78"/>
      <c r="S62" s="78"/>
      <c r="T62" s="78"/>
      <c r="U62" s="78"/>
      <c r="V62" s="78"/>
    </row>
    <row r="63" spans="3:22" x14ac:dyDescent="0.25">
      <c r="Q63" s="1"/>
      <c r="R63" s="79" t="s">
        <v>3</v>
      </c>
      <c r="S63" s="79"/>
      <c r="T63" s="79" t="s">
        <v>0</v>
      </c>
      <c r="U63" s="79"/>
      <c r="V63" s="1"/>
    </row>
    <row r="64" spans="3:22" x14ac:dyDescent="0.25">
      <c r="Q64" s="1"/>
      <c r="R64" s="1" t="s">
        <v>1</v>
      </c>
      <c r="S64" s="1" t="s">
        <v>2</v>
      </c>
      <c r="T64" s="1" t="s">
        <v>1</v>
      </c>
      <c r="U64" s="1" t="s">
        <v>2</v>
      </c>
      <c r="V64" s="11" t="s">
        <v>9</v>
      </c>
    </row>
    <row r="65" spans="17:22" x14ac:dyDescent="0.25">
      <c r="Q65" s="78">
        <v>2</v>
      </c>
      <c r="R65" s="1">
        <v>14.1942</v>
      </c>
      <c r="S65" s="1">
        <v>0.67725299999999999</v>
      </c>
      <c r="T65" s="1">
        <v>7.59762</v>
      </c>
      <c r="U65" s="1">
        <v>0.53228500000000001</v>
      </c>
      <c r="V65" s="1">
        <f>(T65+2*U65)/(R65+2*S65)</f>
        <v>0.55710037864244133</v>
      </c>
    </row>
    <row r="66" spans="17:22" x14ac:dyDescent="0.25">
      <c r="Q66" s="78"/>
      <c r="R66" s="1">
        <v>10.940799999999999</v>
      </c>
      <c r="S66" s="1">
        <v>2.64636</v>
      </c>
      <c r="T66" s="1">
        <v>8.7151499999999995</v>
      </c>
      <c r="U66" s="1">
        <v>1.73661</v>
      </c>
      <c r="V66" s="1">
        <f t="shared" ref="V66:V76" si="29">(T66+2*U66)/(R66+2*S66)</f>
        <v>0.75081498036162209</v>
      </c>
    </row>
    <row r="67" spans="17:22" x14ac:dyDescent="0.25">
      <c r="Q67" s="78"/>
      <c r="R67" s="1">
        <v>21.511600000000001</v>
      </c>
      <c r="S67" s="1">
        <v>0.91808900000000004</v>
      </c>
      <c r="T67" s="1">
        <v>17.711099999999998</v>
      </c>
      <c r="U67" s="1">
        <v>0.55265900000000001</v>
      </c>
      <c r="V67" s="1">
        <f t="shared" si="29"/>
        <v>0.80591900436949493</v>
      </c>
    </row>
    <row r="68" spans="17:22" x14ac:dyDescent="0.25">
      <c r="Q68" s="78">
        <v>4</v>
      </c>
      <c r="R68" s="1">
        <v>19.805499999999999</v>
      </c>
      <c r="S68" s="1">
        <v>1.7424599999999999</v>
      </c>
      <c r="T68" s="1">
        <v>18.182500000000001</v>
      </c>
      <c r="U68" s="1">
        <v>3.0986400000000001</v>
      </c>
      <c r="V68" s="1">
        <f t="shared" si="29"/>
        <v>1.0467728791494531</v>
      </c>
    </row>
    <row r="69" spans="17:22" x14ac:dyDescent="0.25">
      <c r="Q69" s="78"/>
      <c r="R69" s="1">
        <v>16.191099999999999</v>
      </c>
      <c r="S69" s="1">
        <v>1.6770099999999999</v>
      </c>
      <c r="T69" s="1">
        <v>14.629</v>
      </c>
      <c r="U69" s="1">
        <v>1.2915099999999999</v>
      </c>
      <c r="V69" s="1">
        <f t="shared" si="29"/>
        <v>0.88063004985387661</v>
      </c>
    </row>
    <row r="70" spans="17:22" x14ac:dyDescent="0.25">
      <c r="Q70" s="78"/>
      <c r="R70" s="1">
        <v>13.6013</v>
      </c>
      <c r="S70" s="1">
        <v>0.91708500000000004</v>
      </c>
      <c r="T70" s="1">
        <v>12.6625</v>
      </c>
      <c r="U70" s="1">
        <v>1.24186</v>
      </c>
      <c r="V70" s="1">
        <f t="shared" si="29"/>
        <v>0.98126069371389402</v>
      </c>
    </row>
    <row r="71" spans="17:22" x14ac:dyDescent="0.25">
      <c r="Q71" s="78">
        <v>7</v>
      </c>
      <c r="R71" s="1">
        <v>14.3842</v>
      </c>
      <c r="S71" s="1">
        <v>1.1544000000000001</v>
      </c>
      <c r="T71" s="1">
        <v>18.761900000000001</v>
      </c>
      <c r="U71" s="1">
        <v>1.1507700000000001</v>
      </c>
      <c r="V71" s="1">
        <f t="shared" si="29"/>
        <v>1.2618127358773137</v>
      </c>
    </row>
    <row r="72" spans="17:22" x14ac:dyDescent="0.25">
      <c r="Q72" s="78"/>
      <c r="R72" s="1">
        <v>12.603</v>
      </c>
      <c r="S72" s="1">
        <v>0.96765400000000001</v>
      </c>
      <c r="T72" s="1">
        <v>13.2018</v>
      </c>
      <c r="U72" s="1">
        <v>1.7897400000000001</v>
      </c>
      <c r="V72" s="1">
        <f t="shared" si="29"/>
        <v>1.1542801266832428</v>
      </c>
    </row>
    <row r="73" spans="17:22" x14ac:dyDescent="0.25">
      <c r="Q73" s="78"/>
      <c r="R73" s="1">
        <v>15.9086</v>
      </c>
      <c r="S73" s="1">
        <v>1.1022700000000001</v>
      </c>
      <c r="T73" s="1">
        <v>18.776599999999998</v>
      </c>
      <c r="U73" s="1">
        <v>3.1412100000000001</v>
      </c>
      <c r="V73" s="1">
        <f t="shared" si="29"/>
        <v>1.3834718883639168</v>
      </c>
    </row>
    <row r="74" spans="17:22" x14ac:dyDescent="0.25">
      <c r="Q74" s="78">
        <v>15</v>
      </c>
      <c r="R74" s="1">
        <v>16.555</v>
      </c>
      <c r="S74" s="1">
        <v>0.76975800000000005</v>
      </c>
      <c r="T74" s="1">
        <v>21.246200000000002</v>
      </c>
      <c r="U74" s="1">
        <v>3.2849200000000001</v>
      </c>
      <c r="V74" s="1">
        <f t="shared" si="29"/>
        <v>1.5372635554330385</v>
      </c>
    </row>
    <row r="75" spans="17:22" x14ac:dyDescent="0.25">
      <c r="Q75" s="78"/>
      <c r="R75" s="1">
        <v>13.6976</v>
      </c>
      <c r="S75" s="1">
        <v>0.57274999999999998</v>
      </c>
      <c r="T75" s="1">
        <v>21.2439</v>
      </c>
      <c r="U75" s="1">
        <v>3.2684299999999999</v>
      </c>
      <c r="V75" s="1">
        <f t="shared" si="29"/>
        <v>1.8716278944425357</v>
      </c>
    </row>
    <row r="76" spans="17:22" x14ac:dyDescent="0.25">
      <c r="Q76" s="78"/>
      <c r="R76" s="1">
        <v>12.932</v>
      </c>
      <c r="S76" s="1">
        <v>0.25179299999999999</v>
      </c>
      <c r="T76" s="1">
        <v>18.353999999999999</v>
      </c>
      <c r="U76" s="1">
        <v>3.15476</v>
      </c>
      <c r="V76" s="1">
        <f t="shared" si="29"/>
        <v>1.8356862142075527</v>
      </c>
    </row>
    <row r="78" spans="17:22" x14ac:dyDescent="0.25">
      <c r="Q78" s="78" t="s">
        <v>8</v>
      </c>
      <c r="R78" s="78"/>
      <c r="S78" s="78"/>
      <c r="T78" s="78"/>
      <c r="U78" s="78"/>
      <c r="V78" s="78"/>
    </row>
    <row r="79" spans="17:22" x14ac:dyDescent="0.25">
      <c r="Q79" s="1"/>
      <c r="R79" s="79" t="s">
        <v>3</v>
      </c>
      <c r="S79" s="79"/>
      <c r="T79" s="79" t="s">
        <v>0</v>
      </c>
      <c r="U79" s="79"/>
      <c r="V79" s="1"/>
    </row>
    <row r="80" spans="17:22" x14ac:dyDescent="0.25">
      <c r="Q80" s="1"/>
      <c r="R80" s="1" t="s">
        <v>1</v>
      </c>
      <c r="S80" s="1" t="s">
        <v>2</v>
      </c>
      <c r="T80" s="1" t="s">
        <v>1</v>
      </c>
      <c r="U80" s="1" t="s">
        <v>2</v>
      </c>
      <c r="V80" s="11" t="s">
        <v>9</v>
      </c>
    </row>
    <row r="81" spans="17:22" x14ac:dyDescent="0.25">
      <c r="Q81" s="78">
        <v>2</v>
      </c>
      <c r="R81" s="1">
        <v>15.888500000000001</v>
      </c>
      <c r="S81" s="1">
        <v>4.0459199999999997</v>
      </c>
      <c r="T81" s="1">
        <v>8.0804500000000008</v>
      </c>
      <c r="U81" s="1">
        <v>2.7254</v>
      </c>
      <c r="V81" s="1">
        <f>(T81+2*U81)/(R81+2*S81)</f>
        <v>0.56426430984714981</v>
      </c>
    </row>
    <row r="82" spans="17:22" x14ac:dyDescent="0.25">
      <c r="Q82" s="78"/>
      <c r="R82" s="1">
        <v>17.805399999999999</v>
      </c>
      <c r="S82" s="1">
        <v>4.0855100000000002</v>
      </c>
      <c r="T82" s="1">
        <v>11.335900000000001</v>
      </c>
      <c r="U82" s="1">
        <v>3.2334000000000001</v>
      </c>
      <c r="V82" s="1">
        <f t="shared" ref="V82:V92" si="30">(T82+2*U82)/(R82+2*S82)</f>
        <v>0.68534078214011029</v>
      </c>
    </row>
    <row r="83" spans="17:22" x14ac:dyDescent="0.25">
      <c r="Q83" s="78"/>
      <c r="R83" s="1">
        <v>24.236699999999999</v>
      </c>
      <c r="S83" s="1">
        <v>4.72417</v>
      </c>
      <c r="T83" s="1">
        <v>18.432300000000001</v>
      </c>
      <c r="U83" s="1">
        <v>3.02658</v>
      </c>
      <c r="V83" s="1">
        <f t="shared" si="30"/>
        <v>0.72689419398047328</v>
      </c>
    </row>
    <row r="84" spans="17:22" x14ac:dyDescent="0.25">
      <c r="Q84" s="78">
        <v>4</v>
      </c>
      <c r="R84" s="1">
        <v>25.254200000000001</v>
      </c>
      <c r="S84" s="1">
        <v>4.4805400000000004</v>
      </c>
      <c r="T84" s="1">
        <v>23.055900000000001</v>
      </c>
      <c r="U84" s="1">
        <v>4.0988699999999998</v>
      </c>
      <c r="V84" s="1">
        <f t="shared" si="30"/>
        <v>0.91344101231964203</v>
      </c>
    </row>
    <row r="85" spans="17:22" x14ac:dyDescent="0.25">
      <c r="Q85" s="78"/>
      <c r="R85" s="1">
        <v>21.4209</v>
      </c>
      <c r="S85" s="1">
        <v>4.1585799999999997</v>
      </c>
      <c r="T85" s="1">
        <v>17.162600000000001</v>
      </c>
      <c r="U85" s="1">
        <v>3.7163200000000001</v>
      </c>
      <c r="V85" s="1">
        <f t="shared" si="30"/>
        <v>0.8270626933969466</v>
      </c>
    </row>
    <row r="86" spans="17:22" x14ac:dyDescent="0.25">
      <c r="Q86" s="78"/>
      <c r="R86" s="1">
        <v>17.331099999999999</v>
      </c>
      <c r="S86" s="1">
        <v>4.8100800000000001</v>
      </c>
      <c r="T86" s="1">
        <v>13.632400000000001</v>
      </c>
      <c r="U86" s="1">
        <v>4.5558300000000003</v>
      </c>
      <c r="V86" s="1">
        <f t="shared" si="30"/>
        <v>0.84389598111553976</v>
      </c>
    </row>
    <row r="87" spans="17:22" x14ac:dyDescent="0.25">
      <c r="Q87" s="78">
        <v>7</v>
      </c>
      <c r="R87" s="1">
        <v>18.779</v>
      </c>
      <c r="S87" s="1">
        <v>3.7792400000000002</v>
      </c>
      <c r="T87" s="1">
        <v>20.0947</v>
      </c>
      <c r="U87" s="1">
        <v>6.7251300000000001</v>
      </c>
      <c r="V87" s="1">
        <f t="shared" si="30"/>
        <v>1.2736586795699514</v>
      </c>
    </row>
    <row r="88" spans="17:22" x14ac:dyDescent="0.25">
      <c r="Q88" s="78"/>
      <c r="R88" s="1">
        <v>16.123799999999999</v>
      </c>
      <c r="S88" s="1">
        <v>3.4074499999999999</v>
      </c>
      <c r="T88" s="1">
        <v>16.0974</v>
      </c>
      <c r="U88" s="1">
        <v>4.7721900000000002</v>
      </c>
      <c r="V88" s="1">
        <f t="shared" si="30"/>
        <v>1.1178392847022718</v>
      </c>
    </row>
    <row r="89" spans="17:22" x14ac:dyDescent="0.25">
      <c r="Q89" s="78"/>
      <c r="R89" s="1">
        <v>19.740500000000001</v>
      </c>
      <c r="S89" s="1">
        <v>3.8715199999999999</v>
      </c>
      <c r="T89" s="1">
        <v>24.0687</v>
      </c>
      <c r="U89" s="1">
        <v>7.1442800000000002</v>
      </c>
      <c r="V89" s="1">
        <f t="shared" si="30"/>
        <v>1.3956448114034798</v>
      </c>
    </row>
    <row r="90" spans="17:22" x14ac:dyDescent="0.25">
      <c r="Q90" s="78">
        <v>15</v>
      </c>
      <c r="R90" s="1">
        <v>19.8874</v>
      </c>
      <c r="S90" s="1">
        <v>4.0250000000000004</v>
      </c>
      <c r="T90" s="1">
        <v>27.503599999999999</v>
      </c>
      <c r="U90" s="1">
        <v>7.9306900000000002</v>
      </c>
      <c r="V90" s="1">
        <f t="shared" si="30"/>
        <v>1.5522196052603321</v>
      </c>
    </row>
    <row r="91" spans="17:22" x14ac:dyDescent="0.25">
      <c r="Q91" s="78"/>
      <c r="R91" s="1">
        <v>15.476800000000001</v>
      </c>
      <c r="S91" s="1">
        <v>3.5859100000000002</v>
      </c>
      <c r="T91" s="1">
        <v>26.527799999999999</v>
      </c>
      <c r="U91" s="1">
        <v>9.2752499999999998</v>
      </c>
      <c r="V91" s="1">
        <f t="shared" si="30"/>
        <v>1.9903331858629796</v>
      </c>
    </row>
    <row r="92" spans="17:22" x14ac:dyDescent="0.25">
      <c r="Q92" s="78"/>
      <c r="R92" s="1">
        <v>14.3291</v>
      </c>
      <c r="S92" s="1">
        <v>2.45757</v>
      </c>
      <c r="T92" s="1">
        <v>23.5533</v>
      </c>
      <c r="U92" s="1">
        <v>6.7878699999999998</v>
      </c>
      <c r="V92" s="1">
        <f t="shared" si="30"/>
        <v>1.9293586028858505</v>
      </c>
    </row>
    <row r="100" spans="1:1" x14ac:dyDescent="0.25">
      <c r="A100" s="9"/>
    </row>
  </sheetData>
  <mergeCells count="30">
    <mergeCell ref="B6:C6"/>
    <mergeCell ref="D6:E6"/>
    <mergeCell ref="I6:J6"/>
    <mergeCell ref="K6:L6"/>
    <mergeCell ref="C42:D42"/>
    <mergeCell ref="E42:F42"/>
    <mergeCell ref="C28:D28"/>
    <mergeCell ref="E28:F28"/>
    <mergeCell ref="J28:K28"/>
    <mergeCell ref="L28:M28"/>
    <mergeCell ref="C35:D35"/>
    <mergeCell ref="E35:F35"/>
    <mergeCell ref="J35:K35"/>
    <mergeCell ref="L35:M35"/>
    <mergeCell ref="Q55:Q57"/>
    <mergeCell ref="Q58:Q60"/>
    <mergeCell ref="R63:S63"/>
    <mergeCell ref="Q87:Q89"/>
    <mergeCell ref="Q90:Q92"/>
    <mergeCell ref="Q78:V78"/>
    <mergeCell ref="R79:S79"/>
    <mergeCell ref="T79:U79"/>
    <mergeCell ref="Q81:Q83"/>
    <mergeCell ref="Q84:Q86"/>
    <mergeCell ref="Q65:Q67"/>
    <mergeCell ref="Q68:Q70"/>
    <mergeCell ref="Q71:Q73"/>
    <mergeCell ref="Q74:Q76"/>
    <mergeCell ref="Q62:V62"/>
    <mergeCell ref="T63:U63"/>
  </mergeCells>
  <pageMargins left="0.7" right="0.7" top="0.75" bottom="0.75" header="0.3" footer="0.3"/>
  <ignoredErrors>
    <ignoredError sqref="F45 D45:E4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82"/>
  <sheetViews>
    <sheetView topLeftCell="B1" workbookViewId="0">
      <selection activeCell="D3" sqref="D3:O5"/>
    </sheetView>
  </sheetViews>
  <sheetFormatPr defaultRowHeight="15" x14ac:dyDescent="0.25"/>
  <cols>
    <col min="23" max="23" width="9.5703125" customWidth="1"/>
  </cols>
  <sheetData>
    <row r="3" spans="2:21" x14ac:dyDescent="0.25">
      <c r="C3" s="14"/>
      <c r="D3" s="84" t="s">
        <v>20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</row>
    <row r="4" spans="2:21" x14ac:dyDescent="0.25">
      <c r="C4" s="14"/>
      <c r="D4" s="80" t="s">
        <v>5</v>
      </c>
      <c r="E4" s="81"/>
      <c r="F4" s="81"/>
      <c r="G4" s="81"/>
      <c r="H4" s="82" t="s">
        <v>18</v>
      </c>
      <c r="I4" s="82"/>
      <c r="J4" s="82"/>
      <c r="K4" s="82"/>
      <c r="L4" s="83" t="s">
        <v>10</v>
      </c>
      <c r="M4" s="83"/>
      <c r="N4" s="83"/>
      <c r="O4" s="83"/>
      <c r="P4" s="79" t="s">
        <v>15</v>
      </c>
      <c r="Q4" s="79"/>
      <c r="R4" s="79"/>
    </row>
    <row r="5" spans="2:21" x14ac:dyDescent="0.25">
      <c r="C5" s="15"/>
      <c r="D5" s="80" t="s">
        <v>3</v>
      </c>
      <c r="E5" s="81"/>
      <c r="F5" s="81" t="s">
        <v>0</v>
      </c>
      <c r="G5" s="81"/>
      <c r="H5" s="82" t="s">
        <v>3</v>
      </c>
      <c r="I5" s="82"/>
      <c r="J5" s="82" t="s">
        <v>0</v>
      </c>
      <c r="K5" s="82"/>
      <c r="L5" s="83" t="s">
        <v>3</v>
      </c>
      <c r="M5" s="83"/>
      <c r="N5" s="83" t="s">
        <v>0</v>
      </c>
      <c r="O5" s="83"/>
      <c r="P5" s="17" t="s">
        <v>16</v>
      </c>
      <c r="Q5" s="17" t="s">
        <v>17</v>
      </c>
      <c r="R5" s="3" t="s">
        <v>19</v>
      </c>
      <c r="S5" s="2" t="s">
        <v>24</v>
      </c>
      <c r="T5" s="79" t="s">
        <v>37</v>
      </c>
      <c r="U5" s="79"/>
    </row>
    <row r="6" spans="2:21" ht="15.75" thickBot="1" x14ac:dyDescent="0.3">
      <c r="B6">
        <v>2</v>
      </c>
      <c r="C6" s="85" t="s">
        <v>11</v>
      </c>
      <c r="D6" s="25">
        <v>107.455</v>
      </c>
      <c r="E6" s="25">
        <v>5.9093</v>
      </c>
      <c r="F6" s="25">
        <v>105.902</v>
      </c>
      <c r="G6" s="25">
        <v>7.1934199999999997</v>
      </c>
      <c r="H6" s="24">
        <v>13.3597</v>
      </c>
      <c r="I6" s="24">
        <v>1.242</v>
      </c>
      <c r="J6" s="24">
        <v>7.59762</v>
      </c>
      <c r="K6" s="24">
        <v>0.53228500000000001</v>
      </c>
      <c r="L6" s="26">
        <v>194.94499999999999</v>
      </c>
      <c r="M6" s="26">
        <v>2.3449800000000001</v>
      </c>
      <c r="N6" s="26">
        <v>197.34800000000001</v>
      </c>
      <c r="O6" s="26">
        <v>1.66422</v>
      </c>
      <c r="P6" s="31">
        <f>(J6+2*K6)/(H6+2*I6)</f>
        <v>0.54672772142870674</v>
      </c>
      <c r="Q6">
        <f>11.935*P6 - 6.7718</f>
        <v>-0.24660464474838495</v>
      </c>
      <c r="R6" s="20"/>
      <c r="S6" s="20"/>
      <c r="T6" s="8">
        <f>M6/L6</f>
        <v>1.202893123701557E-2</v>
      </c>
      <c r="U6" s="8">
        <f>O6/N6</f>
        <v>8.4329205261771088E-3</v>
      </c>
    </row>
    <row r="7" spans="2:21" ht="15.75" thickBot="1" x14ac:dyDescent="0.3">
      <c r="B7">
        <v>4</v>
      </c>
      <c r="C7" s="78"/>
      <c r="D7" s="25">
        <v>120.381</v>
      </c>
      <c r="E7" s="25">
        <v>4.2937700000000003</v>
      </c>
      <c r="F7" s="25">
        <v>129</v>
      </c>
      <c r="G7" s="25">
        <v>5.5888499999999999</v>
      </c>
      <c r="H7" s="24">
        <v>13.380599999999999</v>
      </c>
      <c r="I7" s="24">
        <v>0.94508700000000001</v>
      </c>
      <c r="J7" s="24">
        <v>10.2395</v>
      </c>
      <c r="K7" s="24">
        <v>0.87290900000000005</v>
      </c>
      <c r="L7" s="26">
        <v>191.41200000000001</v>
      </c>
      <c r="M7" s="26">
        <v>2.24302</v>
      </c>
      <c r="N7" s="26">
        <v>194.697</v>
      </c>
      <c r="O7" s="26">
        <v>1.23706</v>
      </c>
      <c r="P7" s="1">
        <f t="shared" ref="P7:P17" si="0">(J7+2*K7)/(H7+2*I7)</f>
        <v>0.78485334142198682</v>
      </c>
      <c r="Q7">
        <f>11.935*P7 - 6.7718</f>
        <v>2.5954246298714141</v>
      </c>
      <c r="R7" s="21">
        <f>(P6+P7)/2</f>
        <v>0.66579053142534672</v>
      </c>
      <c r="S7" s="21">
        <f>(P6+P7+P8)/3</f>
        <v>0.72019464895224117</v>
      </c>
      <c r="T7" s="8">
        <f t="shared" ref="T7:T17" si="1">M7/L7</f>
        <v>1.1718283075251291E-2</v>
      </c>
      <c r="U7" s="8">
        <f t="shared" ref="U7:U17" si="2">O7/N7</f>
        <v>6.3537702173120285E-3</v>
      </c>
    </row>
    <row r="8" spans="2:21" x14ac:dyDescent="0.25">
      <c r="B8">
        <v>7</v>
      </c>
      <c r="C8" s="78"/>
      <c r="D8" s="22">
        <v>103.788</v>
      </c>
      <c r="E8" s="22">
        <v>5.1082200000000002</v>
      </c>
      <c r="F8" s="38">
        <v>95.698800000000006</v>
      </c>
      <c r="G8" s="22">
        <v>4.0132399999999997</v>
      </c>
      <c r="H8" s="22">
        <v>21.817499999999999</v>
      </c>
      <c r="I8" s="22">
        <v>0.72714800000000002</v>
      </c>
      <c r="J8" s="22">
        <v>17.489999999999998</v>
      </c>
      <c r="K8" s="22">
        <v>0.90119300000000002</v>
      </c>
      <c r="L8" s="22">
        <v>211.86099999999999</v>
      </c>
      <c r="M8" s="22">
        <v>1.6836800000000001</v>
      </c>
      <c r="N8" s="38">
        <v>212.66300000000001</v>
      </c>
      <c r="O8" s="22">
        <v>1.6127800000000001</v>
      </c>
      <c r="P8" s="23">
        <f t="shared" si="0"/>
        <v>0.82900288400603028</v>
      </c>
      <c r="Q8" s="29">
        <f t="shared" ref="Q8:Q17" si="3">11.935*P8 - 6.7718</f>
        <v>3.1223494206119726</v>
      </c>
      <c r="R8" s="19"/>
      <c r="S8" s="19"/>
      <c r="T8" s="8">
        <f t="shared" si="1"/>
        <v>7.9470973893260213E-3</v>
      </c>
      <c r="U8" s="8">
        <f t="shared" si="2"/>
        <v>7.5837357697389769E-3</v>
      </c>
    </row>
    <row r="9" spans="2:21" ht="15.75" thickBot="1" x14ac:dyDescent="0.3">
      <c r="B9">
        <v>15</v>
      </c>
      <c r="C9" s="78" t="s">
        <v>12</v>
      </c>
      <c r="D9" s="38">
        <v>127.938</v>
      </c>
      <c r="E9" s="25">
        <v>7.8078799999999999</v>
      </c>
      <c r="F9" s="25">
        <v>138.57599999999999</v>
      </c>
      <c r="G9" s="25">
        <v>9.2089599999999994</v>
      </c>
      <c r="H9" s="24">
        <v>20.5975</v>
      </c>
      <c r="I9" s="24">
        <v>1.25562</v>
      </c>
      <c r="J9" s="24">
        <v>20.098500000000001</v>
      </c>
      <c r="K9" s="24">
        <v>1.5924100000000001</v>
      </c>
      <c r="L9" s="26">
        <v>199.988</v>
      </c>
      <c r="M9" s="26">
        <v>1.99892</v>
      </c>
      <c r="N9" s="26">
        <v>197.45500000000001</v>
      </c>
      <c r="O9" s="26">
        <v>2.2048999999999999</v>
      </c>
      <c r="P9" s="1">
        <f t="shared" si="0"/>
        <v>1.0075547173926402</v>
      </c>
      <c r="Q9">
        <f t="shared" si="3"/>
        <v>5.2533655520811626</v>
      </c>
      <c r="R9" s="19"/>
      <c r="S9" s="19"/>
      <c r="T9" s="8">
        <f t="shared" si="1"/>
        <v>9.9951997119827191E-3</v>
      </c>
      <c r="U9" s="8">
        <f t="shared" si="2"/>
        <v>1.11665949203616E-2</v>
      </c>
    </row>
    <row r="10" spans="2:21" ht="15.75" thickBot="1" x14ac:dyDescent="0.3">
      <c r="C10" s="78"/>
      <c r="D10" s="25">
        <v>115.79</v>
      </c>
      <c r="E10" s="25">
        <v>7.5990799999999998</v>
      </c>
      <c r="F10" s="25">
        <v>125.989</v>
      </c>
      <c r="G10" s="25">
        <v>7.5881100000000004</v>
      </c>
      <c r="H10" s="24">
        <v>17.2346</v>
      </c>
      <c r="I10" s="24">
        <v>1.1396900000000001</v>
      </c>
      <c r="J10" s="24">
        <v>14.629</v>
      </c>
      <c r="K10" s="24">
        <v>1.2915099999999999</v>
      </c>
      <c r="L10" s="26">
        <v>197.62100000000001</v>
      </c>
      <c r="M10" s="26">
        <v>1.47289</v>
      </c>
      <c r="N10" s="26">
        <v>193.68899999999999</v>
      </c>
      <c r="O10" s="26">
        <v>1.58464</v>
      </c>
      <c r="P10" s="1">
        <f t="shared" si="0"/>
        <v>0.8820353408171987</v>
      </c>
      <c r="Q10" s="34">
        <f t="shared" si="3"/>
        <v>3.7552917926532663</v>
      </c>
      <c r="R10" s="21">
        <f>(P9+P10+P11)/3</f>
        <v>0.94193160209748594</v>
      </c>
      <c r="S10" s="21">
        <f>(P9+P10+P11)/3</f>
        <v>0.94193160209748594</v>
      </c>
      <c r="T10" s="35">
        <f t="shared" si="1"/>
        <v>7.4531046801706293E-3</v>
      </c>
      <c r="U10" s="35">
        <f t="shared" si="2"/>
        <v>8.1813629065150845E-3</v>
      </c>
    </row>
    <row r="11" spans="2:21" x14ac:dyDescent="0.25">
      <c r="C11" s="78"/>
      <c r="D11" s="25">
        <v>109.49299999999999</v>
      </c>
      <c r="E11" s="25">
        <v>10.380599999999999</v>
      </c>
      <c r="F11" s="25">
        <v>110.06</v>
      </c>
      <c r="G11" s="25">
        <v>9.4324499999999993</v>
      </c>
      <c r="H11" s="24">
        <v>13.222799999999999</v>
      </c>
      <c r="I11" s="24">
        <v>1.47776</v>
      </c>
      <c r="J11" s="24">
        <v>12.6625</v>
      </c>
      <c r="K11" s="24">
        <v>1.24186</v>
      </c>
      <c r="L11" s="26">
        <v>189.684</v>
      </c>
      <c r="M11" s="26">
        <v>3.0301</v>
      </c>
      <c r="N11" s="26">
        <v>186.852</v>
      </c>
      <c r="O11" s="26">
        <v>2.7812100000000002</v>
      </c>
      <c r="P11" s="1">
        <f t="shared" si="0"/>
        <v>0.93620474808261922</v>
      </c>
      <c r="Q11" s="34">
        <f t="shared" si="3"/>
        <v>4.4018036683660613</v>
      </c>
      <c r="R11" s="19"/>
      <c r="S11" s="19"/>
      <c r="T11" s="35">
        <f t="shared" si="1"/>
        <v>1.5974462790746716E-2</v>
      </c>
      <c r="U11" s="35">
        <f t="shared" si="2"/>
        <v>1.4884561042964485E-2</v>
      </c>
    </row>
    <row r="12" spans="2:21" ht="15.75" thickBot="1" x14ac:dyDescent="0.3">
      <c r="C12" s="78" t="s">
        <v>13</v>
      </c>
      <c r="D12" s="25">
        <v>105.84699999999999</v>
      </c>
      <c r="E12" s="25">
        <v>8.2523300000000006</v>
      </c>
      <c r="F12" s="25">
        <v>125.45699999999999</v>
      </c>
      <c r="G12" s="25">
        <v>8.1156199999999998</v>
      </c>
      <c r="H12" s="24">
        <v>14.3842</v>
      </c>
      <c r="I12" s="24">
        <v>1.1544000000000001</v>
      </c>
      <c r="J12" s="24">
        <v>17.425899999999999</v>
      </c>
      <c r="K12" s="24">
        <v>1.52322</v>
      </c>
      <c r="L12" s="26">
        <v>191.55099999999999</v>
      </c>
      <c r="M12" s="26">
        <v>2.8481299999999998</v>
      </c>
      <c r="N12" s="26">
        <v>182.637</v>
      </c>
      <c r="O12" s="26">
        <v>2.4361100000000002</v>
      </c>
      <c r="P12" s="1">
        <f t="shared" si="0"/>
        <v>1.2264026837596596</v>
      </c>
      <c r="Q12" s="34">
        <f t="shared" si="3"/>
        <v>7.8653160306715373</v>
      </c>
      <c r="R12" s="19"/>
      <c r="S12" s="19"/>
      <c r="T12" s="35">
        <f t="shared" si="1"/>
        <v>1.4868781682162975E-2</v>
      </c>
      <c r="U12" s="35">
        <f t="shared" si="2"/>
        <v>1.3338534908041636E-2</v>
      </c>
    </row>
    <row r="13" spans="2:21" ht="15.75" thickBot="1" x14ac:dyDescent="0.3">
      <c r="C13" s="78"/>
      <c r="D13" s="25">
        <v>99.915199999999999</v>
      </c>
      <c r="E13" s="25">
        <v>4.6265499999999999</v>
      </c>
      <c r="F13" s="25">
        <v>122.39700000000001</v>
      </c>
      <c r="G13" s="25">
        <v>7.5372300000000001</v>
      </c>
      <c r="H13" s="24">
        <v>12.603</v>
      </c>
      <c r="I13" s="24">
        <v>0.96765400000000001</v>
      </c>
      <c r="J13" s="24">
        <v>14.255699999999999</v>
      </c>
      <c r="K13" s="24">
        <v>1.09552</v>
      </c>
      <c r="L13" s="26">
        <v>192.018</v>
      </c>
      <c r="M13" s="26">
        <v>1.1519299999999999</v>
      </c>
      <c r="N13" s="26">
        <v>181.93799999999999</v>
      </c>
      <c r="O13" s="26">
        <v>3.1465900000000002</v>
      </c>
      <c r="P13" s="1">
        <f t="shared" si="0"/>
        <v>1.1312691958376448</v>
      </c>
      <c r="Q13" s="34">
        <f t="shared" si="3"/>
        <v>6.7298978523222912</v>
      </c>
      <c r="R13" s="21">
        <f>(P12+P13+P14)/3</f>
        <v>1.2355074976731277</v>
      </c>
      <c r="S13" s="21">
        <f>(P12+P13+P14)/3</f>
        <v>1.2355074976731277</v>
      </c>
      <c r="T13" s="35">
        <f t="shared" si="1"/>
        <v>5.9990730035725812E-3</v>
      </c>
      <c r="U13" s="35">
        <f t="shared" si="2"/>
        <v>1.7294847695368754E-2</v>
      </c>
    </row>
    <row r="14" spans="2:21" x14ac:dyDescent="0.25">
      <c r="C14" s="78"/>
      <c r="D14" s="25">
        <v>110.726</v>
      </c>
      <c r="E14" s="25">
        <v>10.7156</v>
      </c>
      <c r="F14" s="25">
        <v>131.619</v>
      </c>
      <c r="G14" s="25">
        <v>7.4022500000000004</v>
      </c>
      <c r="H14" s="24">
        <v>15.9086</v>
      </c>
      <c r="I14" s="24">
        <v>1.1022700000000001</v>
      </c>
      <c r="J14" s="24">
        <v>21.659800000000001</v>
      </c>
      <c r="K14" s="24">
        <v>1.3860600000000001</v>
      </c>
      <c r="L14" s="26">
        <v>190.88800000000001</v>
      </c>
      <c r="M14" s="26">
        <v>2.4634800000000001</v>
      </c>
      <c r="N14" s="26">
        <v>181.61099999999999</v>
      </c>
      <c r="O14" s="26">
        <v>1.8969499999999999</v>
      </c>
      <c r="P14" s="31">
        <f t="shared" si="0"/>
        <v>1.3488506134220792</v>
      </c>
      <c r="Q14">
        <f t="shared" si="3"/>
        <v>9.3267320711925166</v>
      </c>
      <c r="R14" s="19"/>
      <c r="S14" s="19"/>
      <c r="T14" s="8">
        <f t="shared" si="1"/>
        <v>1.2905368593101714E-2</v>
      </c>
      <c r="U14" s="8">
        <f t="shared" si="2"/>
        <v>1.0445127222470004E-2</v>
      </c>
    </row>
    <row r="15" spans="2:21" ht="15.75" thickBot="1" x14ac:dyDescent="0.3">
      <c r="C15" s="78" t="s">
        <v>14</v>
      </c>
      <c r="D15" s="22">
        <v>107.268</v>
      </c>
      <c r="E15" s="22">
        <v>9.3293499999999998</v>
      </c>
      <c r="F15" s="22">
        <v>133.50700000000001</v>
      </c>
      <c r="G15" s="22">
        <v>7.3957899999999999</v>
      </c>
      <c r="H15" s="22">
        <v>16.206499999999998</v>
      </c>
      <c r="I15" s="22">
        <v>0.93100400000000005</v>
      </c>
      <c r="J15" s="22">
        <v>24.348299999999998</v>
      </c>
      <c r="K15" s="22">
        <v>1.4448799999999999</v>
      </c>
      <c r="L15" s="22">
        <v>192.768</v>
      </c>
      <c r="M15" s="22">
        <v>2.3995500000000001</v>
      </c>
      <c r="N15" s="22">
        <v>177.86099999999999</v>
      </c>
      <c r="O15" s="22">
        <v>1.5096700000000001</v>
      </c>
      <c r="P15" s="23">
        <f t="shared" si="0"/>
        <v>1.5074880560143649</v>
      </c>
      <c r="Q15" s="29">
        <f t="shared" si="3"/>
        <v>11.220069948531446</v>
      </c>
      <c r="R15" s="19"/>
      <c r="S15" s="19"/>
      <c r="T15" s="8">
        <f t="shared" si="1"/>
        <v>1.2447864790836654E-2</v>
      </c>
      <c r="U15" s="8">
        <f t="shared" si="2"/>
        <v>8.4879203422897672E-3</v>
      </c>
    </row>
    <row r="16" spans="2:21" ht="15.75" thickBot="1" x14ac:dyDescent="0.3">
      <c r="C16" s="78"/>
      <c r="D16" s="25">
        <v>102.60599999999999</v>
      </c>
      <c r="E16" s="25">
        <v>6.0494300000000001</v>
      </c>
      <c r="F16" s="25">
        <v>128.1</v>
      </c>
      <c r="G16" s="25">
        <v>6.3664500000000004</v>
      </c>
      <c r="H16" s="24">
        <v>13.3535</v>
      </c>
      <c r="I16" s="24">
        <v>0.76953499999999997</v>
      </c>
      <c r="J16" s="24">
        <v>22.996700000000001</v>
      </c>
      <c r="K16" s="24">
        <v>1.6989000000000001</v>
      </c>
      <c r="L16" s="38">
        <v>202.99299999999999</v>
      </c>
      <c r="M16" s="26">
        <v>1.94537</v>
      </c>
      <c r="N16" s="26">
        <v>182.34800000000001</v>
      </c>
      <c r="O16" s="26">
        <v>3.4794299999999998</v>
      </c>
      <c r="P16" s="1">
        <f t="shared" si="0"/>
        <v>1.7723267374267839</v>
      </c>
      <c r="Q16" s="34">
        <f t="shared" si="3"/>
        <v>14.380919611188666</v>
      </c>
      <c r="R16" s="21">
        <f>P16</f>
        <v>1.7723267374267839</v>
      </c>
      <c r="S16" s="21">
        <f>(P15+P16+P17)/3</f>
        <v>1.665234244871562</v>
      </c>
      <c r="T16" s="35">
        <f t="shared" si="1"/>
        <v>9.5834339115141911E-3</v>
      </c>
      <c r="U16" s="35">
        <f t="shared" si="2"/>
        <v>1.9081262201943533E-2</v>
      </c>
    </row>
    <row r="17" spans="2:23" x14ac:dyDescent="0.25">
      <c r="C17" s="78"/>
      <c r="D17" s="22">
        <v>94.176900000000003</v>
      </c>
      <c r="E17" s="22">
        <v>2.6794799999999999</v>
      </c>
      <c r="F17" s="22">
        <v>120.142</v>
      </c>
      <c r="G17" s="22">
        <v>9.32423</v>
      </c>
      <c r="H17" s="22">
        <v>12.932</v>
      </c>
      <c r="I17" s="22">
        <v>0.25179299999999999</v>
      </c>
      <c r="J17" s="22">
        <v>18.847899999999999</v>
      </c>
      <c r="K17" s="22">
        <v>2.10303</v>
      </c>
      <c r="L17" s="22">
        <v>198.68700000000001</v>
      </c>
      <c r="M17" s="22">
        <v>2.37276</v>
      </c>
      <c r="N17" s="22">
        <v>185.54900000000001</v>
      </c>
      <c r="O17" s="22">
        <v>5.2420999999999998</v>
      </c>
      <c r="P17" s="23">
        <f t="shared" si="0"/>
        <v>1.715887941173537</v>
      </c>
      <c r="Q17" s="29">
        <f t="shared" si="3"/>
        <v>13.707322577906165</v>
      </c>
      <c r="R17" s="19"/>
      <c r="T17" s="8">
        <f t="shared" si="1"/>
        <v>1.1942200546588351E-2</v>
      </c>
      <c r="U17" s="8">
        <f t="shared" si="2"/>
        <v>2.8251836442125797E-2</v>
      </c>
    </row>
    <row r="18" spans="2:23" x14ac:dyDescent="0.25">
      <c r="R18" s="6"/>
    </row>
    <row r="19" spans="2:23" x14ac:dyDescent="0.25">
      <c r="B19" s="34"/>
      <c r="C19" s="14"/>
      <c r="D19" s="84" t="s">
        <v>21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23" x14ac:dyDescent="0.25">
      <c r="C20" s="14"/>
      <c r="D20" s="80" t="s">
        <v>5</v>
      </c>
      <c r="E20" s="81"/>
      <c r="F20" s="81"/>
      <c r="G20" s="81"/>
      <c r="H20" s="82" t="s">
        <v>18</v>
      </c>
      <c r="I20" s="82"/>
      <c r="J20" s="82"/>
      <c r="K20" s="82"/>
      <c r="L20" s="83" t="s">
        <v>10</v>
      </c>
      <c r="M20" s="83"/>
      <c r="N20" s="83"/>
      <c r="O20" s="83"/>
      <c r="P20" s="79" t="s">
        <v>15</v>
      </c>
      <c r="Q20" s="79"/>
      <c r="R20" s="79"/>
      <c r="S20" s="79"/>
    </row>
    <row r="21" spans="2:23" x14ac:dyDescent="0.25">
      <c r="C21" s="15"/>
      <c r="D21" s="80" t="s">
        <v>3</v>
      </c>
      <c r="E21" s="81"/>
      <c r="F21" s="81" t="s">
        <v>0</v>
      </c>
      <c r="G21" s="81"/>
      <c r="H21" s="82" t="s">
        <v>3</v>
      </c>
      <c r="I21" s="82"/>
      <c r="J21" s="82" t="s">
        <v>0</v>
      </c>
      <c r="K21" s="82"/>
      <c r="L21" s="83" t="s">
        <v>3</v>
      </c>
      <c r="M21" s="83"/>
      <c r="N21" s="83" t="s">
        <v>0</v>
      </c>
      <c r="O21" s="83"/>
      <c r="P21" s="28" t="s">
        <v>16</v>
      </c>
      <c r="Q21" s="28" t="s">
        <v>17</v>
      </c>
      <c r="R21" s="2" t="s">
        <v>19</v>
      </c>
      <c r="S21" s="2" t="s">
        <v>24</v>
      </c>
    </row>
    <row r="22" spans="2:23" ht="15.75" thickBot="1" x14ac:dyDescent="0.3">
      <c r="C22" s="85" t="s">
        <v>11</v>
      </c>
      <c r="D22" s="25">
        <v>105.197</v>
      </c>
      <c r="E22" s="25">
        <v>8.3772800000000007</v>
      </c>
      <c r="F22" s="25">
        <v>104.13500000000001</v>
      </c>
      <c r="G22" s="25">
        <v>10.726000000000001</v>
      </c>
      <c r="H22" s="24">
        <v>12.6905</v>
      </c>
      <c r="I22" s="24">
        <v>1.7888900000000001</v>
      </c>
      <c r="J22" s="24">
        <v>7.5052899999999996</v>
      </c>
      <c r="K22" s="24">
        <v>0.60090200000000005</v>
      </c>
      <c r="L22" s="26">
        <v>193.81299999999999</v>
      </c>
      <c r="M22" s="26">
        <v>1.7830600000000001</v>
      </c>
      <c r="N22" s="26">
        <v>197.04</v>
      </c>
      <c r="O22" s="26">
        <v>1.3117300000000001</v>
      </c>
      <c r="P22" s="31">
        <f>(J22+2*K22)/(H22+2*I22)</f>
        <v>0.53521908892642611</v>
      </c>
      <c r="Q22">
        <f>11.935*P22 - 6.7718</f>
        <v>-0.38396017366310353</v>
      </c>
      <c r="R22" s="20"/>
      <c r="S22" s="20"/>
      <c r="U22">
        <f>_xlfn.STDEV.P(F22:F33)</f>
        <v>11.418364532565146</v>
      </c>
    </row>
    <row r="23" spans="2:23" ht="15.75" thickBot="1" x14ac:dyDescent="0.3">
      <c r="C23" s="78"/>
      <c r="D23" s="25">
        <v>120.93</v>
      </c>
      <c r="E23" s="25">
        <v>4.7761699999999996</v>
      </c>
      <c r="F23" s="25">
        <v>124.235</v>
      </c>
      <c r="G23" s="25">
        <v>9.8378599999999992</v>
      </c>
      <c r="H23" s="24">
        <v>13.226699999999999</v>
      </c>
      <c r="I23" s="24">
        <v>1.15266</v>
      </c>
      <c r="J23" s="24">
        <v>9.8087599999999995</v>
      </c>
      <c r="K23" s="24">
        <v>1.2655700000000001</v>
      </c>
      <c r="L23" s="26">
        <v>189.953</v>
      </c>
      <c r="M23" s="26">
        <v>2.2652100000000002</v>
      </c>
      <c r="N23" s="26">
        <v>194.083</v>
      </c>
      <c r="O23" s="26">
        <v>2.2283300000000001</v>
      </c>
      <c r="P23" s="1">
        <f t="shared" ref="P23:P33" si="4">(J23+2*K23)/(H23+2*I23)</f>
        <v>0.79448133597561688</v>
      </c>
      <c r="Q23">
        <f t="shared" ref="Q23:Q33" si="5">11.935*P23 - 6.7718</f>
        <v>2.7103347448689883</v>
      </c>
      <c r="R23" s="21">
        <f>(P22+P23)/2</f>
        <v>0.66485021245102149</v>
      </c>
      <c r="S23" s="21">
        <f>(P22+P23+P24)/3</f>
        <v>0.71087787596930951</v>
      </c>
      <c r="U23">
        <f>AVERAGE(F22:F33)</f>
        <v>116.20852500000001</v>
      </c>
    </row>
    <row r="24" spans="2:23" x14ac:dyDescent="0.25">
      <c r="C24" s="78"/>
      <c r="D24" s="22">
        <v>93.533500000000004</v>
      </c>
      <c r="E24" s="22">
        <v>11.701499999999999</v>
      </c>
      <c r="F24" s="38">
        <v>89.4923</v>
      </c>
      <c r="G24" s="22">
        <v>9.6192799999999998</v>
      </c>
      <c r="H24" s="22">
        <v>20.083100000000002</v>
      </c>
      <c r="I24" s="22">
        <v>1.9282999999999999</v>
      </c>
      <c r="J24" s="22">
        <v>16.846900000000002</v>
      </c>
      <c r="K24" s="22">
        <v>1.18754</v>
      </c>
      <c r="L24" s="38">
        <v>211.035</v>
      </c>
      <c r="M24" s="22">
        <v>2.6418900000000001</v>
      </c>
      <c r="N24" s="38">
        <v>213.018</v>
      </c>
      <c r="O24" s="22">
        <v>2.13503</v>
      </c>
      <c r="P24" s="23">
        <f t="shared" si="4"/>
        <v>0.80293320300588567</v>
      </c>
      <c r="Q24" s="29">
        <f t="shared" si="5"/>
        <v>2.8112077778752456</v>
      </c>
      <c r="R24" s="19"/>
      <c r="S24" s="19"/>
      <c r="U24">
        <f>U23-2*U22</f>
        <v>93.371795934869709</v>
      </c>
      <c r="V24">
        <f>U23+2*U22</f>
        <v>139.04525406513031</v>
      </c>
    </row>
    <row r="25" spans="2:23" ht="15.75" thickBot="1" x14ac:dyDescent="0.3">
      <c r="C25" s="78" t="s">
        <v>12</v>
      </c>
      <c r="D25" s="25">
        <v>126.51300000000001</v>
      </c>
      <c r="E25" s="25">
        <v>9.5510999999999999</v>
      </c>
      <c r="F25" s="25">
        <v>128.57599999999999</v>
      </c>
      <c r="G25" s="25">
        <v>18.588799999999999</v>
      </c>
      <c r="H25" s="24">
        <v>20.602</v>
      </c>
      <c r="I25" s="24">
        <v>1.3774999999999999</v>
      </c>
      <c r="J25" s="24">
        <v>19.941199999999998</v>
      </c>
      <c r="K25" s="24">
        <v>1.69177</v>
      </c>
      <c r="L25" s="26">
        <v>198.37799999999999</v>
      </c>
      <c r="M25" s="26">
        <v>2.8327800000000001</v>
      </c>
      <c r="N25" s="26">
        <v>196.85499999999999</v>
      </c>
      <c r="O25" s="26">
        <v>3.3042500000000001</v>
      </c>
      <c r="P25" s="1">
        <f t="shared" si="4"/>
        <v>0.9986188294729631</v>
      </c>
      <c r="Q25">
        <f t="shared" si="5"/>
        <v>5.1467157297598147</v>
      </c>
      <c r="R25" s="19"/>
      <c r="S25" s="19"/>
    </row>
    <row r="26" spans="2:23" ht="15.75" thickBot="1" x14ac:dyDescent="0.3">
      <c r="C26" s="78"/>
      <c r="D26" s="25">
        <v>114.795</v>
      </c>
      <c r="E26" s="25">
        <v>9.1683599999999998</v>
      </c>
      <c r="F26" s="25">
        <v>120.584</v>
      </c>
      <c r="G26" s="25">
        <v>14.483700000000001</v>
      </c>
      <c r="H26" s="24">
        <v>16.7987</v>
      </c>
      <c r="I26" s="24">
        <v>1.50488</v>
      </c>
      <c r="J26" s="24">
        <v>14.716799999999999</v>
      </c>
      <c r="K26" s="24">
        <v>1.1266400000000001</v>
      </c>
      <c r="L26" s="26">
        <v>196.73400000000001</v>
      </c>
      <c r="M26" s="26">
        <v>1.9357899999999999</v>
      </c>
      <c r="N26" s="26">
        <v>193.32900000000001</v>
      </c>
      <c r="O26" s="26">
        <v>1.9617199999999999</v>
      </c>
      <c r="P26" s="1">
        <f t="shared" si="4"/>
        <v>0.85670869921235671</v>
      </c>
      <c r="Q26">
        <f t="shared" si="5"/>
        <v>3.4530183250994773</v>
      </c>
      <c r="R26" s="21">
        <f>(P25+P26+P27)/3</f>
        <v>0.92863100668066323</v>
      </c>
      <c r="S26" s="21">
        <f>(P25+P26+P27)/3</f>
        <v>0.92863100668066323</v>
      </c>
      <c r="U26" s="37"/>
      <c r="V26" s="37"/>
      <c r="W26" s="39"/>
    </row>
    <row r="27" spans="2:23" x14ac:dyDescent="0.25">
      <c r="C27" s="78"/>
      <c r="D27" s="25">
        <v>110.657</v>
      </c>
      <c r="E27" s="25">
        <v>10.8485</v>
      </c>
      <c r="F27" s="25">
        <v>100.264</v>
      </c>
      <c r="G27" s="25">
        <v>17.196999999999999</v>
      </c>
      <c r="H27" s="24">
        <v>13.287100000000001</v>
      </c>
      <c r="I27" s="24">
        <v>1.51997</v>
      </c>
      <c r="J27" s="24">
        <v>11.881</v>
      </c>
      <c r="K27" s="24">
        <v>1.6561900000000001</v>
      </c>
      <c r="L27" s="26">
        <v>188.67</v>
      </c>
      <c r="M27" s="26">
        <v>1.89754</v>
      </c>
      <c r="N27" s="26">
        <v>186.10499999999999</v>
      </c>
      <c r="O27" s="26">
        <v>2.4916</v>
      </c>
      <c r="P27" s="1">
        <f t="shared" si="4"/>
        <v>0.93056549135666977</v>
      </c>
      <c r="Q27" s="33">
        <f t="shared" si="5"/>
        <v>4.3344991393418537</v>
      </c>
      <c r="R27" s="19"/>
      <c r="S27" s="19"/>
      <c r="U27" s="37"/>
      <c r="V27" s="37"/>
      <c r="W27" s="39"/>
    </row>
    <row r="28" spans="2:23" ht="15.75" thickBot="1" x14ac:dyDescent="0.3">
      <c r="C28" s="78" t="s">
        <v>13</v>
      </c>
      <c r="D28" s="25">
        <v>108.093</v>
      </c>
      <c r="E28" s="25">
        <v>7.79413</v>
      </c>
      <c r="F28" s="25">
        <v>120.955</v>
      </c>
      <c r="G28" s="25">
        <v>12.0505</v>
      </c>
      <c r="H28" s="24">
        <v>14.6143</v>
      </c>
      <c r="I28" s="24">
        <v>1.1654899999999999</v>
      </c>
      <c r="J28" s="24">
        <v>16.588100000000001</v>
      </c>
      <c r="K28" s="24">
        <v>2.2241900000000001</v>
      </c>
      <c r="L28" s="26">
        <v>190.67099999999999</v>
      </c>
      <c r="M28" s="26">
        <v>1.91028</v>
      </c>
      <c r="N28" s="26">
        <v>182.56700000000001</v>
      </c>
      <c r="O28" s="26">
        <v>2.9419499999999998</v>
      </c>
      <c r="P28" s="1">
        <f t="shared" si="4"/>
        <v>1.2414359632888923</v>
      </c>
      <c r="Q28">
        <f t="shared" si="5"/>
        <v>8.0447382218529313</v>
      </c>
      <c r="R28" s="19"/>
      <c r="S28" s="19"/>
      <c r="U28" s="37"/>
      <c r="V28" s="37"/>
      <c r="W28" s="39"/>
    </row>
    <row r="29" spans="2:23" ht="15.75" thickBot="1" x14ac:dyDescent="0.3">
      <c r="C29" s="78"/>
      <c r="D29" s="25">
        <v>100.693</v>
      </c>
      <c r="E29" s="25">
        <v>4.2611699999999999</v>
      </c>
      <c r="F29" s="25">
        <v>117.46299999999999</v>
      </c>
      <c r="G29" s="25">
        <v>13.1319</v>
      </c>
      <c r="H29" s="24">
        <v>12.6655</v>
      </c>
      <c r="I29" s="24">
        <v>0.98006899999999997</v>
      </c>
      <c r="J29" s="24">
        <v>13.6256</v>
      </c>
      <c r="K29" s="24">
        <v>1.7257100000000001</v>
      </c>
      <c r="L29" s="26">
        <v>191.80699999999999</v>
      </c>
      <c r="M29" s="26">
        <v>0.92323699999999997</v>
      </c>
      <c r="N29" s="26">
        <v>180.86199999999999</v>
      </c>
      <c r="O29" s="26">
        <v>3.0674999999999999</v>
      </c>
      <c r="P29" s="1">
        <f t="shared" si="4"/>
        <v>1.167608551503873</v>
      </c>
      <c r="Q29" s="33">
        <f t="shared" si="5"/>
        <v>7.1636080621987253</v>
      </c>
      <c r="R29" s="21">
        <f>(P28+P29+P30)/3</f>
        <v>1.2630421022130875</v>
      </c>
      <c r="S29" s="21">
        <f>(P28+P29+P30)/3</f>
        <v>1.2630421022130875</v>
      </c>
      <c r="U29" s="37"/>
      <c r="V29" s="37"/>
      <c r="W29" s="39"/>
    </row>
    <row r="30" spans="2:23" x14ac:dyDescent="0.25">
      <c r="C30" s="78"/>
      <c r="D30" s="25">
        <v>112.627</v>
      </c>
      <c r="E30" s="25">
        <v>11.603</v>
      </c>
      <c r="F30" s="25">
        <v>127.315</v>
      </c>
      <c r="G30" s="25">
        <v>10.444100000000001</v>
      </c>
      <c r="H30" s="24">
        <v>16.116900000000001</v>
      </c>
      <c r="I30" s="24">
        <v>1.13073</v>
      </c>
      <c r="J30" s="24">
        <v>20.416699999999999</v>
      </c>
      <c r="K30" s="24">
        <v>2.4734699999999998</v>
      </c>
      <c r="L30" s="26">
        <v>189.971</v>
      </c>
      <c r="M30" s="26">
        <v>1.48885</v>
      </c>
      <c r="N30" s="26">
        <v>181.417</v>
      </c>
      <c r="O30" s="26">
        <v>1.86738</v>
      </c>
      <c r="P30" s="31">
        <f t="shared" si="4"/>
        <v>1.3800817918464976</v>
      </c>
      <c r="Q30">
        <f t="shared" si="5"/>
        <v>9.6994761856879492</v>
      </c>
      <c r="R30" s="19"/>
      <c r="S30" s="19"/>
      <c r="U30" s="37"/>
      <c r="V30" s="37"/>
      <c r="W30" s="39"/>
    </row>
    <row r="31" spans="2:23" ht="15.75" thickBot="1" x14ac:dyDescent="0.3">
      <c r="C31" s="78" t="s">
        <v>14</v>
      </c>
      <c r="D31" s="22">
        <v>106.151</v>
      </c>
      <c r="E31" s="22">
        <v>10.444599999999999</v>
      </c>
      <c r="F31" s="22">
        <v>122.11499999999999</v>
      </c>
      <c r="G31" s="22">
        <v>16.499199999999998</v>
      </c>
      <c r="H31" s="22">
        <v>16.2577</v>
      </c>
      <c r="I31" s="22">
        <v>0.82000399999999996</v>
      </c>
      <c r="J31" s="22">
        <v>21.184100000000001</v>
      </c>
      <c r="K31" s="22">
        <v>3.3143099999999999</v>
      </c>
      <c r="L31" s="22">
        <v>191.98599999999999</v>
      </c>
      <c r="M31" s="22">
        <v>2.89445</v>
      </c>
      <c r="N31" s="22">
        <v>182.33799999999999</v>
      </c>
      <c r="O31" s="22">
        <v>4.66594</v>
      </c>
      <c r="P31" s="23">
        <f t="shared" si="4"/>
        <v>1.5539822193992658</v>
      </c>
      <c r="Q31" s="29">
        <f t="shared" si="5"/>
        <v>11.77497778853024</v>
      </c>
      <c r="R31" s="19"/>
      <c r="S31" s="19"/>
      <c r="U31" s="37"/>
      <c r="V31" s="37"/>
      <c r="W31" s="39"/>
    </row>
    <row r="32" spans="2:23" ht="15.75" thickBot="1" x14ac:dyDescent="0.3">
      <c r="C32" s="78"/>
      <c r="D32" s="25">
        <v>101.696</v>
      </c>
      <c r="E32" s="25">
        <v>7.9404199999999996</v>
      </c>
      <c r="F32" s="25">
        <v>121.655</v>
      </c>
      <c r="G32" s="25">
        <v>14.3398</v>
      </c>
      <c r="H32" s="24">
        <v>13.102499999999999</v>
      </c>
      <c r="I32" s="24">
        <v>0.99317200000000005</v>
      </c>
      <c r="J32" s="24">
        <v>21.992899999999999</v>
      </c>
      <c r="K32" s="24">
        <v>3.2267399999999999</v>
      </c>
      <c r="L32" s="26">
        <v>202.27600000000001</v>
      </c>
      <c r="M32" s="26">
        <v>1.68516</v>
      </c>
      <c r="N32" s="26">
        <v>182.34299999999999</v>
      </c>
      <c r="O32" s="26">
        <v>3.60378</v>
      </c>
      <c r="P32" s="1">
        <f t="shared" si="4"/>
        <v>1.8852590695483364</v>
      </c>
      <c r="Q32" s="33">
        <f t="shared" si="5"/>
        <v>15.728766995059399</v>
      </c>
      <c r="R32" s="21">
        <f>P32</f>
        <v>1.8852590695483364</v>
      </c>
      <c r="S32" s="21">
        <f>(P31+P32+P33)/3</f>
        <v>1.7611326082303977</v>
      </c>
      <c r="U32" s="37"/>
      <c r="V32" s="37"/>
      <c r="W32" s="39"/>
    </row>
    <row r="33" spans="3:23" x14ac:dyDescent="0.25">
      <c r="C33" s="78"/>
      <c r="D33" s="22">
        <v>88.405600000000007</v>
      </c>
      <c r="E33" s="22">
        <v>6.8513299999999999</v>
      </c>
      <c r="F33" s="22">
        <v>117.71299999999999</v>
      </c>
      <c r="G33" s="22">
        <v>14.821300000000001</v>
      </c>
      <c r="H33" s="22">
        <v>12.808</v>
      </c>
      <c r="I33" s="22">
        <v>0.39383400000000002</v>
      </c>
      <c r="J33" s="22">
        <v>19.34</v>
      </c>
      <c r="K33" s="22">
        <v>2.8662700000000001</v>
      </c>
      <c r="L33" s="22">
        <v>198.78299999999999</v>
      </c>
      <c r="M33" s="22">
        <v>2.1926100000000002</v>
      </c>
      <c r="N33" s="22">
        <v>183.1</v>
      </c>
      <c r="O33" s="22">
        <v>4.5024699999999998</v>
      </c>
      <c r="P33" s="23">
        <f t="shared" si="4"/>
        <v>1.8441565357435914</v>
      </c>
      <c r="Q33" s="29">
        <f t="shared" si="5"/>
        <v>15.238208254099764</v>
      </c>
      <c r="R33" s="19"/>
      <c r="U33" s="37"/>
      <c r="V33" s="37"/>
      <c r="W33" s="39"/>
    </row>
    <row r="34" spans="3:23" x14ac:dyDescent="0.2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6"/>
      <c r="Q34" s="6"/>
      <c r="R34" s="6"/>
      <c r="U34" s="37"/>
      <c r="V34" s="37"/>
      <c r="W34" s="39"/>
    </row>
    <row r="35" spans="3:23" x14ac:dyDescent="0.25">
      <c r="C35" s="16"/>
      <c r="D35" s="89" t="s">
        <v>22</v>
      </c>
      <c r="E35" s="90"/>
      <c r="F35" s="90"/>
      <c r="G35" s="91"/>
      <c r="L35" s="16"/>
      <c r="M35" s="89" t="s">
        <v>21</v>
      </c>
      <c r="N35" s="90"/>
      <c r="O35" s="90"/>
      <c r="P35" s="91"/>
      <c r="U35" s="37"/>
      <c r="V35" s="37"/>
      <c r="W35" s="39"/>
    </row>
    <row r="36" spans="3:23" x14ac:dyDescent="0.25">
      <c r="C36" s="14"/>
      <c r="D36" s="88" t="s">
        <v>23</v>
      </c>
      <c r="E36" s="86"/>
      <c r="F36" s="86"/>
      <c r="G36" s="86"/>
      <c r="H36" s="79" t="s">
        <v>15</v>
      </c>
      <c r="I36" s="79"/>
      <c r="J36" s="79"/>
      <c r="L36" s="14"/>
      <c r="M36" s="87" t="s">
        <v>23</v>
      </c>
      <c r="N36" s="94"/>
      <c r="O36" s="94"/>
      <c r="P36" s="88"/>
      <c r="Q36" s="79" t="s">
        <v>15</v>
      </c>
      <c r="R36" s="79"/>
      <c r="S36" s="79"/>
      <c r="T36" s="79"/>
      <c r="U36" s="37"/>
      <c r="V36" s="37"/>
      <c r="W36" s="39"/>
    </row>
    <row r="37" spans="3:23" x14ac:dyDescent="0.25">
      <c r="C37" s="15"/>
      <c r="D37" s="88" t="s">
        <v>3</v>
      </c>
      <c r="E37" s="86"/>
      <c r="F37" s="86" t="s">
        <v>0</v>
      </c>
      <c r="G37" s="86"/>
      <c r="H37" s="17" t="s">
        <v>16</v>
      </c>
      <c r="I37" s="17" t="s">
        <v>17</v>
      </c>
      <c r="J37" s="3" t="s">
        <v>19</v>
      </c>
      <c r="L37" s="15"/>
      <c r="M37" s="87" t="s">
        <v>3</v>
      </c>
      <c r="N37" s="88"/>
      <c r="O37" s="87" t="s">
        <v>0</v>
      </c>
      <c r="P37" s="88"/>
      <c r="Q37" s="28" t="s">
        <v>16</v>
      </c>
      <c r="R37" s="28" t="s">
        <v>17</v>
      </c>
      <c r="S37" s="2" t="s">
        <v>19</v>
      </c>
      <c r="T37" s="2" t="s">
        <v>24</v>
      </c>
      <c r="U37" s="37"/>
      <c r="V37" s="37"/>
      <c r="W37" s="39"/>
    </row>
    <row r="38" spans="3:23" ht="15.75" thickBot="1" x14ac:dyDescent="0.3">
      <c r="C38" s="85" t="s">
        <v>11</v>
      </c>
      <c r="D38" s="27">
        <v>78.391300000000001</v>
      </c>
      <c r="E38" s="27">
        <v>1.2387999999999999</v>
      </c>
      <c r="F38" s="27">
        <v>75.5381</v>
      </c>
      <c r="G38" s="27">
        <v>0.86243099999999995</v>
      </c>
      <c r="H38" s="30">
        <f>(F38+2*G38)/(D38+2*E38)</f>
        <v>0.95541007729794769</v>
      </c>
      <c r="I38" s="18"/>
      <c r="J38" s="20"/>
      <c r="L38" s="92" t="s">
        <v>11</v>
      </c>
      <c r="M38" s="27">
        <v>77.370699999999999</v>
      </c>
      <c r="N38" s="27">
        <v>1.8075699999999999</v>
      </c>
      <c r="O38" s="27">
        <v>75.206299999999999</v>
      </c>
      <c r="P38" s="27">
        <v>1.3172699999999999</v>
      </c>
      <c r="Q38" s="30">
        <f>(O38+2*P38)/(M38+2*N38)</f>
        <v>0.96116605075652739</v>
      </c>
      <c r="R38" s="18"/>
      <c r="S38" s="20"/>
      <c r="T38" s="20"/>
    </row>
    <row r="39" spans="3:23" ht="15.75" thickBot="1" x14ac:dyDescent="0.3">
      <c r="C39" s="78"/>
      <c r="D39" s="27">
        <v>78.806200000000004</v>
      </c>
      <c r="E39" s="27">
        <v>1.05087</v>
      </c>
      <c r="F39" s="27">
        <v>79.021000000000001</v>
      </c>
      <c r="G39" s="27">
        <v>1.0509999999999999</v>
      </c>
      <c r="H39" s="30">
        <f t="shared" ref="H39:H49" si="6">(F39+2*G39)/(D39+2*E39)</f>
        <v>1.0026580827543006</v>
      </c>
      <c r="I39" s="18"/>
      <c r="J39" s="21">
        <f>(H38+H39)/2</f>
        <v>0.97903408002612413</v>
      </c>
      <c r="L39" s="93"/>
      <c r="M39" s="27">
        <v>78.303299999999993</v>
      </c>
      <c r="N39" s="27">
        <v>1.36063</v>
      </c>
      <c r="O39" s="27">
        <v>78.013800000000003</v>
      </c>
      <c r="P39" s="27">
        <v>1.88489</v>
      </c>
      <c r="Q39" s="30">
        <f t="shared" ref="Q39:Q49" si="7">(O39+2*P39)/(M39+2*N39)</f>
        <v>1.0093677768814791</v>
      </c>
      <c r="R39" s="18"/>
      <c r="S39" s="21">
        <f>(Q38+Q39)/2</f>
        <v>0.98526691381900322</v>
      </c>
      <c r="T39" s="21">
        <f>(Q38+Q39+Q40)/3</f>
        <v>0.97442073339774504</v>
      </c>
      <c r="U39" s="12"/>
      <c r="V39" s="12"/>
    </row>
    <row r="40" spans="3:23" x14ac:dyDescent="0.25">
      <c r="C40" s="78"/>
      <c r="D40" s="22">
        <v>88.029200000000003</v>
      </c>
      <c r="E40" s="22">
        <v>0.80998899999999996</v>
      </c>
      <c r="F40" s="22">
        <v>84.747</v>
      </c>
      <c r="G40" s="22">
        <v>1.09958</v>
      </c>
      <c r="H40" s="23">
        <f t="shared" si="6"/>
        <v>0.96984893715366804</v>
      </c>
      <c r="I40" s="23"/>
      <c r="J40" s="19"/>
      <c r="L40" s="85"/>
      <c r="M40" s="22">
        <v>85.568700000000007</v>
      </c>
      <c r="N40" s="22">
        <v>2.9418099999999998</v>
      </c>
      <c r="O40" s="22">
        <v>83.775499999999994</v>
      </c>
      <c r="P40" s="22">
        <v>1.67686</v>
      </c>
      <c r="Q40" s="23">
        <f t="shared" si="7"/>
        <v>0.95272837255522869</v>
      </c>
      <c r="R40" s="23"/>
      <c r="S40" s="19"/>
      <c r="T40" s="19"/>
      <c r="U40" s="12"/>
      <c r="V40" s="12"/>
    </row>
    <row r="41" spans="3:23" ht="15.75" thickBot="1" x14ac:dyDescent="0.3">
      <c r="C41" s="78" t="s">
        <v>12</v>
      </c>
      <c r="D41" s="27">
        <v>86.464699999999993</v>
      </c>
      <c r="E41" s="27">
        <v>1.49404</v>
      </c>
      <c r="F41" s="27">
        <v>86.666700000000006</v>
      </c>
      <c r="G41" s="27">
        <v>1.2861</v>
      </c>
      <c r="H41" s="1">
        <f t="shared" si="6"/>
        <v>0.99760901785277112</v>
      </c>
      <c r="I41" s="1"/>
      <c r="J41" s="19"/>
      <c r="L41" s="92" t="s">
        <v>12</v>
      </c>
      <c r="M41" s="27">
        <v>85.828900000000004</v>
      </c>
      <c r="N41" s="27">
        <v>2.13916</v>
      </c>
      <c r="O41" s="27">
        <v>85.220600000000005</v>
      </c>
      <c r="P41" s="27">
        <v>2.4235500000000001</v>
      </c>
      <c r="Q41" s="1">
        <f t="shared" si="7"/>
        <v>0.9995614113941147</v>
      </c>
      <c r="R41" s="1"/>
      <c r="S41" s="19"/>
      <c r="T41" s="19"/>
      <c r="U41" t="s">
        <v>31</v>
      </c>
      <c r="V41" s="1" t="s">
        <v>30</v>
      </c>
    </row>
    <row r="42" spans="3:23" ht="15.75" thickBot="1" x14ac:dyDescent="0.3">
      <c r="C42" s="78"/>
      <c r="D42" s="27">
        <v>82.358000000000004</v>
      </c>
      <c r="E42" s="27">
        <v>1.4456599999999999</v>
      </c>
      <c r="F42" s="27">
        <v>80.865700000000004</v>
      </c>
      <c r="G42" s="27">
        <v>1.31436</v>
      </c>
      <c r="H42" s="30">
        <f t="shared" si="6"/>
        <v>0.97941449855553109</v>
      </c>
      <c r="I42" s="18"/>
      <c r="J42" s="21">
        <f>(H41+H42+H43)/3</f>
        <v>0.98369431042118871</v>
      </c>
      <c r="L42" s="93"/>
      <c r="M42" s="27">
        <v>81.740300000000005</v>
      </c>
      <c r="N42" s="27">
        <v>2.0727199999999999</v>
      </c>
      <c r="O42" s="27">
        <v>80.173500000000004</v>
      </c>
      <c r="P42" s="27">
        <v>1.9060900000000001</v>
      </c>
      <c r="Q42" s="30">
        <f t="shared" si="7"/>
        <v>0.97787688619787172</v>
      </c>
      <c r="R42" s="18"/>
      <c r="S42" s="21">
        <f>(Q41+Q42+Q43)/3</f>
        <v>0.98457740621308076</v>
      </c>
      <c r="T42" s="21">
        <f>(Q41+Q42+Q43)/3</f>
        <v>0.98457740621308076</v>
      </c>
      <c r="U42" s="1"/>
      <c r="V42" s="30">
        <f>12.357*P22 - 7.4072</f>
        <v>-0.79349771813615266</v>
      </c>
    </row>
    <row r="43" spans="3:23" x14ac:dyDescent="0.25">
      <c r="C43" s="78"/>
      <c r="D43" s="27">
        <v>76.981399999999994</v>
      </c>
      <c r="E43" s="27">
        <v>2.1587299999999998</v>
      </c>
      <c r="F43" s="27">
        <v>75.835999999999999</v>
      </c>
      <c r="G43" s="27">
        <v>1.67696</v>
      </c>
      <c r="H43" s="30">
        <f t="shared" si="6"/>
        <v>0.97405941485526382</v>
      </c>
      <c r="I43" s="1"/>
      <c r="J43" s="19"/>
      <c r="L43" s="85"/>
      <c r="M43" s="27">
        <v>76.8416</v>
      </c>
      <c r="N43" s="27">
        <v>2.3577699999999999</v>
      </c>
      <c r="O43" s="27">
        <v>74.064300000000003</v>
      </c>
      <c r="P43" s="27">
        <v>2.7797200000000002</v>
      </c>
      <c r="Q43" s="30">
        <f t="shared" si="7"/>
        <v>0.97629392104725587</v>
      </c>
      <c r="R43" s="1"/>
      <c r="S43" s="19"/>
      <c r="T43" s="19"/>
      <c r="U43" s="1"/>
      <c r="V43" s="1">
        <f t="shared" ref="V43:V53" si="8">12.357*P23 - 7.4072</f>
        <v>2.4102058686506975</v>
      </c>
    </row>
    <row r="44" spans="3:23" ht="15.75" thickBot="1" x14ac:dyDescent="0.3">
      <c r="C44" s="78" t="s">
        <v>13</v>
      </c>
      <c r="D44" s="27">
        <v>77.830500000000001</v>
      </c>
      <c r="E44" s="27">
        <v>1.79125</v>
      </c>
      <c r="F44" s="27">
        <v>79.123000000000005</v>
      </c>
      <c r="G44" s="27">
        <v>1.6889000000000001</v>
      </c>
      <c r="H44" s="1">
        <f t="shared" si="6"/>
        <v>1.0133615024627516</v>
      </c>
      <c r="I44" s="1"/>
      <c r="J44" s="19"/>
      <c r="L44" s="92" t="s">
        <v>13</v>
      </c>
      <c r="M44" s="27">
        <v>77.964299999999994</v>
      </c>
      <c r="N44" s="27">
        <v>1.8724000000000001</v>
      </c>
      <c r="O44" s="27">
        <v>78.081000000000003</v>
      </c>
      <c r="P44" s="27">
        <v>2.3048799999999998</v>
      </c>
      <c r="Q44" s="1">
        <f t="shared" si="7"/>
        <v>1.0120140841105827</v>
      </c>
      <c r="R44" s="1"/>
      <c r="S44" s="19"/>
      <c r="T44" s="19"/>
      <c r="U44" s="23"/>
      <c r="V44" s="23">
        <f t="shared" si="8"/>
        <v>2.5146455895437292</v>
      </c>
    </row>
    <row r="45" spans="3:23" ht="15.75" thickBot="1" x14ac:dyDescent="0.3">
      <c r="C45" s="78"/>
      <c r="D45" s="27">
        <v>76.2667</v>
      </c>
      <c r="E45" s="27">
        <v>0.91871700000000001</v>
      </c>
      <c r="F45" s="27">
        <v>76.718000000000004</v>
      </c>
      <c r="G45" s="27">
        <v>1.2197199999999999</v>
      </c>
      <c r="H45" s="31">
        <f t="shared" si="6"/>
        <v>1.0134859186838945</v>
      </c>
      <c r="I45" s="18"/>
      <c r="J45" s="21">
        <f>(H44+H45+H46)/3</f>
        <v>1.0171724957293231</v>
      </c>
      <c r="L45" s="93"/>
      <c r="M45" s="27">
        <v>76.341399999999993</v>
      </c>
      <c r="N45" s="27">
        <v>0.93070900000000001</v>
      </c>
      <c r="O45" s="27">
        <v>75.450699999999998</v>
      </c>
      <c r="P45" s="27">
        <v>2.0284399999999998</v>
      </c>
      <c r="Q45" s="30">
        <f t="shared" si="7"/>
        <v>1.0166843348279342</v>
      </c>
      <c r="R45" s="18"/>
      <c r="S45" s="21">
        <f>(Q44+Q45+Q46)/3</f>
        <v>1.0192706098051392</v>
      </c>
      <c r="T45" s="21">
        <f>(Q44+Q45+Q46)/3</f>
        <v>1.0192706098051392</v>
      </c>
      <c r="U45" s="1"/>
      <c r="V45" s="1">
        <f t="shared" si="8"/>
        <v>4.932732875797404</v>
      </c>
    </row>
    <row r="46" spans="3:23" x14ac:dyDescent="0.25">
      <c r="C46" s="78"/>
      <c r="D46" s="27">
        <v>79.017799999999994</v>
      </c>
      <c r="E46" s="27">
        <v>1.75163</v>
      </c>
      <c r="F46" s="27">
        <v>82.012299999999996</v>
      </c>
      <c r="G46" s="27">
        <v>1.2722800000000001</v>
      </c>
      <c r="H46" s="30">
        <f t="shared" si="6"/>
        <v>1.0246700660413235</v>
      </c>
      <c r="I46" s="1"/>
      <c r="J46" s="19"/>
      <c r="L46" s="85"/>
      <c r="M46" s="27">
        <v>79.094200000000001</v>
      </c>
      <c r="N46" s="27">
        <v>2.0083199999999999</v>
      </c>
      <c r="O46" s="27">
        <v>80.726200000000006</v>
      </c>
      <c r="P46" s="27">
        <v>2.4021400000000002</v>
      </c>
      <c r="Q46" s="30">
        <f t="shared" si="7"/>
        <v>1.0291134104769006</v>
      </c>
      <c r="R46" s="1"/>
      <c r="S46" s="19"/>
      <c r="T46" s="19"/>
      <c r="U46" s="1"/>
      <c r="V46" s="1">
        <f t="shared" si="8"/>
        <v>3.1791493961670909</v>
      </c>
    </row>
    <row r="47" spans="3:23" ht="15.75" thickBot="1" x14ac:dyDescent="0.3">
      <c r="C47" s="78" t="s">
        <v>14</v>
      </c>
      <c r="D47" s="22">
        <v>79.365899999999996</v>
      </c>
      <c r="E47" s="22">
        <v>1.60619</v>
      </c>
      <c r="F47" s="22">
        <v>82.711399999999998</v>
      </c>
      <c r="G47" s="22">
        <v>1.48502</v>
      </c>
      <c r="H47" s="23">
        <f t="shared" si="6"/>
        <v>1.0375784043939884</v>
      </c>
      <c r="I47" s="23"/>
      <c r="J47" s="19"/>
      <c r="L47" s="92" t="s">
        <v>14</v>
      </c>
      <c r="M47" s="22">
        <v>79.051500000000004</v>
      </c>
      <c r="N47" s="22">
        <v>1.8203</v>
      </c>
      <c r="O47" s="22">
        <v>80.881799999999998</v>
      </c>
      <c r="P47" s="22">
        <v>2.54677</v>
      </c>
      <c r="Q47" s="23">
        <f t="shared" si="7"/>
        <v>1.039704397397091</v>
      </c>
      <c r="R47" s="23"/>
      <c r="S47" s="19"/>
      <c r="T47" s="19"/>
      <c r="U47" s="1"/>
      <c r="V47" s="1">
        <f t="shared" si="8"/>
        <v>4.0917977766943689</v>
      </c>
    </row>
    <row r="48" spans="3:23" ht="15.75" thickBot="1" x14ac:dyDescent="0.3">
      <c r="C48" s="78"/>
      <c r="D48" s="27">
        <v>80.208799999999997</v>
      </c>
      <c r="E48" s="27">
        <v>1.1649400000000001</v>
      </c>
      <c r="F48" s="27">
        <v>82.585300000000004</v>
      </c>
      <c r="G48" s="27">
        <v>1.3814</v>
      </c>
      <c r="H48" s="30">
        <f t="shared" si="6"/>
        <v>1.0340376172722898</v>
      </c>
      <c r="I48" s="18"/>
      <c r="J48" s="21">
        <f>H48</f>
        <v>1.0340376172722898</v>
      </c>
      <c r="L48" s="93"/>
      <c r="M48" s="27">
        <v>79.751599999999996</v>
      </c>
      <c r="N48" s="27">
        <v>1.5242599999999999</v>
      </c>
      <c r="O48" s="27">
        <v>81.254800000000003</v>
      </c>
      <c r="P48" s="27">
        <v>2.63029</v>
      </c>
      <c r="Q48" s="1">
        <f t="shared" si="7"/>
        <v>1.0448702248257613</v>
      </c>
      <c r="R48" s="18"/>
      <c r="S48" s="21">
        <f>Q48</f>
        <v>1.0448702248257613</v>
      </c>
      <c r="T48" s="21">
        <f>(Q47+Q48+Q49)/3</f>
        <v>1.048310611902483</v>
      </c>
      <c r="U48" s="1"/>
      <c r="V48" s="1">
        <f t="shared" si="8"/>
        <v>7.9332241983608416</v>
      </c>
    </row>
    <row r="49" spans="3:22" x14ac:dyDescent="0.25">
      <c r="C49" s="78"/>
      <c r="D49" s="22">
        <v>77.734700000000004</v>
      </c>
      <c r="E49" s="22">
        <v>0.91344099999999995</v>
      </c>
      <c r="F49" s="22">
        <v>80.255200000000002</v>
      </c>
      <c r="G49" s="22">
        <v>1.4212499999999999</v>
      </c>
      <c r="H49" s="23">
        <f t="shared" si="6"/>
        <v>1.0444450438403801</v>
      </c>
      <c r="I49" s="23"/>
      <c r="J49" s="19"/>
      <c r="L49" s="85"/>
      <c r="M49" s="22">
        <v>77.037199999999999</v>
      </c>
      <c r="N49" s="22">
        <v>1.1260399999999999</v>
      </c>
      <c r="O49" s="22">
        <v>79.517799999999994</v>
      </c>
      <c r="P49" s="22">
        <v>2.2785799999999998</v>
      </c>
      <c r="Q49" s="23">
        <f t="shared" si="7"/>
        <v>1.0603572134845969</v>
      </c>
      <c r="R49" s="23"/>
      <c r="S49" s="19"/>
      <c r="U49" s="1"/>
      <c r="V49" s="1">
        <f t="shared" si="8"/>
        <v>7.0209388709333584</v>
      </c>
    </row>
    <row r="50" spans="3:22" x14ac:dyDescent="0.25">
      <c r="U50" s="1"/>
      <c r="V50" s="30">
        <f t="shared" si="8"/>
        <v>9.6464707018471714</v>
      </c>
    </row>
    <row r="51" spans="3:22" x14ac:dyDescent="0.25">
      <c r="U51" s="23"/>
      <c r="V51" s="23">
        <f t="shared" si="8"/>
        <v>11.795358285116727</v>
      </c>
    </row>
    <row r="52" spans="3:22" x14ac:dyDescent="0.25">
      <c r="M52" s="1"/>
      <c r="N52" s="12" t="s">
        <v>33</v>
      </c>
      <c r="O52" s="12"/>
      <c r="P52" s="12"/>
      <c r="Q52" s="12"/>
      <c r="R52" s="12"/>
      <c r="S52" s="12"/>
      <c r="T52" s="12"/>
      <c r="U52" s="1"/>
      <c r="V52" s="1">
        <f t="shared" si="8"/>
        <v>15.888946322408792</v>
      </c>
    </row>
    <row r="53" spans="3:22" x14ac:dyDescent="0.25">
      <c r="M53" s="1"/>
      <c r="N53" s="79" t="s">
        <v>26</v>
      </c>
      <c r="O53" s="79"/>
      <c r="P53" s="79"/>
      <c r="Q53" s="79" t="s">
        <v>28</v>
      </c>
      <c r="R53" s="79"/>
      <c r="S53" s="79"/>
      <c r="T53" s="12" t="s">
        <v>27</v>
      </c>
      <c r="U53" s="23"/>
      <c r="V53" s="23">
        <f t="shared" si="8"/>
        <v>15.38104231218356</v>
      </c>
    </row>
    <row r="54" spans="3:22" x14ac:dyDescent="0.25">
      <c r="M54" s="1"/>
      <c r="N54" s="1" t="s">
        <v>29</v>
      </c>
      <c r="O54" t="s">
        <v>25</v>
      </c>
      <c r="P54" s="1" t="s">
        <v>30</v>
      </c>
      <c r="Q54" s="1" t="s">
        <v>29</v>
      </c>
      <c r="R54" t="s">
        <v>32</v>
      </c>
      <c r="S54" s="1" t="s">
        <v>30</v>
      </c>
      <c r="T54" s="1" t="s">
        <v>29</v>
      </c>
    </row>
    <row r="55" spans="3:22" x14ac:dyDescent="0.25">
      <c r="M55" s="78">
        <v>2</v>
      </c>
      <c r="N55" s="30">
        <f>0</f>
        <v>0</v>
      </c>
      <c r="O55" s="9">
        <f>N55/2 - 1</f>
        <v>-1</v>
      </c>
      <c r="P55" s="30">
        <f>0</f>
        <v>0</v>
      </c>
      <c r="Q55" s="30">
        <f>10.774*P6 - 5.7721</f>
        <v>0.118344470672886</v>
      </c>
      <c r="R55" s="9">
        <f>P55/2 - 1</f>
        <v>-1</v>
      </c>
      <c r="S55" s="30">
        <f>10.774*P22- 5.7721</f>
        <v>-5.6495359066852657E-3</v>
      </c>
      <c r="T55" s="30">
        <f>12.357*P6 - 7.4072</f>
        <v>-0.65128554630547075</v>
      </c>
      <c r="U55" s="12"/>
      <c r="V55" s="12"/>
    </row>
    <row r="56" spans="3:22" x14ac:dyDescent="0.25">
      <c r="M56" s="78"/>
      <c r="N56" s="1">
        <f t="shared" ref="N56:N66" si="9">11.935*P7 - 6.7718</f>
        <v>2.5954246298714141</v>
      </c>
      <c r="O56" s="9">
        <f t="shared" ref="O56:O57" si="10">N56/2 - 1</f>
        <v>0.29771231493570705</v>
      </c>
      <c r="P56" s="1">
        <f t="shared" ref="P56:P66" si="11">11.935*P23 - 6.7718</f>
        <v>2.7103347448689883</v>
      </c>
      <c r="Q56" s="1">
        <f t="shared" ref="Q56:Q66" si="12">10.774*P7 - 5.7721</f>
        <v>2.6839099004804847</v>
      </c>
      <c r="R56" s="9">
        <f t="shared" ref="R56:R57" si="13">P56/2 - 1</f>
        <v>0.35516737243449414</v>
      </c>
      <c r="S56" s="1">
        <f t="shared" ref="S56:S66" si="14">10.774*P23- 5.7721</f>
        <v>2.7876419138012949</v>
      </c>
      <c r="T56" s="1">
        <f t="shared" ref="T56:T66" si="15">12.357*P7 - 7.4072</f>
        <v>2.2912327399514911</v>
      </c>
      <c r="U56" s="12"/>
      <c r="V56" s="12"/>
    </row>
    <row r="57" spans="3:22" x14ac:dyDescent="0.25">
      <c r="M57" s="78"/>
      <c r="N57" s="23">
        <f t="shared" si="9"/>
        <v>3.1223494206119726</v>
      </c>
      <c r="O57" s="9">
        <f t="shared" si="10"/>
        <v>0.56117471030598631</v>
      </c>
      <c r="P57" s="23">
        <f t="shared" si="11"/>
        <v>2.8112077778752456</v>
      </c>
      <c r="Q57" s="23">
        <f t="shared" si="12"/>
        <v>3.1595770722809693</v>
      </c>
      <c r="R57" s="9">
        <f t="shared" si="13"/>
        <v>0.40560388893762278</v>
      </c>
      <c r="S57" s="23">
        <f t="shared" si="14"/>
        <v>2.8787023291854119</v>
      </c>
      <c r="T57" s="23">
        <f t="shared" si="15"/>
        <v>2.8367886376625169</v>
      </c>
      <c r="U57" t="s">
        <v>35</v>
      </c>
      <c r="V57" s="1" t="s">
        <v>30</v>
      </c>
    </row>
    <row r="58" spans="3:22" x14ac:dyDescent="0.25">
      <c r="M58" s="78">
        <v>4</v>
      </c>
      <c r="N58" s="1">
        <f t="shared" si="9"/>
        <v>5.2533655520811626</v>
      </c>
      <c r="O58" s="9">
        <f>N58/4 - 1</f>
        <v>0.31334138802029066</v>
      </c>
      <c r="P58" s="1">
        <f t="shared" si="11"/>
        <v>5.1467157297598147</v>
      </c>
      <c r="Q58" s="1">
        <f t="shared" si="12"/>
        <v>5.0832945251883057</v>
      </c>
      <c r="R58" s="9">
        <f>P58/4 - 1</f>
        <v>0.28667893243995368</v>
      </c>
      <c r="S58" s="1">
        <f t="shared" si="14"/>
        <v>4.9870192687417028</v>
      </c>
      <c r="T58" s="1">
        <f t="shared" si="15"/>
        <v>5.0431536428208545</v>
      </c>
      <c r="U58" s="31"/>
      <c r="V58" s="30">
        <f>163.89*Q38 - 157.98</f>
        <v>-0.45449594151273232</v>
      </c>
    </row>
    <row r="59" spans="3:22" x14ac:dyDescent="0.25">
      <c r="M59" s="78"/>
      <c r="N59" s="1">
        <f t="shared" si="9"/>
        <v>3.7552917926532663</v>
      </c>
      <c r="O59" s="9">
        <f t="shared" ref="O59:O60" si="16">N59/4 - 1</f>
        <v>-6.1177051836683427E-2</v>
      </c>
      <c r="P59" s="1">
        <f t="shared" si="11"/>
        <v>3.4530183250994773</v>
      </c>
      <c r="Q59" s="1">
        <f t="shared" si="12"/>
        <v>3.7309487619644983</v>
      </c>
      <c r="R59" s="9">
        <f t="shared" ref="R59:R60" si="17">P59/4 - 1</f>
        <v>-0.13674541872513069</v>
      </c>
      <c r="S59" s="1">
        <f t="shared" si="14"/>
        <v>3.4580795253139307</v>
      </c>
      <c r="T59" s="1">
        <f t="shared" si="15"/>
        <v>3.4921107064781243</v>
      </c>
      <c r="U59" s="1"/>
      <c r="V59" s="30">
        <f t="shared" ref="V59:V69" si="18">163.89*Q39 - 157.98</f>
        <v>7.4452849531055847</v>
      </c>
    </row>
    <row r="60" spans="3:22" x14ac:dyDescent="0.25">
      <c r="M60" s="78"/>
      <c r="N60" s="1">
        <f t="shared" si="9"/>
        <v>4.4018036683660613</v>
      </c>
      <c r="O60" s="9">
        <f t="shared" si="16"/>
        <v>0.10045091709151532</v>
      </c>
      <c r="P60" s="1">
        <f t="shared" si="11"/>
        <v>4.3344991393418537</v>
      </c>
      <c r="Q60" s="1">
        <f t="shared" si="12"/>
        <v>4.3145699558421384</v>
      </c>
      <c r="R60" s="9">
        <f t="shared" si="17"/>
        <v>8.3624784835463428E-2</v>
      </c>
      <c r="S60" s="1">
        <f t="shared" si="14"/>
        <v>4.2538126038767601</v>
      </c>
      <c r="T60" s="1">
        <f t="shared" si="15"/>
        <v>4.1614820720569252</v>
      </c>
      <c r="U60" s="32"/>
      <c r="V60" s="32">
        <f t="shared" si="18"/>
        <v>-1.8373470219235628</v>
      </c>
    </row>
    <row r="61" spans="3:22" x14ac:dyDescent="0.25">
      <c r="M61" s="78">
        <v>7</v>
      </c>
      <c r="N61" s="1">
        <f t="shared" si="9"/>
        <v>7.8653160306715373</v>
      </c>
      <c r="O61" s="9">
        <f>N61/7 - 1</f>
        <v>0.12361657581021968</v>
      </c>
      <c r="P61" s="1">
        <f t="shared" si="11"/>
        <v>8.0447382218529313</v>
      </c>
      <c r="Q61" s="1">
        <f t="shared" si="12"/>
        <v>7.441162514826571</v>
      </c>
      <c r="R61" s="9">
        <f>P61/7 - 1</f>
        <v>0.14924831740756161</v>
      </c>
      <c r="S61" s="1">
        <f t="shared" si="14"/>
        <v>7.603131068474525</v>
      </c>
      <c r="T61" s="1">
        <f t="shared" si="15"/>
        <v>7.7474579632181122</v>
      </c>
      <c r="U61" s="1"/>
      <c r="V61" s="31">
        <f t="shared" si="18"/>
        <v>5.8381197133814453</v>
      </c>
    </row>
    <row r="62" spans="3:22" x14ac:dyDescent="0.25">
      <c r="M62" s="78"/>
      <c r="N62" s="1">
        <f t="shared" si="9"/>
        <v>6.7298978523222912</v>
      </c>
      <c r="O62" s="9">
        <f t="shared" ref="O62:O63" si="19">N62/7 - 1</f>
        <v>-3.8586021096815526E-2</v>
      </c>
      <c r="P62" s="1">
        <f t="shared" si="11"/>
        <v>7.1636080621987253</v>
      </c>
      <c r="Q62" s="1">
        <f t="shared" si="12"/>
        <v>6.416194315954785</v>
      </c>
      <c r="R62" s="9">
        <f t="shared" ref="R62:R63" si="20">P62/7 - 1</f>
        <v>2.3372580314103608E-2</v>
      </c>
      <c r="S62" s="1">
        <f t="shared" si="14"/>
        <v>6.8077145339027272</v>
      </c>
      <c r="T62" s="1">
        <f t="shared" si="15"/>
        <v>6.5718934529657762</v>
      </c>
      <c r="U62" s="1"/>
      <c r="V62" s="30">
        <f t="shared" si="18"/>
        <v>2.2842428789691951</v>
      </c>
    </row>
    <row r="63" spans="3:22" x14ac:dyDescent="0.25">
      <c r="M63" s="78"/>
      <c r="N63" s="30">
        <f t="shared" si="9"/>
        <v>9.3267320711925166</v>
      </c>
      <c r="O63" s="9">
        <f t="shared" si="19"/>
        <v>0.33239029588464519</v>
      </c>
      <c r="P63" s="30">
        <f t="shared" si="11"/>
        <v>9.6994761856879492</v>
      </c>
      <c r="Q63" s="31">
        <f t="shared" si="12"/>
        <v>8.760416509009481</v>
      </c>
      <c r="R63" s="9">
        <f t="shared" si="20"/>
        <v>0.38563945509827846</v>
      </c>
      <c r="S63" s="30">
        <f t="shared" si="14"/>
        <v>9.0969012253541646</v>
      </c>
      <c r="T63" s="30">
        <f t="shared" si="15"/>
        <v>9.2605470300566317</v>
      </c>
      <c r="U63" s="1"/>
      <c r="V63" s="30">
        <f t="shared" si="18"/>
        <v>2.0248107204347718</v>
      </c>
    </row>
    <row r="64" spans="3:22" x14ac:dyDescent="0.25">
      <c r="M64" s="78">
        <v>15</v>
      </c>
      <c r="N64" s="23">
        <f t="shared" si="9"/>
        <v>11.220069948531446</v>
      </c>
      <c r="O64" s="9">
        <f>N64/15 - 1</f>
        <v>-0.25199533676457031</v>
      </c>
      <c r="P64" s="23">
        <f t="shared" si="11"/>
        <v>11.77497778853024</v>
      </c>
      <c r="Q64" s="23">
        <f t="shared" si="12"/>
        <v>10.469576315498765</v>
      </c>
      <c r="R64" s="9">
        <f>P64/15 - 1</f>
        <v>-0.21500148076465064</v>
      </c>
      <c r="S64" s="23">
        <f t="shared" si="14"/>
        <v>10.970504431807688</v>
      </c>
      <c r="T64" s="23">
        <f t="shared" si="15"/>
        <v>11.220829908169506</v>
      </c>
      <c r="U64" s="1"/>
      <c r="V64" s="31">
        <f t="shared" si="18"/>
        <v>7.8789882448834021</v>
      </c>
    </row>
    <row r="65" spans="10:22" x14ac:dyDescent="0.25">
      <c r="M65" s="78"/>
      <c r="N65" s="1">
        <f t="shared" si="9"/>
        <v>14.380919611188666</v>
      </c>
      <c r="O65" s="9">
        <f t="shared" ref="O65:O66" si="21">N65/15 - 1</f>
        <v>-4.1272025920755628E-2</v>
      </c>
      <c r="P65" s="1">
        <f t="shared" si="11"/>
        <v>15.728766995059399</v>
      </c>
      <c r="Q65" s="1">
        <f t="shared" si="12"/>
        <v>13.32294826903617</v>
      </c>
      <c r="R65" s="9">
        <f t="shared" ref="R65:R66" si="22">P65/15 - 1</f>
        <v>4.8584466337293186E-2</v>
      </c>
      <c r="S65" s="1">
        <f t="shared" si="14"/>
        <v>14.539681215313776</v>
      </c>
      <c r="T65" s="1">
        <f t="shared" si="15"/>
        <v>14.493441494382768</v>
      </c>
      <c r="U65" s="1"/>
      <c r="V65" s="31">
        <f t="shared" si="18"/>
        <v>8.6443956349501434</v>
      </c>
    </row>
    <row r="66" spans="10:22" x14ac:dyDescent="0.25">
      <c r="J66" s="36"/>
      <c r="M66" s="78"/>
      <c r="N66" s="23">
        <f t="shared" si="9"/>
        <v>13.707322577906165</v>
      </c>
      <c r="O66" s="9">
        <f t="shared" si="21"/>
        <v>-8.6178494806255612E-2</v>
      </c>
      <c r="P66" s="23">
        <f t="shared" si="11"/>
        <v>15.238208254099764</v>
      </c>
      <c r="Q66" s="23">
        <f t="shared" si="12"/>
        <v>12.714876678203686</v>
      </c>
      <c r="R66" s="9">
        <f t="shared" si="22"/>
        <v>1.5880550273317473E-2</v>
      </c>
      <c r="S66" s="23">
        <f t="shared" si="14"/>
        <v>14.096842516101452</v>
      </c>
      <c r="T66" s="23">
        <f t="shared" si="15"/>
        <v>13.796027289081398</v>
      </c>
      <c r="U66" s="31"/>
      <c r="V66" s="30">
        <f t="shared" si="18"/>
        <v>10.681396843059247</v>
      </c>
    </row>
    <row r="67" spans="10:22" x14ac:dyDescent="0.25">
      <c r="U67" s="23"/>
      <c r="V67" s="23">
        <f t="shared" si="18"/>
        <v>12.417153689409247</v>
      </c>
    </row>
    <row r="68" spans="10:22" x14ac:dyDescent="0.25">
      <c r="M68" s="1"/>
      <c r="N68" s="12" t="s">
        <v>33</v>
      </c>
      <c r="O68" s="12"/>
      <c r="P68" s="12"/>
      <c r="Q68" s="12"/>
      <c r="R68" s="12"/>
      <c r="S68" s="12"/>
      <c r="T68" s="12"/>
      <c r="U68" s="1"/>
      <c r="V68" s="31">
        <f t="shared" si="18"/>
        <v>13.263781146694015</v>
      </c>
    </row>
    <row r="69" spans="10:22" x14ac:dyDescent="0.25">
      <c r="M69" s="1"/>
      <c r="N69" s="79" t="s">
        <v>26</v>
      </c>
      <c r="O69" s="79"/>
      <c r="P69" s="79"/>
      <c r="Q69" s="79" t="s">
        <v>28</v>
      </c>
      <c r="R69" s="79"/>
      <c r="S69" s="79"/>
      <c r="T69" s="12" t="s">
        <v>27</v>
      </c>
      <c r="U69" s="23"/>
      <c r="V69" s="23">
        <f t="shared" si="18"/>
        <v>15.801943717990582</v>
      </c>
    </row>
    <row r="70" spans="10:22" x14ac:dyDescent="0.25">
      <c r="M70" s="1"/>
      <c r="N70" s="1" t="s">
        <v>29</v>
      </c>
      <c r="O70" t="s">
        <v>34</v>
      </c>
      <c r="P70" s="1" t="s">
        <v>30</v>
      </c>
      <c r="Q70" s="1" t="s">
        <v>29</v>
      </c>
      <c r="R70" t="s">
        <v>36</v>
      </c>
      <c r="S70" s="1" t="s">
        <v>30</v>
      </c>
      <c r="T70" s="1" t="s">
        <v>29</v>
      </c>
    </row>
    <row r="71" spans="10:22" x14ac:dyDescent="0.25">
      <c r="M71" s="78">
        <v>2</v>
      </c>
      <c r="N71" s="30">
        <f>201.89*H38 - 195.59</f>
        <v>-2.7022594943173601</v>
      </c>
      <c r="O71" s="31"/>
      <c r="P71" s="30">
        <f>201.89*Q38 - 195.59</f>
        <v>-1.5401860127647069</v>
      </c>
      <c r="Q71" s="30">
        <f>187.74*H38 - 182.33</f>
        <v>-2.9613120880833037</v>
      </c>
      <c r="R71" s="31"/>
      <c r="S71" s="30">
        <f>187.74*Q38 - 182.33</f>
        <v>-1.8806856309695377</v>
      </c>
      <c r="T71" s="30">
        <f>163.89*H38 - 157.98</f>
        <v>-1.3978424316393614</v>
      </c>
    </row>
    <row r="72" spans="10:22" x14ac:dyDescent="0.25">
      <c r="M72" s="78"/>
      <c r="N72" s="30">
        <f t="shared" ref="N72:N82" si="23">201.89*H39 - 195.59</f>
        <v>6.8366403272657124</v>
      </c>
      <c r="O72" s="1"/>
      <c r="P72" s="30">
        <f t="shared" ref="P72:P82" si="24">201.89*Q39 - 195.59</f>
        <v>8.1912604746017905</v>
      </c>
      <c r="Q72" s="30">
        <f t="shared" ref="Q72:Q82" si="25">187.74*H39 - 182.33</f>
        <v>5.9090284562923898</v>
      </c>
      <c r="R72" s="1"/>
      <c r="S72" s="30">
        <f t="shared" ref="S72:S82" si="26">187.74*Q39 - 182.33</f>
        <v>7.1687064317288787</v>
      </c>
      <c r="T72" s="30">
        <f t="shared" ref="T72:T82" si="27">163.89*H39 - 157.98</f>
        <v>6.3456331826023131</v>
      </c>
    </row>
    <row r="73" spans="10:22" x14ac:dyDescent="0.25">
      <c r="M73" s="78"/>
      <c r="N73" s="32">
        <f t="shared" si="23"/>
        <v>0.21280192195402492</v>
      </c>
      <c r="O73" s="32"/>
      <c r="P73" s="32">
        <f t="shared" si="24"/>
        <v>-3.2436688648248833</v>
      </c>
      <c r="Q73" s="32">
        <f t="shared" si="25"/>
        <v>-0.25056053877037243</v>
      </c>
      <c r="R73" s="32"/>
      <c r="S73" s="32">
        <f t="shared" si="26"/>
        <v>-3.4647753364813809</v>
      </c>
      <c r="T73" s="32">
        <f t="shared" si="27"/>
        <v>0.96854231011465686</v>
      </c>
    </row>
    <row r="74" spans="10:22" x14ac:dyDescent="0.25">
      <c r="M74" s="78">
        <v>4</v>
      </c>
      <c r="N74" s="31">
        <f t="shared" si="23"/>
        <v>5.8172846142959429</v>
      </c>
      <c r="O74" s="1"/>
      <c r="P74" s="31">
        <f t="shared" si="24"/>
        <v>6.2114533463577857</v>
      </c>
      <c r="Q74" s="31">
        <f t="shared" si="25"/>
        <v>4.9611170116792493</v>
      </c>
      <c r="R74" s="1"/>
      <c r="S74" s="31">
        <f t="shared" si="26"/>
        <v>5.327659375131077</v>
      </c>
      <c r="T74" s="31">
        <f t="shared" si="27"/>
        <v>5.518141935890668</v>
      </c>
    </row>
    <row r="75" spans="10:22" x14ac:dyDescent="0.25">
      <c r="M75" s="78"/>
      <c r="N75" s="30">
        <f t="shared" si="23"/>
        <v>2.1439931133761547</v>
      </c>
      <c r="O75" s="1"/>
      <c r="P75" s="30">
        <f t="shared" si="24"/>
        <v>1.833564554488305</v>
      </c>
      <c r="Q75" s="30">
        <f t="shared" si="25"/>
        <v>1.5452779588154044</v>
      </c>
      <c r="R75" s="1"/>
      <c r="S75" s="30">
        <f t="shared" si="26"/>
        <v>1.2566066147884385</v>
      </c>
      <c r="T75" s="30">
        <f t="shared" si="27"/>
        <v>2.5362421682659999</v>
      </c>
    </row>
    <row r="76" spans="10:22" x14ac:dyDescent="0.25">
      <c r="M76" s="78"/>
      <c r="N76" s="30">
        <f t="shared" si="23"/>
        <v>1.0628552651292011</v>
      </c>
      <c r="O76" s="1"/>
      <c r="P76" s="30">
        <f t="shared" si="24"/>
        <v>1.5139797202304806</v>
      </c>
      <c r="Q76" s="30">
        <f t="shared" si="25"/>
        <v>0.53991454492722823</v>
      </c>
      <c r="R76" s="1"/>
      <c r="S76" s="30">
        <f t="shared" si="26"/>
        <v>0.95942073741181844</v>
      </c>
      <c r="T76" s="30">
        <f t="shared" si="27"/>
        <v>1.6585975006291847</v>
      </c>
    </row>
    <row r="77" spans="10:22" x14ac:dyDescent="0.25">
      <c r="M77" s="78">
        <v>7</v>
      </c>
      <c r="N77" s="31">
        <f t="shared" si="23"/>
        <v>8.9975537322048922</v>
      </c>
      <c r="O77" s="1"/>
      <c r="P77" s="31">
        <f t="shared" si="24"/>
        <v>8.725523441085528</v>
      </c>
      <c r="Q77" s="31">
        <f t="shared" si="25"/>
        <v>7.9184884723569837</v>
      </c>
      <c r="R77" s="1"/>
      <c r="S77" s="31">
        <f t="shared" si="26"/>
        <v>7.6655241509207883</v>
      </c>
      <c r="T77" s="31">
        <f t="shared" si="27"/>
        <v>8.0998166386203536</v>
      </c>
    </row>
    <row r="78" spans="10:22" x14ac:dyDescent="0.25">
      <c r="M78" s="78"/>
      <c r="N78" s="31">
        <f t="shared" si="23"/>
        <v>9.0226721230914393</v>
      </c>
      <c r="O78" s="1"/>
      <c r="P78" s="30">
        <f t="shared" si="24"/>
        <v>9.6684003584116169</v>
      </c>
      <c r="Q78" s="31">
        <f t="shared" si="25"/>
        <v>7.9418463737143554</v>
      </c>
      <c r="R78" s="1"/>
      <c r="S78" s="31">
        <f t="shared" si="26"/>
        <v>8.5423170205963572</v>
      </c>
      <c r="T78" s="31">
        <f t="shared" si="27"/>
        <v>8.1202072131034697</v>
      </c>
    </row>
    <row r="79" spans="10:22" x14ac:dyDescent="0.25">
      <c r="M79" s="78"/>
      <c r="N79" s="30">
        <f t="shared" si="23"/>
        <v>11.280639633082785</v>
      </c>
      <c r="O79" s="31"/>
      <c r="P79" s="30">
        <f t="shared" si="24"/>
        <v>12.177706441181442</v>
      </c>
      <c r="Q79" s="30">
        <f t="shared" si="25"/>
        <v>10.041558198598068</v>
      </c>
      <c r="R79" s="31"/>
      <c r="S79" s="30">
        <f t="shared" si="26"/>
        <v>10.875751682933327</v>
      </c>
      <c r="T79" s="30">
        <f t="shared" si="27"/>
        <v>9.9531771235124893</v>
      </c>
    </row>
    <row r="80" spans="10:22" x14ac:dyDescent="0.25">
      <c r="M80" s="78">
        <v>15</v>
      </c>
      <c r="N80" s="23">
        <f t="shared" si="23"/>
        <v>13.886704063102314</v>
      </c>
      <c r="O80" s="23"/>
      <c r="P80" s="23">
        <f t="shared" si="24"/>
        <v>14.315920790498666</v>
      </c>
      <c r="Q80" s="23">
        <f t="shared" si="25"/>
        <v>12.464969640927393</v>
      </c>
      <c r="R80" s="23"/>
      <c r="S80" s="23">
        <f t="shared" si="26"/>
        <v>12.864103567329863</v>
      </c>
      <c r="T80" s="23">
        <f t="shared" si="27"/>
        <v>12.068724696130744</v>
      </c>
    </row>
    <row r="81" spans="13:20" x14ac:dyDescent="0.25">
      <c r="M81" s="78"/>
      <c r="N81" s="31">
        <f t="shared" si="23"/>
        <v>13.17185455110257</v>
      </c>
      <c r="O81" s="1"/>
      <c r="P81" s="31">
        <f t="shared" si="24"/>
        <v>15.35884969007293</v>
      </c>
      <c r="Q81" s="30">
        <f t="shared" si="25"/>
        <v>11.800222266699677</v>
      </c>
      <c r="R81" s="1"/>
      <c r="S81" s="31">
        <f t="shared" si="26"/>
        <v>13.833936008788413</v>
      </c>
      <c r="T81" s="30">
        <f t="shared" si="27"/>
        <v>11.48842509475557</v>
      </c>
    </row>
    <row r="82" spans="13:20" x14ac:dyDescent="0.25">
      <c r="M82" s="78"/>
      <c r="N82" s="23">
        <f t="shared" si="23"/>
        <v>15.273009900934312</v>
      </c>
      <c r="O82" s="23"/>
      <c r="P82" s="23">
        <f t="shared" si="24"/>
        <v>18.485517830405257</v>
      </c>
      <c r="Q82" s="23">
        <f t="shared" si="25"/>
        <v>13.754112530592948</v>
      </c>
      <c r="R82" s="23"/>
      <c r="S82" s="23">
        <f t="shared" si="26"/>
        <v>16.74146325959822</v>
      </c>
      <c r="T82" s="23">
        <f t="shared" si="27"/>
        <v>13.194098234999871</v>
      </c>
    </row>
  </sheetData>
  <mergeCells count="61">
    <mergeCell ref="T5:U5"/>
    <mergeCell ref="M71:M73"/>
    <mergeCell ref="M74:M76"/>
    <mergeCell ref="M77:M79"/>
    <mergeCell ref="M80:M82"/>
    <mergeCell ref="M55:M57"/>
    <mergeCell ref="M58:M60"/>
    <mergeCell ref="M61:M63"/>
    <mergeCell ref="M64:M66"/>
    <mergeCell ref="N69:P69"/>
    <mergeCell ref="Q69:S69"/>
    <mergeCell ref="N5:O5"/>
    <mergeCell ref="C47:C49"/>
    <mergeCell ref="L47:L49"/>
    <mergeCell ref="P20:S20"/>
    <mergeCell ref="Q36:T36"/>
    <mergeCell ref="N53:P53"/>
    <mergeCell ref="Q53:S53"/>
    <mergeCell ref="C38:C40"/>
    <mergeCell ref="L38:L40"/>
    <mergeCell ref="C41:C43"/>
    <mergeCell ref="L41:L43"/>
    <mergeCell ref="C44:C46"/>
    <mergeCell ref="L44:L46"/>
    <mergeCell ref="D36:G36"/>
    <mergeCell ref="H36:J36"/>
    <mergeCell ref="M36:P36"/>
    <mergeCell ref="D37:E37"/>
    <mergeCell ref="F37:G37"/>
    <mergeCell ref="M37:N37"/>
    <mergeCell ref="O37:P37"/>
    <mergeCell ref="C22:C24"/>
    <mergeCell ref="C25:C27"/>
    <mergeCell ref="C28:C30"/>
    <mergeCell ref="C31:C33"/>
    <mergeCell ref="D35:G35"/>
    <mergeCell ref="M35:P35"/>
    <mergeCell ref="D20:G20"/>
    <mergeCell ref="H20:K20"/>
    <mergeCell ref="L20:O20"/>
    <mergeCell ref="D21:E21"/>
    <mergeCell ref="F21:G21"/>
    <mergeCell ref="H21:I21"/>
    <mergeCell ref="J21:K21"/>
    <mergeCell ref="L21:M21"/>
    <mergeCell ref="N21:O21"/>
    <mergeCell ref="C6:C8"/>
    <mergeCell ref="C9:C11"/>
    <mergeCell ref="C12:C14"/>
    <mergeCell ref="C15:C17"/>
    <mergeCell ref="D19:O19"/>
    <mergeCell ref="D3:O3"/>
    <mergeCell ref="D4:G4"/>
    <mergeCell ref="H4:K4"/>
    <mergeCell ref="L4:O4"/>
    <mergeCell ref="P4:R4"/>
    <mergeCell ref="D5:E5"/>
    <mergeCell ref="F5:G5"/>
    <mergeCell ref="H5:I5"/>
    <mergeCell ref="J5:K5"/>
    <mergeCell ref="L5:M5"/>
  </mergeCells>
  <conditionalFormatting sqref="Q6:Q8 Q22:Q24">
    <cfRule type="colorScale" priority="4">
      <colorScale>
        <cfvo type="num" val="1"/>
        <cfvo type="num" val="2"/>
        <cfvo type="num" val="3"/>
        <color rgb="FFFF0000"/>
        <color rgb="FF92D050"/>
        <color rgb="FFFF0000"/>
      </colorScale>
    </cfRule>
  </conditionalFormatting>
  <conditionalFormatting sqref="Q9:Q11 Q25:Q27">
    <cfRule type="colorScale" priority="3">
      <colorScale>
        <cfvo type="num" val="2"/>
        <cfvo type="num" val="4"/>
        <cfvo type="num" val="6"/>
        <color rgb="FFFF0000"/>
        <color rgb="FF92D050"/>
        <color rgb="FFFF0000"/>
      </colorScale>
    </cfRule>
  </conditionalFormatting>
  <conditionalFormatting sqref="Q12:Q14 Q28:Q30">
    <cfRule type="colorScale" priority="2">
      <colorScale>
        <cfvo type="num" val="3.5"/>
        <cfvo type="num" val="7"/>
        <cfvo type="num" val="10.5"/>
        <color rgb="FFFF0000"/>
        <color rgb="FF92D050"/>
        <color rgb="FFFF0000"/>
      </colorScale>
    </cfRule>
  </conditionalFormatting>
  <conditionalFormatting sqref="Q15:Q17 Q31:Q33">
    <cfRule type="colorScale" priority="1">
      <colorScale>
        <cfvo type="num" val="7.5"/>
        <cfvo type="num" val="15"/>
        <cfvo type="num" val="22.5"/>
        <color rgb="FFFF0000"/>
        <color rgb="FF92D050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U55"/>
  <sheetViews>
    <sheetView workbookViewId="0">
      <selection activeCell="H17" sqref="H17"/>
    </sheetView>
  </sheetViews>
  <sheetFormatPr defaultRowHeight="15" x14ac:dyDescent="0.25"/>
  <cols>
    <col min="9" max="9" width="9" customWidth="1"/>
    <col min="12" max="12" width="9.7109375" customWidth="1"/>
  </cols>
  <sheetData>
    <row r="7" spans="3:20" x14ac:dyDescent="0.25">
      <c r="C7" s="16"/>
      <c r="D7" s="89" t="s">
        <v>22</v>
      </c>
      <c r="E7" s="90"/>
      <c r="F7" s="90"/>
      <c r="G7" s="91"/>
      <c r="L7" s="16"/>
      <c r="M7" s="89" t="s">
        <v>21</v>
      </c>
      <c r="N7" s="90"/>
      <c r="O7" s="90"/>
      <c r="P7" s="91"/>
    </row>
    <row r="8" spans="3:20" x14ac:dyDescent="0.25">
      <c r="C8" s="14"/>
      <c r="D8" s="88" t="s">
        <v>1</v>
      </c>
      <c r="E8" s="86"/>
      <c r="F8" s="86"/>
      <c r="G8" s="86"/>
      <c r="H8" s="79" t="s">
        <v>15</v>
      </c>
      <c r="I8" s="79"/>
      <c r="J8" s="79"/>
      <c r="L8" s="14"/>
      <c r="M8" s="87" t="s">
        <v>1</v>
      </c>
      <c r="N8" s="94"/>
      <c r="O8" s="94"/>
      <c r="P8" s="88"/>
      <c r="Q8" s="79" t="s">
        <v>15</v>
      </c>
      <c r="R8" s="79"/>
      <c r="S8" s="79"/>
      <c r="T8" s="79"/>
    </row>
    <row r="9" spans="3:20" x14ac:dyDescent="0.25">
      <c r="C9" s="15"/>
      <c r="D9" s="88" t="s">
        <v>3</v>
      </c>
      <c r="E9" s="86"/>
      <c r="F9" s="86" t="s">
        <v>0</v>
      </c>
      <c r="G9" s="86"/>
      <c r="H9" s="17" t="s">
        <v>16</v>
      </c>
      <c r="I9" s="17" t="s">
        <v>17</v>
      </c>
      <c r="J9" s="3" t="s">
        <v>19</v>
      </c>
      <c r="L9" s="15"/>
      <c r="M9" s="87" t="s">
        <v>3</v>
      </c>
      <c r="N9" s="88"/>
      <c r="O9" s="87" t="s">
        <v>0</v>
      </c>
      <c r="P9" s="88"/>
      <c r="Q9" s="28" t="s">
        <v>16</v>
      </c>
      <c r="R9" s="28" t="s">
        <v>17</v>
      </c>
      <c r="S9" s="2" t="s">
        <v>19</v>
      </c>
      <c r="T9" s="2" t="s">
        <v>24</v>
      </c>
    </row>
    <row r="10" spans="3:20" ht="15.75" thickBot="1" x14ac:dyDescent="0.3">
      <c r="C10" s="85" t="s">
        <v>11</v>
      </c>
      <c r="D10" s="40">
        <v>19.312200000000001</v>
      </c>
      <c r="E10" s="40">
        <v>2.6513300000000002</v>
      </c>
      <c r="F10" s="40">
        <v>11.4655</v>
      </c>
      <c r="G10" s="40">
        <v>1.8183199999999999</v>
      </c>
      <c r="H10" s="42">
        <f>(F10+2*G10)/(D10+2*E10)</f>
        <v>0.61353751351825692</v>
      </c>
      <c r="I10" s="18"/>
      <c r="J10" s="20"/>
      <c r="L10" s="92" t="s">
        <v>11</v>
      </c>
      <c r="M10" s="40">
        <v>17.300699999999999</v>
      </c>
      <c r="N10" s="40">
        <v>4.8893700000000004</v>
      </c>
      <c r="O10" s="40">
        <v>8.9410299999999996</v>
      </c>
      <c r="P10" s="40">
        <v>3.3595000000000002</v>
      </c>
      <c r="Q10" s="30">
        <f>(O10+2*P10)/(M10+2*N10)</f>
        <v>0.57829962510303023</v>
      </c>
      <c r="R10" s="18"/>
      <c r="S10" s="20"/>
      <c r="T10" s="20"/>
    </row>
    <row r="11" spans="3:20" ht="15.75" thickBot="1" x14ac:dyDescent="0.3">
      <c r="C11" s="78"/>
      <c r="D11" s="40">
        <v>21.088899999999999</v>
      </c>
      <c r="E11" s="40">
        <v>4.8158200000000004</v>
      </c>
      <c r="F11" s="40">
        <v>14.7483</v>
      </c>
      <c r="G11" s="40">
        <v>1.7490300000000001</v>
      </c>
      <c r="H11" s="42">
        <f t="shared" ref="H11:H21" si="0">(F11+2*G11)/(D11+2*E11)</f>
        <v>0.59394659078258383</v>
      </c>
      <c r="I11" s="18"/>
      <c r="J11" s="21">
        <f>(H10+H11)/2</f>
        <v>0.60374205215042043</v>
      </c>
      <c r="L11" s="93"/>
      <c r="M11" s="40">
        <v>20.321100000000001</v>
      </c>
      <c r="N11" s="40">
        <v>6.1192900000000003</v>
      </c>
      <c r="O11" s="40">
        <v>12.8222</v>
      </c>
      <c r="P11" s="40">
        <v>3.55369</v>
      </c>
      <c r="Q11" s="30">
        <f t="shared" ref="Q11:Q21" si="1">(O11+2*P11)/(M11+2*N11)</f>
        <v>0.61209385350224577</v>
      </c>
      <c r="R11" s="18"/>
      <c r="S11" s="21">
        <f>(Q10+Q11)/2</f>
        <v>0.59519673930263806</v>
      </c>
      <c r="T11" s="21">
        <f>(Q10+Q11+Q12)/3</f>
        <v>0.6276507320041681</v>
      </c>
    </row>
    <row r="12" spans="3:20" x14ac:dyDescent="0.25">
      <c r="C12" s="78"/>
      <c r="D12" s="22">
        <v>30.035699999999999</v>
      </c>
      <c r="E12" s="22">
        <v>4.4887300000000003</v>
      </c>
      <c r="F12" s="22">
        <v>0</v>
      </c>
      <c r="G12" s="22">
        <v>0</v>
      </c>
      <c r="H12" s="23">
        <f t="shared" si="0"/>
        <v>0</v>
      </c>
      <c r="I12" s="23"/>
      <c r="J12" s="19"/>
      <c r="L12" s="85"/>
      <c r="M12" s="22">
        <v>25.8536</v>
      </c>
      <c r="N12" s="22">
        <v>6.2131800000000004</v>
      </c>
      <c r="O12" s="22">
        <v>19.025700000000001</v>
      </c>
      <c r="P12" s="22">
        <v>3.7427100000000002</v>
      </c>
      <c r="Q12" s="23">
        <f t="shared" si="1"/>
        <v>0.69255871740722819</v>
      </c>
      <c r="R12" s="23"/>
      <c r="S12" s="19"/>
      <c r="T12" s="19"/>
    </row>
    <row r="13" spans="3:20" ht="15.75" thickBot="1" x14ac:dyDescent="0.3">
      <c r="C13" s="78" t="s">
        <v>12</v>
      </c>
      <c r="D13" s="40">
        <v>25.5627</v>
      </c>
      <c r="E13" s="40">
        <v>6.9363299999999999</v>
      </c>
      <c r="F13" s="40">
        <v>25.8172</v>
      </c>
      <c r="G13" s="40">
        <v>3.4948399999999999</v>
      </c>
      <c r="H13" s="1">
        <f t="shared" si="0"/>
        <v>0.83191531660925622</v>
      </c>
      <c r="I13" s="1"/>
      <c r="J13" s="19"/>
      <c r="L13" s="92" t="s">
        <v>12</v>
      </c>
      <c r="M13" s="40">
        <v>27.357099999999999</v>
      </c>
      <c r="N13" s="40">
        <v>6.6392199999999999</v>
      </c>
      <c r="O13" s="40">
        <v>24.3386</v>
      </c>
      <c r="P13" s="40">
        <v>4.1951900000000002</v>
      </c>
      <c r="Q13" s="1">
        <f t="shared" si="1"/>
        <v>0.80542746571104995</v>
      </c>
      <c r="R13" s="1"/>
      <c r="S13" s="19"/>
      <c r="T13" s="19"/>
    </row>
    <row r="14" spans="3:20" ht="15.75" thickBot="1" x14ac:dyDescent="0.3">
      <c r="C14" s="78"/>
      <c r="D14" s="40">
        <v>23.101600000000001</v>
      </c>
      <c r="E14" s="40">
        <v>5.3567200000000001</v>
      </c>
      <c r="F14" s="40">
        <v>20.7363</v>
      </c>
      <c r="G14" s="40">
        <v>2.8152300000000001</v>
      </c>
      <c r="H14" s="42">
        <f t="shared" si="0"/>
        <v>0.77973469793322725</v>
      </c>
      <c r="I14" s="18"/>
      <c r="J14" s="21">
        <f>(H13+H14)/2</f>
        <v>0.80582500727124173</v>
      </c>
      <c r="L14" s="93"/>
      <c r="M14" s="40">
        <v>23.044799999999999</v>
      </c>
      <c r="N14" s="40">
        <v>5.9417900000000001</v>
      </c>
      <c r="O14" s="40">
        <v>18.4559</v>
      </c>
      <c r="P14" s="40">
        <v>4.4971699999999997</v>
      </c>
      <c r="Q14" s="30">
        <f t="shared" si="1"/>
        <v>0.78590074890390005</v>
      </c>
      <c r="R14" s="18"/>
      <c r="S14" s="21">
        <f>(Q13+Q14)/2</f>
        <v>0.79566410730747505</v>
      </c>
      <c r="T14" s="21">
        <f>(Q13+Q14+Q15)/3</f>
        <v>0.82123540195487887</v>
      </c>
    </row>
    <row r="15" spans="3:20" x14ac:dyDescent="0.25">
      <c r="C15" s="78"/>
      <c r="D15" s="22">
        <v>19.6568</v>
      </c>
      <c r="E15" s="22">
        <v>5.1909299999999998</v>
      </c>
      <c r="F15" s="22">
        <v>0</v>
      </c>
      <c r="G15" s="22">
        <v>0</v>
      </c>
      <c r="H15" s="43">
        <f t="shared" si="0"/>
        <v>0</v>
      </c>
      <c r="I15" s="23"/>
      <c r="J15" s="19"/>
      <c r="L15" s="85"/>
      <c r="M15" s="40">
        <v>18.613800000000001</v>
      </c>
      <c r="N15" s="40">
        <v>5.7645600000000004</v>
      </c>
      <c r="O15" s="40">
        <v>14.2944</v>
      </c>
      <c r="P15" s="40">
        <v>6.0008100000000004</v>
      </c>
      <c r="Q15" s="30">
        <f t="shared" si="1"/>
        <v>0.87237799124968629</v>
      </c>
      <c r="R15" s="1"/>
      <c r="S15" s="19"/>
      <c r="T15" s="19"/>
    </row>
    <row r="16" spans="3:20" ht="15.75" thickBot="1" x14ac:dyDescent="0.3">
      <c r="C16" s="78" t="s">
        <v>13</v>
      </c>
      <c r="D16" s="40">
        <v>21.913699999999999</v>
      </c>
      <c r="E16" s="40">
        <v>3.41743</v>
      </c>
      <c r="F16" s="40">
        <v>22.992000000000001</v>
      </c>
      <c r="G16" s="40">
        <v>7.4320000000000004</v>
      </c>
      <c r="H16" s="1">
        <f t="shared" si="0"/>
        <v>1.3167963891060981</v>
      </c>
      <c r="I16" s="1"/>
      <c r="J16" s="19"/>
      <c r="L16" s="92" t="s">
        <v>13</v>
      </c>
      <c r="M16" s="40">
        <v>20.1371</v>
      </c>
      <c r="N16" s="40">
        <v>5.3359899999999998</v>
      </c>
      <c r="O16" s="40">
        <v>21.244399999999999</v>
      </c>
      <c r="P16" s="40">
        <v>8.7272499999999997</v>
      </c>
      <c r="Q16" s="1">
        <f t="shared" si="1"/>
        <v>1.2560874910902888</v>
      </c>
      <c r="R16" s="1"/>
      <c r="S16" s="19"/>
      <c r="T16" s="19"/>
    </row>
    <row r="17" spans="3:21" ht="15.75" thickBot="1" x14ac:dyDescent="0.3">
      <c r="C17" s="78"/>
      <c r="D17" s="40">
        <v>19.9695</v>
      </c>
      <c r="E17" s="40">
        <v>4.2847200000000001</v>
      </c>
      <c r="F17" s="40">
        <v>18.913</v>
      </c>
      <c r="G17" s="40">
        <v>5.1170099999999996</v>
      </c>
      <c r="H17" s="31">
        <f t="shared" si="0"/>
        <v>1.0213070282217909</v>
      </c>
      <c r="I17" s="18"/>
      <c r="J17" s="21">
        <f>(H16+H17+H18)/3</f>
        <v>1.2068847638173956</v>
      </c>
      <c r="L17" s="93"/>
      <c r="M17" s="40">
        <v>18.234400000000001</v>
      </c>
      <c r="N17" s="40">
        <v>5.4679200000000003</v>
      </c>
      <c r="O17" s="40">
        <v>16.639099999999999</v>
      </c>
      <c r="P17" s="40">
        <v>6.6135799999999998</v>
      </c>
      <c r="Q17" s="30">
        <f t="shared" si="1"/>
        <v>1.023860619590377</v>
      </c>
      <c r="R17" s="18"/>
      <c r="S17" s="21">
        <f>(Q16+Q17+Q18)/3</f>
        <v>1.1846977688247982</v>
      </c>
      <c r="T17" s="21">
        <f>(Q16+Q17+Q18)/3</f>
        <v>1.1846977688247982</v>
      </c>
    </row>
    <row r="18" spans="3:21" x14ac:dyDescent="0.25">
      <c r="C18" s="78"/>
      <c r="D18" s="40">
        <v>21.2667</v>
      </c>
      <c r="E18" s="40">
        <v>4.89419</v>
      </c>
      <c r="F18" s="40">
        <v>26.924299999999999</v>
      </c>
      <c r="G18" s="40">
        <v>6.4527099999999997</v>
      </c>
      <c r="H18" s="42">
        <f t="shared" si="0"/>
        <v>1.2825508741242977</v>
      </c>
      <c r="I18" s="1"/>
      <c r="J18" s="19"/>
      <c r="L18" s="85"/>
      <c r="M18" s="40">
        <v>20.035699999999999</v>
      </c>
      <c r="N18" s="40">
        <v>6.1703599999999996</v>
      </c>
      <c r="O18" s="40">
        <v>24.7698</v>
      </c>
      <c r="P18" s="40">
        <v>8.2412299999999998</v>
      </c>
      <c r="Q18" s="30">
        <f t="shared" si="1"/>
        <v>1.2741451957937291</v>
      </c>
      <c r="R18" s="1"/>
      <c r="S18" s="19"/>
      <c r="T18" s="19"/>
    </row>
    <row r="19" spans="3:21" ht="15.75" thickBot="1" x14ac:dyDescent="0.3">
      <c r="C19" s="78" t="s">
        <v>14</v>
      </c>
      <c r="D19" s="40">
        <v>24.010400000000001</v>
      </c>
      <c r="E19" s="40">
        <v>3.8400500000000002</v>
      </c>
      <c r="F19" s="40">
        <v>29.759499999999999</v>
      </c>
      <c r="G19" s="40">
        <v>11.254300000000001</v>
      </c>
      <c r="H19" s="31">
        <f t="shared" si="0"/>
        <v>1.6493302409239363</v>
      </c>
      <c r="I19" s="31"/>
      <c r="J19" s="19"/>
      <c r="L19" s="92" t="s">
        <v>14</v>
      </c>
      <c r="M19" s="22">
        <v>21.567900000000002</v>
      </c>
      <c r="N19" s="22">
        <v>5.5692700000000004</v>
      </c>
      <c r="O19" s="22">
        <v>27.8736</v>
      </c>
      <c r="P19" s="22">
        <v>12.4245</v>
      </c>
      <c r="Q19" s="23">
        <f t="shared" si="1"/>
        <v>1.611994457360691</v>
      </c>
      <c r="R19" s="23"/>
      <c r="S19" s="19"/>
      <c r="T19" s="19"/>
    </row>
    <row r="20" spans="3:21" ht="15.75" thickBot="1" x14ac:dyDescent="0.3">
      <c r="C20" s="78"/>
      <c r="D20" s="40">
        <v>18.7319</v>
      </c>
      <c r="E20" s="40">
        <v>1.6265000000000001</v>
      </c>
      <c r="F20" s="40">
        <v>31.194900000000001</v>
      </c>
      <c r="G20" s="40">
        <v>10.711499999999999</v>
      </c>
      <c r="H20" s="31">
        <f t="shared" si="0"/>
        <v>2.3933654462835854</v>
      </c>
      <c r="I20" s="18"/>
      <c r="J20" s="21">
        <f>(H20+H19)/2</f>
        <v>2.0213478436037606</v>
      </c>
      <c r="L20" s="93"/>
      <c r="M20" s="40">
        <v>16.557099999999998</v>
      </c>
      <c r="N20" s="40">
        <v>4.78132</v>
      </c>
      <c r="O20" s="40">
        <v>27.722100000000001</v>
      </c>
      <c r="P20" s="40">
        <v>13.079599999999999</v>
      </c>
      <c r="Q20" s="1">
        <f t="shared" si="1"/>
        <v>2.0628574403879978</v>
      </c>
      <c r="R20" s="18"/>
      <c r="S20" s="21">
        <f>(Q20+Q19)/2</f>
        <v>1.8374259488743445</v>
      </c>
      <c r="T20" s="21">
        <f>(Q19+Q20+Q21)/3</f>
        <v>1.7824041505143484</v>
      </c>
    </row>
    <row r="21" spans="3:21" x14ac:dyDescent="0.25">
      <c r="C21" s="78"/>
      <c r="D21" s="22">
        <v>0</v>
      </c>
      <c r="E21" s="22">
        <v>0</v>
      </c>
      <c r="F21" s="22">
        <v>27.2089</v>
      </c>
      <c r="G21" s="22">
        <v>5.60276</v>
      </c>
      <c r="H21" s="23" t="e">
        <f t="shared" si="0"/>
        <v>#DIV/0!</v>
      </c>
      <c r="I21" s="23"/>
      <c r="J21" s="19"/>
      <c r="L21" s="85"/>
      <c r="M21" s="22">
        <v>15.2241</v>
      </c>
      <c r="N21" s="22">
        <v>4.5419200000000002</v>
      </c>
      <c r="O21" s="22">
        <v>24.532599999999999</v>
      </c>
      <c r="P21" s="22">
        <v>8.0595199999999991</v>
      </c>
      <c r="Q21" s="23">
        <f t="shared" si="1"/>
        <v>1.6723605537943569</v>
      </c>
      <c r="R21" s="23"/>
      <c r="S21" s="19"/>
    </row>
    <row r="23" spans="3:21" x14ac:dyDescent="0.25">
      <c r="C23">
        <v>2</v>
      </c>
    </row>
    <row r="24" spans="3:21" x14ac:dyDescent="0.25">
      <c r="C24">
        <v>4</v>
      </c>
      <c r="Q24" s="79" t="s">
        <v>26</v>
      </c>
      <c r="R24" s="79"/>
      <c r="S24" s="79"/>
      <c r="T24" s="79"/>
      <c r="U24" s="79"/>
    </row>
    <row r="25" spans="3:21" x14ac:dyDescent="0.25">
      <c r="C25">
        <v>7</v>
      </c>
      <c r="Q25" s="1"/>
      <c r="R25" s="1" t="s">
        <v>29</v>
      </c>
      <c r="S25" s="1" t="s">
        <v>44</v>
      </c>
      <c r="T25" s="1" t="s">
        <v>30</v>
      </c>
      <c r="U25" s="1" t="s">
        <v>44</v>
      </c>
    </row>
    <row r="26" spans="3:21" x14ac:dyDescent="0.25">
      <c r="C26">
        <v>15</v>
      </c>
      <c r="Q26" s="78">
        <v>2</v>
      </c>
      <c r="R26" s="31">
        <f>9.105*H10 - 3.5568</f>
        <v>2.0294590605837293</v>
      </c>
      <c r="S26" s="8">
        <f>R26/2 - 1</f>
        <v>1.4729530291864634E-2</v>
      </c>
      <c r="T26" s="31">
        <f>9.105*Q10 - 3.5568</f>
        <v>1.7086180865630904</v>
      </c>
      <c r="U26" s="8">
        <f>T26/2 - 1</f>
        <v>-0.14569095671845478</v>
      </c>
    </row>
    <row r="27" spans="3:21" x14ac:dyDescent="0.25">
      <c r="Q27" s="78"/>
      <c r="R27" s="31">
        <f t="shared" ref="R27:R36" si="2">9.105*H11 - 3.5568</f>
        <v>1.851083709075426</v>
      </c>
      <c r="S27" s="8">
        <f t="shared" ref="S27:U28" si="3">R27/2 - 1</f>
        <v>-7.4458145462287018E-2</v>
      </c>
      <c r="T27" s="31">
        <f t="shared" ref="T27:T37" si="4">9.105*Q11 - 3.5568</f>
        <v>2.0163145361379478</v>
      </c>
      <c r="U27" s="8">
        <f t="shared" si="3"/>
        <v>8.1572680689738775E-3</v>
      </c>
    </row>
    <row r="28" spans="3:21" x14ac:dyDescent="0.25">
      <c r="Q28" s="78"/>
      <c r="R28" s="31">
        <f>0</f>
        <v>0</v>
      </c>
      <c r="S28" s="8">
        <f t="shared" si="3"/>
        <v>-1</v>
      </c>
      <c r="T28" s="31">
        <f t="shared" si="4"/>
        <v>2.7489471219928125</v>
      </c>
      <c r="U28" s="8">
        <f t="shared" si="3"/>
        <v>0.37447356099640627</v>
      </c>
    </row>
    <row r="29" spans="3:21" x14ac:dyDescent="0.25">
      <c r="Q29" s="78">
        <v>4</v>
      </c>
      <c r="R29" s="31">
        <f t="shared" si="2"/>
        <v>4.0177889577272783</v>
      </c>
      <c r="S29" s="8">
        <f>R29/4 - 1</f>
        <v>4.4472394318195718E-3</v>
      </c>
      <c r="T29" s="31">
        <f t="shared" si="4"/>
        <v>3.7766170752991099</v>
      </c>
      <c r="U29" s="8">
        <f>T29/4 - 1</f>
        <v>-5.5845731175222513E-2</v>
      </c>
    </row>
    <row r="30" spans="3:21" x14ac:dyDescent="0.25">
      <c r="Q30" s="78"/>
      <c r="R30" s="31">
        <f t="shared" si="2"/>
        <v>3.5426844246820348</v>
      </c>
      <c r="S30" s="8">
        <f t="shared" ref="S30:U31" si="5">R30/4 - 1</f>
        <v>-0.1143288938294913</v>
      </c>
      <c r="T30" s="31">
        <f t="shared" si="4"/>
        <v>3.5988263187700102</v>
      </c>
      <c r="U30" s="8">
        <f t="shared" si="5"/>
        <v>-0.10029342030749744</v>
      </c>
    </row>
    <row r="31" spans="3:21" x14ac:dyDescent="0.25">
      <c r="Q31" s="78"/>
      <c r="R31" s="31">
        <f>0</f>
        <v>0</v>
      </c>
      <c r="S31" s="8">
        <f t="shared" si="5"/>
        <v>-1</v>
      </c>
      <c r="T31" s="31">
        <f t="shared" si="4"/>
        <v>4.3862016103283938</v>
      </c>
      <c r="U31" s="8">
        <f t="shared" si="5"/>
        <v>9.655040258209846E-2</v>
      </c>
    </row>
    <row r="32" spans="3:21" x14ac:dyDescent="0.25">
      <c r="Q32" s="78">
        <v>7</v>
      </c>
      <c r="R32" s="31">
        <f t="shared" si="2"/>
        <v>8.4326311228110242</v>
      </c>
      <c r="S32" s="8">
        <f>R32/7 - 1</f>
        <v>0.20466158897300346</v>
      </c>
      <c r="T32" s="31">
        <f t="shared" si="4"/>
        <v>7.8798766063770804</v>
      </c>
      <c r="U32" s="8">
        <f>T32/7 - 1</f>
        <v>0.12569665805386854</v>
      </c>
    </row>
    <row r="33" spans="9:21" x14ac:dyDescent="0.25">
      <c r="Q33" s="78"/>
      <c r="R33" s="31">
        <f t="shared" si="2"/>
        <v>5.7422004919594061</v>
      </c>
      <c r="S33" s="8">
        <f t="shared" ref="S33:U34" si="6">R33/7 - 1</f>
        <v>-0.17968564400579912</v>
      </c>
      <c r="T33" s="31">
        <f t="shared" si="4"/>
        <v>5.7654509413703829</v>
      </c>
      <c r="U33" s="8">
        <f t="shared" si="6"/>
        <v>-0.17636415123280247</v>
      </c>
    </row>
    <row r="34" spans="9:21" x14ac:dyDescent="0.25">
      <c r="Q34" s="78"/>
      <c r="R34" s="31">
        <f t="shared" si="2"/>
        <v>8.1208257089017302</v>
      </c>
      <c r="S34" s="8">
        <f t="shared" si="6"/>
        <v>0.16011795841453291</v>
      </c>
      <c r="T34" s="31">
        <f t="shared" si="4"/>
        <v>8.0442920077019053</v>
      </c>
      <c r="U34" s="8">
        <f t="shared" si="6"/>
        <v>0.14918457252884365</v>
      </c>
    </row>
    <row r="35" spans="9:21" x14ac:dyDescent="0.25">
      <c r="Q35" s="78">
        <v>15</v>
      </c>
      <c r="R35" s="31">
        <f t="shared" si="2"/>
        <v>11.46035184361244</v>
      </c>
      <c r="S35" s="8">
        <f>R35/15 - 1</f>
        <v>-0.23597654375917065</v>
      </c>
      <c r="T35" s="31">
        <f t="shared" si="4"/>
        <v>11.120409534269093</v>
      </c>
      <c r="U35" s="8">
        <f>T35/15 - 1</f>
        <v>-0.25863936438206048</v>
      </c>
    </row>
    <row r="36" spans="9:21" x14ac:dyDescent="0.25">
      <c r="Q36" s="78"/>
      <c r="R36" s="31">
        <f t="shared" si="2"/>
        <v>18.234792388412046</v>
      </c>
      <c r="S36" s="8">
        <f t="shared" ref="S36:U37" si="7">R36/15 - 1</f>
        <v>0.21565282589413637</v>
      </c>
      <c r="T36" s="31">
        <f t="shared" si="4"/>
        <v>15.225516994732722</v>
      </c>
      <c r="U36" s="8">
        <f t="shared" si="7"/>
        <v>1.5034466315514861E-2</v>
      </c>
    </row>
    <row r="37" spans="9:21" x14ac:dyDescent="0.25">
      <c r="Q37" s="78"/>
      <c r="R37" s="31">
        <f>0</f>
        <v>0</v>
      </c>
      <c r="S37" s="8">
        <f t="shared" si="7"/>
        <v>-1</v>
      </c>
      <c r="T37" s="31">
        <f t="shared" si="4"/>
        <v>11.670042842297619</v>
      </c>
      <c r="U37" s="8">
        <f t="shared" si="7"/>
        <v>-0.22199714384682545</v>
      </c>
    </row>
    <row r="39" spans="9:21" x14ac:dyDescent="0.25">
      <c r="I39" s="95" t="s">
        <v>38</v>
      </c>
      <c r="J39" s="95"/>
      <c r="L39" s="95" t="s">
        <v>39</v>
      </c>
      <c r="M39" s="95"/>
    </row>
    <row r="40" spans="9:21" x14ac:dyDescent="0.25">
      <c r="I40" s="48">
        <f>ABS('Testes Finais'!O55)</f>
        <v>1</v>
      </c>
      <c r="J40" s="48">
        <f>ABS('Testes Finais'!R55)</f>
        <v>1</v>
      </c>
      <c r="L40" s="46">
        <f>ABS(S26)</f>
        <v>1.4729530291864634E-2</v>
      </c>
      <c r="M40" s="46">
        <f>ABS(U26)</f>
        <v>0.14569095671845478</v>
      </c>
    </row>
    <row r="41" spans="9:21" x14ac:dyDescent="0.25">
      <c r="I41" s="48">
        <f>ABS('Testes Finais'!O56)</f>
        <v>0.29771231493570705</v>
      </c>
      <c r="J41" s="48">
        <f>ABS('Testes Finais'!R56)</f>
        <v>0.35516737243449414</v>
      </c>
      <c r="L41" s="46">
        <f t="shared" ref="L41:L51" si="8">ABS(S27)</f>
        <v>7.4458145462287018E-2</v>
      </c>
      <c r="M41" s="46">
        <f t="shared" ref="M41:M51" si="9">ABS(U27)</f>
        <v>8.1572680689738775E-3</v>
      </c>
    </row>
    <row r="42" spans="9:21" x14ac:dyDescent="0.25">
      <c r="I42" s="48">
        <f>ABS('Testes Finais'!O57)</f>
        <v>0.56117471030598631</v>
      </c>
      <c r="J42" s="48">
        <f>ABS('Testes Finais'!R57)</f>
        <v>0.40560388893762278</v>
      </c>
      <c r="L42" s="46">
        <f t="shared" si="8"/>
        <v>1</v>
      </c>
      <c r="M42" s="46">
        <f t="shared" si="9"/>
        <v>0.37447356099640627</v>
      </c>
    </row>
    <row r="43" spans="9:21" x14ac:dyDescent="0.25">
      <c r="I43" s="48">
        <f>ABS('Testes Finais'!O58)</f>
        <v>0.31334138802029066</v>
      </c>
      <c r="J43" s="48">
        <f>ABS('Testes Finais'!R58)</f>
        <v>0.28667893243995368</v>
      </c>
      <c r="L43" s="46">
        <f t="shared" si="8"/>
        <v>4.4472394318195718E-3</v>
      </c>
      <c r="M43" s="46">
        <f t="shared" si="9"/>
        <v>5.5845731175222513E-2</v>
      </c>
    </row>
    <row r="44" spans="9:21" x14ac:dyDescent="0.25">
      <c r="I44" s="48">
        <f>ABS('Testes Finais'!O59)</f>
        <v>6.1177051836683427E-2</v>
      </c>
      <c r="J44" s="48">
        <f>ABS('Testes Finais'!R59)</f>
        <v>0.13674541872513069</v>
      </c>
      <c r="L44" s="46">
        <f t="shared" si="8"/>
        <v>0.1143288938294913</v>
      </c>
      <c r="M44" s="46">
        <f t="shared" si="9"/>
        <v>0.10029342030749744</v>
      </c>
    </row>
    <row r="45" spans="9:21" x14ac:dyDescent="0.25">
      <c r="I45" s="48">
        <f>ABS('Testes Finais'!O60)</f>
        <v>0.10045091709151532</v>
      </c>
      <c r="J45" s="48">
        <f>ABS('Testes Finais'!R60)</f>
        <v>8.3624784835463428E-2</v>
      </c>
      <c r="L45" s="46">
        <f t="shared" si="8"/>
        <v>1</v>
      </c>
      <c r="M45" s="46">
        <f t="shared" si="9"/>
        <v>9.655040258209846E-2</v>
      </c>
    </row>
    <row r="46" spans="9:21" x14ac:dyDescent="0.25">
      <c r="I46" s="48">
        <f>ABS('Testes Finais'!O61)</f>
        <v>0.12361657581021968</v>
      </c>
      <c r="J46" s="48">
        <f>ABS('Testes Finais'!R61)</f>
        <v>0.14924831740756161</v>
      </c>
      <c r="L46" s="46">
        <f t="shared" si="8"/>
        <v>0.20466158897300346</v>
      </c>
      <c r="M46" s="46">
        <f t="shared" si="9"/>
        <v>0.12569665805386854</v>
      </c>
    </row>
    <row r="47" spans="9:21" x14ac:dyDescent="0.25">
      <c r="I47" s="48">
        <f>ABS('Testes Finais'!O62)</f>
        <v>3.8586021096815526E-2</v>
      </c>
      <c r="J47" s="48">
        <f>ABS('Testes Finais'!R62)</f>
        <v>2.3372580314103608E-2</v>
      </c>
      <c r="L47" s="46">
        <f t="shared" si="8"/>
        <v>0.17968564400579912</v>
      </c>
      <c r="M47" s="46">
        <f t="shared" si="9"/>
        <v>0.17636415123280247</v>
      </c>
    </row>
    <row r="48" spans="9:21" x14ac:dyDescent="0.25">
      <c r="I48" s="48">
        <f>ABS('Testes Finais'!O63)</f>
        <v>0.33239029588464519</v>
      </c>
      <c r="J48" s="48">
        <f>ABS('Testes Finais'!R63)</f>
        <v>0.38563945509827846</v>
      </c>
      <c r="L48" s="46">
        <f t="shared" si="8"/>
        <v>0.16011795841453291</v>
      </c>
      <c r="M48" s="46">
        <f t="shared" si="9"/>
        <v>0.14918457252884365</v>
      </c>
    </row>
    <row r="49" spans="8:13" x14ac:dyDescent="0.25">
      <c r="I49" s="48">
        <f>ABS('Testes Finais'!O64)</f>
        <v>0.25199533676457031</v>
      </c>
      <c r="J49" s="48">
        <f>ABS('Testes Finais'!R64)</f>
        <v>0.21500148076465064</v>
      </c>
      <c r="L49" s="46">
        <f t="shared" si="8"/>
        <v>0.23597654375917065</v>
      </c>
      <c r="M49" s="46">
        <f t="shared" si="9"/>
        <v>0.25863936438206048</v>
      </c>
    </row>
    <row r="50" spans="8:13" x14ac:dyDescent="0.25">
      <c r="I50" s="48">
        <f>ABS('Testes Finais'!O65)</f>
        <v>4.1272025920755628E-2</v>
      </c>
      <c r="J50" s="48">
        <f>ABS('Testes Finais'!R65)</f>
        <v>4.8584466337293186E-2</v>
      </c>
      <c r="L50" s="46">
        <f t="shared" si="8"/>
        <v>0.21565282589413637</v>
      </c>
      <c r="M50" s="46">
        <f t="shared" si="9"/>
        <v>1.5034466315514861E-2</v>
      </c>
    </row>
    <row r="51" spans="8:13" x14ac:dyDescent="0.25">
      <c r="I51" s="49">
        <f>ABS('Testes Finais'!O66)</f>
        <v>8.6178494806255612E-2</v>
      </c>
      <c r="J51" s="49">
        <f>ABS('Testes Finais'!R66)</f>
        <v>1.5880550273317473E-2</v>
      </c>
      <c r="L51" s="47">
        <f t="shared" si="8"/>
        <v>1</v>
      </c>
      <c r="M51" s="47">
        <f t="shared" si="9"/>
        <v>0.22199714384682545</v>
      </c>
    </row>
    <row r="52" spans="8:13" x14ac:dyDescent="0.25">
      <c r="H52" s="51" t="s">
        <v>41</v>
      </c>
      <c r="I52" s="44">
        <f>AVERAGE(I41:I51)</f>
        <v>0.20071773931576767</v>
      </c>
      <c r="J52" s="44">
        <f>AVERAGE(J41:J51)</f>
        <v>0.19141338614253361</v>
      </c>
      <c r="K52" s="6"/>
      <c r="L52" s="44">
        <f>AVERAGE(L40:L41,L43:L44,L46:L50)</f>
        <v>0.13378426334023388</v>
      </c>
      <c r="M52" s="44">
        <f>AVERAGE(M40:M51)</f>
        <v>0.1439939746840474</v>
      </c>
    </row>
    <row r="53" spans="8:13" x14ac:dyDescent="0.25">
      <c r="H53" s="51" t="s">
        <v>40</v>
      </c>
      <c r="I53" s="50">
        <f>_xlfn.STDEV.P(I41:I51)</f>
        <v>0.15733196307536823</v>
      </c>
      <c r="J53" s="50">
        <f>_xlfn.STDEV.P(J41:J51)</f>
        <v>0.14009187873890896</v>
      </c>
      <c r="K53" s="6"/>
      <c r="L53" s="44">
        <f>_xlfn.STDEV.P(L40:L41,L43:L44,L46:L50)</f>
        <v>8.1492954108493734E-2</v>
      </c>
      <c r="M53" s="44">
        <f>_xlfn.STDEV.P(M40:M52)</f>
        <v>9.6386342452501411E-2</v>
      </c>
    </row>
    <row r="54" spans="8:13" x14ac:dyDescent="0.25">
      <c r="H54" s="51" t="s">
        <v>42</v>
      </c>
      <c r="I54" s="50">
        <f t="shared" ref="I54:J54" si="10">I53/I52</f>
        <v>0.78384682695063013</v>
      </c>
      <c r="J54" s="50">
        <f t="shared" si="10"/>
        <v>0.73188130444853672</v>
      </c>
      <c r="K54" s="45"/>
      <c r="L54" s="50">
        <f>L53/L52</f>
        <v>0.60913706944175239</v>
      </c>
      <c r="M54" s="50">
        <f>M53/M52</f>
        <v>0.66937760877837427</v>
      </c>
    </row>
    <row r="55" spans="8:13" x14ac:dyDescent="0.25">
      <c r="H55" s="52" t="s">
        <v>43</v>
      </c>
      <c r="I55" s="54">
        <f>I52+2*I53</f>
        <v>0.5153816654665041</v>
      </c>
      <c r="J55" s="54">
        <f>J52+2*J53</f>
        <v>0.47159714362035154</v>
      </c>
      <c r="K55" s="53"/>
      <c r="L55" s="54">
        <f t="shared" ref="L55:M55" si="11">L52+2*L53</f>
        <v>0.29677017155722135</v>
      </c>
      <c r="M55" s="54">
        <f t="shared" si="11"/>
        <v>0.33676665958905022</v>
      </c>
    </row>
  </sheetData>
  <mergeCells count="25">
    <mergeCell ref="Q26:Q28"/>
    <mergeCell ref="Q29:Q31"/>
    <mergeCell ref="Q32:Q34"/>
    <mergeCell ref="Q35:Q37"/>
    <mergeCell ref="I39:J39"/>
    <mergeCell ref="L39:M39"/>
    <mergeCell ref="Q24:U24"/>
    <mergeCell ref="C13:C15"/>
    <mergeCell ref="L13:L15"/>
    <mergeCell ref="C16:C18"/>
    <mergeCell ref="L16:L18"/>
    <mergeCell ref="C19:C21"/>
    <mergeCell ref="L19:L21"/>
    <mergeCell ref="D9:E9"/>
    <mergeCell ref="F9:G9"/>
    <mergeCell ref="M9:N9"/>
    <mergeCell ref="O9:P9"/>
    <mergeCell ref="C10:C12"/>
    <mergeCell ref="L10:L12"/>
    <mergeCell ref="Q8:T8"/>
    <mergeCell ref="D7:G7"/>
    <mergeCell ref="M7:P7"/>
    <mergeCell ref="D8:G8"/>
    <mergeCell ref="H8:J8"/>
    <mergeCell ref="M8:P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S55"/>
  <sheetViews>
    <sheetView topLeftCell="A4" workbookViewId="0">
      <selection activeCell="H16" sqref="H16"/>
    </sheetView>
  </sheetViews>
  <sheetFormatPr defaultRowHeight="15" x14ac:dyDescent="0.25"/>
  <cols>
    <col min="9" max="9" width="9" customWidth="1"/>
    <col min="12" max="12" width="9.7109375" customWidth="1"/>
  </cols>
  <sheetData>
    <row r="7" spans="3:10" x14ac:dyDescent="0.25">
      <c r="C7" s="16"/>
      <c r="D7" s="89" t="s">
        <v>22</v>
      </c>
      <c r="E7" s="90"/>
      <c r="F7" s="90"/>
      <c r="G7" s="91"/>
    </row>
    <row r="8" spans="3:10" x14ac:dyDescent="0.25">
      <c r="C8" s="14"/>
      <c r="D8" s="88" t="s">
        <v>1</v>
      </c>
      <c r="E8" s="86"/>
      <c r="F8" s="86"/>
      <c r="G8" s="86"/>
      <c r="H8" s="79" t="s">
        <v>15</v>
      </c>
      <c r="I8" s="79"/>
      <c r="J8" s="79"/>
    </row>
    <row r="9" spans="3:10" x14ac:dyDescent="0.25">
      <c r="C9" s="15"/>
      <c r="D9" s="88" t="s">
        <v>3</v>
      </c>
      <c r="E9" s="86"/>
      <c r="F9" s="86" t="s">
        <v>0</v>
      </c>
      <c r="G9" s="86"/>
      <c r="H9" s="17" t="s">
        <v>16</v>
      </c>
      <c r="I9" s="17" t="s">
        <v>17</v>
      </c>
      <c r="J9" s="3" t="s">
        <v>19</v>
      </c>
    </row>
    <row r="10" spans="3:10" ht="15.75" thickBot="1" x14ac:dyDescent="0.3">
      <c r="C10" s="85" t="s">
        <v>11</v>
      </c>
      <c r="D10" s="41">
        <v>163.83099999999999</v>
      </c>
      <c r="E10" s="41">
        <v>7.04054</v>
      </c>
      <c r="F10" s="41">
        <v>179.27</v>
      </c>
      <c r="G10" s="41">
        <v>4.2442000000000002</v>
      </c>
      <c r="H10" s="42">
        <f>(G10/E10)*(F10/D10)</f>
        <v>0.65963153100741323</v>
      </c>
      <c r="I10" s="18"/>
      <c r="J10" s="20"/>
    </row>
    <row r="11" spans="3:10" ht="15.75" thickBot="1" x14ac:dyDescent="0.3">
      <c r="C11" s="78"/>
      <c r="D11" s="41">
        <v>160.14400000000001</v>
      </c>
      <c r="E11" s="41">
        <v>10.9689</v>
      </c>
      <c r="F11" s="41">
        <v>174.66</v>
      </c>
      <c r="G11" s="41">
        <v>5.2521399999999998</v>
      </c>
      <c r="H11" s="42">
        <f t="shared" ref="H11:H21" si="0">(G11/E11)*(F11/D11)</f>
        <v>0.52222300656920184</v>
      </c>
      <c r="I11" s="18"/>
      <c r="J11" s="21">
        <f>(H10+H11)/2</f>
        <v>0.59092726878830759</v>
      </c>
    </row>
    <row r="12" spans="3:10" x14ac:dyDescent="0.25">
      <c r="C12" s="78"/>
      <c r="D12" s="22">
        <v>179.029</v>
      </c>
      <c r="E12" s="22">
        <v>12.520799999999999</v>
      </c>
      <c r="F12" s="22">
        <v>0</v>
      </c>
      <c r="G12" s="22">
        <v>0</v>
      </c>
      <c r="H12" s="42">
        <f t="shared" si="0"/>
        <v>0</v>
      </c>
      <c r="I12" s="23"/>
      <c r="J12" s="19"/>
    </row>
    <row r="13" spans="3:10" ht="15.75" thickBot="1" x14ac:dyDescent="0.3">
      <c r="C13" s="78" t="s">
        <v>12</v>
      </c>
      <c r="D13" s="41">
        <v>170.70400000000001</v>
      </c>
      <c r="E13" s="41">
        <v>16.578600000000002</v>
      </c>
      <c r="F13" s="41">
        <v>169.29400000000001</v>
      </c>
      <c r="G13" s="41">
        <v>11.055400000000001</v>
      </c>
      <c r="H13" s="42">
        <f t="shared" si="0"/>
        <v>0.6613395202275254</v>
      </c>
      <c r="I13" s="1"/>
      <c r="J13" s="19"/>
    </row>
    <row r="14" spans="3:10" ht="15.75" thickBot="1" x14ac:dyDescent="0.3">
      <c r="C14" s="78"/>
      <c r="D14" s="41">
        <v>168.72399999999999</v>
      </c>
      <c r="E14" s="41">
        <v>10.803699999999999</v>
      </c>
      <c r="F14" s="41">
        <v>168.547</v>
      </c>
      <c r="G14" s="41">
        <v>7.7298299999999998</v>
      </c>
      <c r="H14" s="42">
        <f t="shared" si="0"/>
        <v>0.7147293073498967</v>
      </c>
      <c r="I14" s="18"/>
      <c r="J14" s="21">
        <f>(H13+H14)/2</f>
        <v>0.68803441378871111</v>
      </c>
    </row>
    <row r="15" spans="3:10" x14ac:dyDescent="0.25">
      <c r="C15" s="78"/>
      <c r="D15" s="22">
        <v>162.71600000000001</v>
      </c>
      <c r="E15" s="22">
        <v>12.508599999999999</v>
      </c>
      <c r="F15" s="22">
        <v>0</v>
      </c>
      <c r="G15" s="22">
        <v>0</v>
      </c>
      <c r="H15" s="42">
        <f t="shared" si="0"/>
        <v>0</v>
      </c>
      <c r="I15" s="23"/>
      <c r="J15" s="19"/>
    </row>
    <row r="16" spans="3:10" ht="15.75" thickBot="1" x14ac:dyDescent="0.3">
      <c r="C16" s="78" t="s">
        <v>13</v>
      </c>
      <c r="D16" s="41">
        <v>162.69800000000001</v>
      </c>
      <c r="E16" s="41">
        <v>11.2828</v>
      </c>
      <c r="F16" s="41">
        <v>154.09100000000001</v>
      </c>
      <c r="G16" s="41">
        <v>13.4542</v>
      </c>
      <c r="H16" s="42">
        <f t="shared" si="0"/>
        <v>1.1293694838964927</v>
      </c>
      <c r="I16" s="1"/>
      <c r="J16" s="19"/>
    </row>
    <row r="17" spans="3:19" ht="15.75" thickBot="1" x14ac:dyDescent="0.3">
      <c r="C17" s="78"/>
      <c r="D17" s="41">
        <v>163.25</v>
      </c>
      <c r="E17" s="41">
        <v>5.5561199999999999</v>
      </c>
      <c r="F17" s="41">
        <v>156.19999999999999</v>
      </c>
      <c r="G17" s="41">
        <v>11.532299999999999</v>
      </c>
      <c r="H17" s="42">
        <f t="shared" si="0"/>
        <v>1.9859675782208521</v>
      </c>
      <c r="I17" s="18"/>
      <c r="J17" s="21">
        <f>(H16+H17+H18)/3</f>
        <v>1.4352177661065399</v>
      </c>
    </row>
    <row r="18" spans="3:19" x14ac:dyDescent="0.25">
      <c r="C18" s="78"/>
      <c r="D18" s="41">
        <v>166.40299999999999</v>
      </c>
      <c r="E18" s="41">
        <v>12.4945</v>
      </c>
      <c r="F18" s="41">
        <v>153.78100000000001</v>
      </c>
      <c r="G18" s="41">
        <v>16.0931</v>
      </c>
      <c r="H18" s="42">
        <f t="shared" si="0"/>
        <v>1.1903162362022754</v>
      </c>
      <c r="I18" s="1"/>
      <c r="J18" s="19"/>
    </row>
    <row r="19" spans="3:19" ht="15.75" thickBot="1" x14ac:dyDescent="0.3">
      <c r="C19" s="78" t="s">
        <v>14</v>
      </c>
      <c r="D19" s="41">
        <v>163.20699999999999</v>
      </c>
      <c r="E19" s="41">
        <v>8.3788900000000002</v>
      </c>
      <c r="F19" s="41">
        <v>151.18600000000001</v>
      </c>
      <c r="G19" s="41">
        <v>20.398700000000002</v>
      </c>
      <c r="H19" s="42">
        <f t="shared" si="0"/>
        <v>2.2552193905720941</v>
      </c>
      <c r="I19" s="31"/>
      <c r="J19" s="19"/>
    </row>
    <row r="20" spans="3:19" ht="15.75" thickBot="1" x14ac:dyDescent="0.3">
      <c r="C20" s="78"/>
      <c r="D20" s="41">
        <v>177.304</v>
      </c>
      <c r="E20" s="41">
        <v>7.9869500000000002</v>
      </c>
      <c r="F20" s="41">
        <v>148.846</v>
      </c>
      <c r="G20" s="41">
        <v>22.2377</v>
      </c>
      <c r="H20" s="42">
        <f t="shared" si="0"/>
        <v>2.3373703793954279</v>
      </c>
      <c r="I20" s="18"/>
      <c r="J20" s="21">
        <f>(H20+H19)/2</f>
        <v>2.296294884983761</v>
      </c>
    </row>
    <row r="21" spans="3:19" x14ac:dyDescent="0.25">
      <c r="C21" s="78"/>
      <c r="D21" s="22">
        <v>0</v>
      </c>
      <c r="E21" s="22">
        <v>0</v>
      </c>
      <c r="F21" s="22">
        <v>150.43700000000001</v>
      </c>
      <c r="G21" s="22">
        <v>16.7773</v>
      </c>
      <c r="H21" s="42" t="e">
        <f t="shared" si="0"/>
        <v>#DIV/0!</v>
      </c>
      <c r="I21" s="23"/>
      <c r="J21" s="19"/>
    </row>
    <row r="23" spans="3:19" x14ac:dyDescent="0.25">
      <c r="C23">
        <v>2</v>
      </c>
    </row>
    <row r="24" spans="3:19" x14ac:dyDescent="0.25">
      <c r="C24">
        <v>4</v>
      </c>
      <c r="Q24" s="89" t="s">
        <v>26</v>
      </c>
      <c r="R24" s="90"/>
      <c r="S24" s="91"/>
    </row>
    <row r="25" spans="3:19" x14ac:dyDescent="0.25">
      <c r="C25">
        <v>7</v>
      </c>
      <c r="Q25" s="1"/>
      <c r="R25" s="1" t="s">
        <v>29</v>
      </c>
      <c r="S25" s="1" t="s">
        <v>44</v>
      </c>
    </row>
    <row r="26" spans="3:19" x14ac:dyDescent="0.25">
      <c r="C26">
        <v>15</v>
      </c>
      <c r="Q26" s="78">
        <v>2</v>
      </c>
      <c r="R26" s="31">
        <f>5.9555*H10 - 0.9805</f>
        <v>2.9479355829146492</v>
      </c>
      <c r="S26" s="8">
        <f>R26/2 - 1</f>
        <v>0.47396779145732459</v>
      </c>
    </row>
    <row r="27" spans="3:19" x14ac:dyDescent="0.25">
      <c r="Q27" s="78"/>
      <c r="R27" s="31">
        <f t="shared" ref="R27:R37" si="1">5.9555*H11 - 0.9805</f>
        <v>2.1295991156228813</v>
      </c>
      <c r="S27" s="8">
        <f t="shared" ref="S27:S28" si="2">R27/2 - 1</f>
        <v>6.4799557811440645E-2</v>
      </c>
    </row>
    <row r="28" spans="3:19" x14ac:dyDescent="0.25">
      <c r="Q28" s="78"/>
      <c r="R28" s="31">
        <f t="shared" si="1"/>
        <v>-0.98050000000000004</v>
      </c>
      <c r="S28" s="8">
        <f t="shared" si="2"/>
        <v>-1.4902500000000001</v>
      </c>
    </row>
    <row r="29" spans="3:19" x14ac:dyDescent="0.25">
      <c r="Q29" s="78">
        <v>4</v>
      </c>
      <c r="R29" s="31">
        <f t="shared" si="1"/>
        <v>2.9581075127150274</v>
      </c>
      <c r="S29" s="8">
        <f>R29/4 - 1</f>
        <v>-0.26047312182124316</v>
      </c>
    </row>
    <row r="30" spans="3:19" x14ac:dyDescent="0.25">
      <c r="Q30" s="78"/>
      <c r="R30" s="31">
        <f t="shared" si="1"/>
        <v>3.2760703899223094</v>
      </c>
      <c r="S30" s="8">
        <f t="shared" ref="S30:S31" si="3">R30/4 - 1</f>
        <v>-0.18098240251942266</v>
      </c>
    </row>
    <row r="31" spans="3:19" x14ac:dyDescent="0.25">
      <c r="Q31" s="78"/>
      <c r="R31" s="31">
        <f t="shared" si="1"/>
        <v>-0.98050000000000004</v>
      </c>
      <c r="S31" s="8">
        <f t="shared" si="3"/>
        <v>-1.245125</v>
      </c>
    </row>
    <row r="32" spans="3:19" x14ac:dyDescent="0.25">
      <c r="Q32" s="78">
        <v>7</v>
      </c>
      <c r="R32" s="31">
        <f t="shared" si="1"/>
        <v>5.7454599613455617</v>
      </c>
      <c r="S32" s="8">
        <f>R32/7 - 1</f>
        <v>-0.17922000552206263</v>
      </c>
    </row>
    <row r="33" spans="9:19" x14ac:dyDescent="0.25">
      <c r="Q33" s="78"/>
      <c r="R33" s="31">
        <f t="shared" si="1"/>
        <v>10.846929912094286</v>
      </c>
      <c r="S33" s="8">
        <f t="shared" ref="S33:S34" si="4">R33/7 - 1</f>
        <v>0.54956141601346942</v>
      </c>
    </row>
    <row r="34" spans="9:19" x14ac:dyDescent="0.25">
      <c r="Q34" s="78"/>
      <c r="R34" s="31">
        <f t="shared" si="1"/>
        <v>6.1084283447026513</v>
      </c>
      <c r="S34" s="8">
        <f t="shared" si="4"/>
        <v>-0.12736737932819264</v>
      </c>
    </row>
    <row r="35" spans="9:19" x14ac:dyDescent="0.25">
      <c r="Q35" s="78">
        <v>15</v>
      </c>
      <c r="R35" s="31">
        <f t="shared" si="1"/>
        <v>12.450459080552106</v>
      </c>
      <c r="S35" s="8">
        <f>R35/15 - 1</f>
        <v>-0.1699693946298596</v>
      </c>
    </row>
    <row r="36" spans="9:19" x14ac:dyDescent="0.25">
      <c r="Q36" s="78"/>
      <c r="R36" s="31">
        <f t="shared" si="1"/>
        <v>12.939709294489472</v>
      </c>
      <c r="S36" s="8">
        <f t="shared" ref="S36:S37" si="5">R36/15 - 1</f>
        <v>-0.1373527137007019</v>
      </c>
    </row>
    <row r="37" spans="9:19" x14ac:dyDescent="0.25">
      <c r="Q37" s="78"/>
      <c r="R37" s="31" t="e">
        <f t="shared" si="1"/>
        <v>#DIV/0!</v>
      </c>
      <c r="S37" s="8" t="e">
        <f t="shared" si="5"/>
        <v>#DIV/0!</v>
      </c>
    </row>
    <row r="39" spans="9:19" x14ac:dyDescent="0.25">
      <c r="I39" s="95" t="s">
        <v>38</v>
      </c>
      <c r="J39" s="95"/>
      <c r="L39" s="95" t="s">
        <v>39</v>
      </c>
      <c r="M39" s="95"/>
    </row>
    <row r="40" spans="9:19" x14ac:dyDescent="0.25">
      <c r="I40" s="48">
        <f>ABS('14-03-2014'!L40)</f>
        <v>1.4729530291864634E-2</v>
      </c>
      <c r="J40" s="48">
        <f>ABS('14-03-2014'!M40)</f>
        <v>0.14569095671845478</v>
      </c>
      <c r="L40" s="46">
        <f>ABS(S26)</f>
        <v>0.47396779145732459</v>
      </c>
      <c r="M40" s="46" t="e">
        <f>ABS(#REF!)</f>
        <v>#REF!</v>
      </c>
    </row>
    <row r="41" spans="9:19" x14ac:dyDescent="0.25">
      <c r="I41" s="48">
        <f>ABS('14-03-2014'!L41)</f>
        <v>7.4458145462287018E-2</v>
      </c>
      <c r="J41" s="48">
        <f>ABS('14-03-2014'!M41)</f>
        <v>8.1572680689738775E-3</v>
      </c>
      <c r="L41" s="46">
        <f t="shared" ref="L41:L51" si="6">ABS(S27)</f>
        <v>6.4799557811440645E-2</v>
      </c>
      <c r="M41" s="46" t="e">
        <f>ABS(#REF!)</f>
        <v>#REF!</v>
      </c>
    </row>
    <row r="42" spans="9:19" x14ac:dyDescent="0.25">
      <c r="I42" s="48">
        <f>ABS('14-03-2014'!L42)</f>
        <v>1</v>
      </c>
      <c r="J42" s="48">
        <f>ABS('14-03-2014'!M42)</f>
        <v>0.37447356099640627</v>
      </c>
      <c r="L42" s="46">
        <f t="shared" si="6"/>
        <v>1.4902500000000001</v>
      </c>
      <c r="M42" s="46" t="e">
        <f>ABS(#REF!)</f>
        <v>#REF!</v>
      </c>
    </row>
    <row r="43" spans="9:19" x14ac:dyDescent="0.25">
      <c r="I43" s="48">
        <f>ABS('14-03-2014'!L43)</f>
        <v>4.4472394318195718E-3</v>
      </c>
      <c r="J43" s="48">
        <f>ABS('14-03-2014'!M43)</f>
        <v>5.5845731175222513E-2</v>
      </c>
      <c r="L43" s="46">
        <f t="shared" si="6"/>
        <v>0.26047312182124316</v>
      </c>
      <c r="M43" s="46" t="e">
        <f>ABS(#REF!)</f>
        <v>#REF!</v>
      </c>
    </row>
    <row r="44" spans="9:19" x14ac:dyDescent="0.25">
      <c r="I44" s="48">
        <f>ABS('14-03-2014'!L44)</f>
        <v>0.1143288938294913</v>
      </c>
      <c r="J44" s="48">
        <f>ABS('14-03-2014'!M44)</f>
        <v>0.10029342030749744</v>
      </c>
      <c r="L44" s="46">
        <f t="shared" si="6"/>
        <v>0.18098240251942266</v>
      </c>
      <c r="M44" s="46" t="e">
        <f>ABS(#REF!)</f>
        <v>#REF!</v>
      </c>
    </row>
    <row r="45" spans="9:19" x14ac:dyDescent="0.25">
      <c r="I45" s="48">
        <f>ABS('14-03-2014'!L45)</f>
        <v>1</v>
      </c>
      <c r="J45" s="48">
        <f>ABS('14-03-2014'!M45)</f>
        <v>9.655040258209846E-2</v>
      </c>
      <c r="L45" s="46">
        <f t="shared" si="6"/>
        <v>1.245125</v>
      </c>
      <c r="M45" s="46" t="e">
        <f>ABS(#REF!)</f>
        <v>#REF!</v>
      </c>
    </row>
    <row r="46" spans="9:19" x14ac:dyDescent="0.25">
      <c r="I46" s="48">
        <f>ABS('14-03-2014'!L46)</f>
        <v>0.20466158897300346</v>
      </c>
      <c r="J46" s="48">
        <f>ABS('14-03-2014'!M46)</f>
        <v>0.12569665805386854</v>
      </c>
      <c r="L46" s="46">
        <f t="shared" si="6"/>
        <v>0.17922000552206263</v>
      </c>
      <c r="M46" s="46" t="e">
        <f>ABS(#REF!)</f>
        <v>#REF!</v>
      </c>
    </row>
    <row r="47" spans="9:19" x14ac:dyDescent="0.25">
      <c r="I47" s="48">
        <f>ABS('14-03-2014'!L47)</f>
        <v>0.17968564400579912</v>
      </c>
      <c r="J47" s="48">
        <f>ABS('14-03-2014'!M47)</f>
        <v>0.17636415123280247</v>
      </c>
      <c r="L47" s="46">
        <f t="shared" si="6"/>
        <v>0.54956141601346942</v>
      </c>
      <c r="M47" s="46" t="e">
        <f>ABS(#REF!)</f>
        <v>#REF!</v>
      </c>
    </row>
    <row r="48" spans="9:19" x14ac:dyDescent="0.25">
      <c r="I48" s="48">
        <f>ABS('14-03-2014'!L48)</f>
        <v>0.16011795841453291</v>
      </c>
      <c r="J48" s="48">
        <f>ABS('14-03-2014'!M48)</f>
        <v>0.14918457252884365</v>
      </c>
      <c r="L48" s="46">
        <f t="shared" si="6"/>
        <v>0.12736737932819264</v>
      </c>
      <c r="M48" s="46" t="e">
        <f>ABS(#REF!)</f>
        <v>#REF!</v>
      </c>
    </row>
    <row r="49" spans="8:13" x14ac:dyDescent="0.25">
      <c r="I49" s="48">
        <f>ABS('14-03-2014'!L49)</f>
        <v>0.23597654375917065</v>
      </c>
      <c r="J49" s="48">
        <f>ABS('14-03-2014'!M49)</f>
        <v>0.25863936438206048</v>
      </c>
      <c r="L49" s="46">
        <f t="shared" si="6"/>
        <v>0.1699693946298596</v>
      </c>
      <c r="M49" s="46" t="e">
        <f>ABS(#REF!)</f>
        <v>#REF!</v>
      </c>
    </row>
    <row r="50" spans="8:13" x14ac:dyDescent="0.25">
      <c r="I50" s="48">
        <f>ABS('14-03-2014'!L50)</f>
        <v>0.21565282589413637</v>
      </c>
      <c r="J50" s="48">
        <f>ABS('14-03-2014'!M50)</f>
        <v>1.5034466315514861E-2</v>
      </c>
      <c r="L50" s="46">
        <f t="shared" si="6"/>
        <v>0.1373527137007019</v>
      </c>
      <c r="M50" s="46" t="e">
        <f>ABS(#REF!)</f>
        <v>#REF!</v>
      </c>
    </row>
    <row r="51" spans="8:13" x14ac:dyDescent="0.25">
      <c r="I51" s="48">
        <f>ABS('14-03-2014'!L51)</f>
        <v>1</v>
      </c>
      <c r="J51" s="48">
        <f>ABS('14-03-2014'!M51)</f>
        <v>0.22199714384682545</v>
      </c>
      <c r="L51" s="47" t="e">
        <f t="shared" si="6"/>
        <v>#DIV/0!</v>
      </c>
      <c r="M51" s="47" t="e">
        <f>ABS(#REF!)</f>
        <v>#REF!</v>
      </c>
    </row>
    <row r="52" spans="8:13" x14ac:dyDescent="0.25">
      <c r="H52" s="51" t="s">
        <v>41</v>
      </c>
      <c r="I52" s="44">
        <f>AVERAGE(I40,I41,I43,I44,I46:I50)</f>
        <v>0.13378426334023388</v>
      </c>
      <c r="J52" s="44">
        <f>AVERAGE(J40:J41,J43:J44,J42,J45:J51)</f>
        <v>0.1439939746840474</v>
      </c>
      <c r="K52" s="6"/>
      <c r="L52" s="44">
        <f>AVERAGE(L40:L41,L43:L44,L46:L50)</f>
        <v>0.23818819808930192</v>
      </c>
      <c r="M52" s="44" t="e">
        <f>AVERAGE(M40:M51)</f>
        <v>#REF!</v>
      </c>
    </row>
    <row r="53" spans="8:13" x14ac:dyDescent="0.25">
      <c r="H53" s="51" t="s">
        <v>40</v>
      </c>
      <c r="I53" s="50">
        <f>_xlfn.STDEV.P(I40:I41,I43:I44,I46:I50)</f>
        <v>8.1492954108493734E-2</v>
      </c>
      <c r="J53" s="50">
        <f>_xlfn.STDEV.P(J40:J51)</f>
        <v>0.10032208594813563</v>
      </c>
      <c r="K53" s="6"/>
      <c r="L53" s="44">
        <f>_xlfn.STDEV.P(L40:L41,L43:L44,L46:L50)</f>
        <v>0.15526255204295414</v>
      </c>
      <c r="M53" s="44" t="e">
        <f>_xlfn.STDEV.P(M40:M52)</f>
        <v>#REF!</v>
      </c>
    </row>
    <row r="54" spans="8:13" x14ac:dyDescent="0.25">
      <c r="H54" s="51" t="s">
        <v>42</v>
      </c>
      <c r="I54" s="50">
        <f t="shared" ref="I54:J54" si="7">I53/I52</f>
        <v>0.60913706944175239</v>
      </c>
      <c r="J54" s="50">
        <f t="shared" si="7"/>
        <v>0.69671030449894211</v>
      </c>
      <c r="K54" s="45"/>
      <c r="L54" s="50">
        <f>L53/L52</f>
        <v>0.6518482161939142</v>
      </c>
      <c r="M54" s="50" t="e">
        <f>M53/M52</f>
        <v>#REF!</v>
      </c>
    </row>
    <row r="55" spans="8:13" x14ac:dyDescent="0.25">
      <c r="H55" s="52" t="s">
        <v>43</v>
      </c>
      <c r="I55" s="54">
        <f>I52+2*I53</f>
        <v>0.29677017155722135</v>
      </c>
      <c r="J55" s="54">
        <f>J52+2*J53</f>
        <v>0.34463814658031866</v>
      </c>
      <c r="K55" s="53"/>
      <c r="L55" s="54">
        <f t="shared" ref="L55:M55" si="8">L52+2*L53</f>
        <v>0.54871330217521019</v>
      </c>
      <c r="M55" s="54" t="e">
        <f t="shared" si="8"/>
        <v>#REF!</v>
      </c>
    </row>
  </sheetData>
  <mergeCells count="16">
    <mergeCell ref="D7:G7"/>
    <mergeCell ref="D8:G8"/>
    <mergeCell ref="H8:J8"/>
    <mergeCell ref="D9:E9"/>
    <mergeCell ref="F9:G9"/>
    <mergeCell ref="I39:J39"/>
    <mergeCell ref="L39:M39"/>
    <mergeCell ref="C13:C15"/>
    <mergeCell ref="C16:C18"/>
    <mergeCell ref="C19:C21"/>
    <mergeCell ref="Q26:Q28"/>
    <mergeCell ref="Q29:Q31"/>
    <mergeCell ref="Q32:Q34"/>
    <mergeCell ref="Q35:Q37"/>
    <mergeCell ref="C10:C12"/>
    <mergeCell ref="Q24:S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8"/>
  <sheetViews>
    <sheetView workbookViewId="0">
      <selection activeCell="D7" sqref="D7"/>
    </sheetView>
  </sheetViews>
  <sheetFormatPr defaultRowHeight="15" x14ac:dyDescent="0.25"/>
  <sheetData>
    <row r="5" spans="3:6" x14ac:dyDescent="0.25">
      <c r="C5">
        <v>2</v>
      </c>
      <c r="D5">
        <v>0.66400000000000003</v>
      </c>
      <c r="E5">
        <v>0.79568399999999995</v>
      </c>
      <c r="F5">
        <v>0.66163700000000003</v>
      </c>
    </row>
    <row r="6" spans="3:6" x14ac:dyDescent="0.25">
      <c r="C6">
        <v>4</v>
      </c>
      <c r="D6">
        <v>0.82420000000000004</v>
      </c>
      <c r="E6">
        <v>1.01319</v>
      </c>
      <c r="F6">
        <v>0.87238700000000002</v>
      </c>
    </row>
    <row r="7" spans="3:6" x14ac:dyDescent="0.25">
      <c r="C7">
        <v>7</v>
      </c>
      <c r="D7">
        <v>1.107</v>
      </c>
      <c r="E7">
        <v>1.32707</v>
      </c>
      <c r="F7">
        <v>1.2538899999999999</v>
      </c>
    </row>
    <row r="8" spans="3:6" x14ac:dyDescent="0.25">
      <c r="C8">
        <v>15</v>
      </c>
      <c r="D8">
        <v>1.681</v>
      </c>
      <c r="E8">
        <v>2.5848900000000001</v>
      </c>
      <c r="F8">
        <v>2.2959200000000002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K44"/>
  <sheetViews>
    <sheetView topLeftCell="C1" workbookViewId="0">
      <selection activeCell="D8" sqref="D8:K22"/>
    </sheetView>
  </sheetViews>
  <sheetFormatPr defaultRowHeight="15" x14ac:dyDescent="0.25"/>
  <sheetData>
    <row r="8" spans="3:11" x14ac:dyDescent="0.25">
      <c r="D8" s="16"/>
      <c r="E8" s="89" t="s">
        <v>22</v>
      </c>
      <c r="F8" s="90"/>
      <c r="G8" s="90"/>
      <c r="H8" s="91"/>
    </row>
    <row r="9" spans="3:11" x14ac:dyDescent="0.25">
      <c r="D9" s="14"/>
      <c r="E9" s="88" t="s">
        <v>1</v>
      </c>
      <c r="F9" s="86"/>
      <c r="G9" s="86"/>
      <c r="H9" s="86"/>
      <c r="I9" s="79" t="s">
        <v>15</v>
      </c>
      <c r="J9" s="79"/>
      <c r="K9" s="79"/>
    </row>
    <row r="10" spans="3:11" x14ac:dyDescent="0.25">
      <c r="D10" s="15"/>
      <c r="E10" s="88" t="s">
        <v>3</v>
      </c>
      <c r="F10" s="86"/>
      <c r="G10" s="86" t="s">
        <v>0</v>
      </c>
      <c r="H10" s="86"/>
      <c r="I10" s="17" t="s">
        <v>16</v>
      </c>
      <c r="J10" s="17" t="s">
        <v>17</v>
      </c>
      <c r="K10" s="3" t="s">
        <v>19</v>
      </c>
    </row>
    <row r="11" spans="3:11" ht="15.75" thickBot="1" x14ac:dyDescent="0.3">
      <c r="C11">
        <v>2</v>
      </c>
      <c r="D11" s="85" t="s">
        <v>11</v>
      </c>
      <c r="E11" s="55">
        <v>26.067499999999999</v>
      </c>
      <c r="F11" s="55">
        <v>9.0540400000000005</v>
      </c>
      <c r="G11" s="55">
        <v>15.637</v>
      </c>
      <c r="H11" s="55">
        <v>5.1172899999999997</v>
      </c>
      <c r="I11" s="42">
        <f>(G11+0*H11)/(E11+0*F11)</f>
        <v>0.59986573319267289</v>
      </c>
      <c r="J11" s="18"/>
      <c r="K11" s="20"/>
    </row>
    <row r="12" spans="3:11" ht="15.75" thickBot="1" x14ac:dyDescent="0.3">
      <c r="C12">
        <v>4</v>
      </c>
      <c r="D12" s="78"/>
      <c r="E12" s="55"/>
      <c r="F12" s="55"/>
      <c r="G12" s="55"/>
      <c r="H12" s="55"/>
      <c r="I12" s="42" t="e">
        <f t="shared" ref="I12:I22" si="0">(G12+0*H12)/(E12+0*F12)</f>
        <v>#DIV/0!</v>
      </c>
      <c r="J12" s="18"/>
      <c r="K12" s="21">
        <f>(I11)</f>
        <v>0.59986573319267289</v>
      </c>
    </row>
    <row r="13" spans="3:11" x14ac:dyDescent="0.25">
      <c r="C13">
        <v>7</v>
      </c>
      <c r="D13" s="78"/>
      <c r="E13" s="22"/>
      <c r="F13" s="22"/>
      <c r="G13" s="22"/>
      <c r="H13" s="22"/>
      <c r="I13" s="42" t="e">
        <f t="shared" si="0"/>
        <v>#DIV/0!</v>
      </c>
      <c r="J13" s="57"/>
      <c r="K13" s="6"/>
    </row>
    <row r="14" spans="3:11" ht="15.75" thickBot="1" x14ac:dyDescent="0.3">
      <c r="C14">
        <v>15</v>
      </c>
      <c r="D14" s="78" t="s">
        <v>12</v>
      </c>
      <c r="E14" s="55">
        <v>26.498100000000001</v>
      </c>
      <c r="F14" s="55">
        <v>7.4815899999999997</v>
      </c>
      <c r="G14" s="55">
        <v>23.4848</v>
      </c>
      <c r="H14" s="55">
        <v>7.6957000000000004</v>
      </c>
      <c r="I14" s="42">
        <f t="shared" si="0"/>
        <v>0.88628241270128794</v>
      </c>
      <c r="J14" s="18"/>
      <c r="K14" s="6"/>
    </row>
    <row r="15" spans="3:11" ht="15.75" thickBot="1" x14ac:dyDescent="0.3">
      <c r="D15" s="78"/>
      <c r="E15" s="55"/>
      <c r="F15" s="55"/>
      <c r="G15" s="55"/>
      <c r="H15" s="55"/>
      <c r="I15" s="42" t="e">
        <f t="shared" si="0"/>
        <v>#DIV/0!</v>
      </c>
      <c r="J15" s="18"/>
      <c r="K15" s="21">
        <f>(I14)</f>
        <v>0.88628241270128794</v>
      </c>
    </row>
    <row r="16" spans="3:11" x14ac:dyDescent="0.25">
      <c r="D16" s="78"/>
      <c r="E16" s="22"/>
      <c r="F16" s="22"/>
      <c r="G16" s="22"/>
      <c r="H16" s="22"/>
      <c r="I16" s="42" t="e">
        <f t="shared" si="0"/>
        <v>#DIV/0!</v>
      </c>
      <c r="J16" s="57"/>
      <c r="K16" s="6"/>
    </row>
    <row r="17" spans="3:11" ht="15.75" thickBot="1" x14ac:dyDescent="0.3">
      <c r="D17" s="78" t="s">
        <v>13</v>
      </c>
      <c r="E17" s="55">
        <v>24.653400000000001</v>
      </c>
      <c r="F17" s="55">
        <v>9.3851899999999997</v>
      </c>
      <c r="G17" s="55">
        <v>29.110800000000001</v>
      </c>
      <c r="H17" s="55">
        <v>10.049099999999999</v>
      </c>
      <c r="I17" s="42">
        <f t="shared" si="0"/>
        <v>1.1808026479106331</v>
      </c>
      <c r="J17" s="18"/>
      <c r="K17" s="6"/>
    </row>
    <row r="18" spans="3:11" ht="15.75" thickBot="1" x14ac:dyDescent="0.3">
      <c r="D18" s="78"/>
      <c r="E18" s="55"/>
      <c r="F18" s="55"/>
      <c r="G18" s="55"/>
      <c r="H18" s="55"/>
      <c r="I18" s="42" t="e">
        <f t="shared" si="0"/>
        <v>#DIV/0!</v>
      </c>
      <c r="J18" s="18"/>
      <c r="K18" s="21">
        <f>(I17)</f>
        <v>1.1808026479106331</v>
      </c>
    </row>
    <row r="19" spans="3:11" x14ac:dyDescent="0.25">
      <c r="D19" s="78"/>
      <c r="E19" s="55"/>
      <c r="F19" s="55"/>
      <c r="G19" s="55"/>
      <c r="H19" s="55"/>
      <c r="I19" s="42" t="e">
        <f t="shared" si="0"/>
        <v>#DIV/0!</v>
      </c>
      <c r="J19" s="18"/>
      <c r="K19" s="6"/>
    </row>
    <row r="20" spans="3:11" ht="15.75" thickBot="1" x14ac:dyDescent="0.3">
      <c r="D20" s="78" t="s">
        <v>14</v>
      </c>
      <c r="E20" s="55">
        <v>23.3828</v>
      </c>
      <c r="F20" s="55">
        <v>7.7285500000000003</v>
      </c>
      <c r="G20" s="55">
        <v>41.253599999999999</v>
      </c>
      <c r="H20" s="55">
        <v>5.0762400000000003</v>
      </c>
      <c r="I20" s="42">
        <f t="shared" si="0"/>
        <v>1.7642711736832202</v>
      </c>
      <c r="J20" s="58"/>
      <c r="K20" s="6"/>
    </row>
    <row r="21" spans="3:11" ht="15.75" thickBot="1" x14ac:dyDescent="0.3">
      <c r="D21" s="78"/>
      <c r="E21" s="55"/>
      <c r="F21" s="55"/>
      <c r="G21" s="55"/>
      <c r="H21" s="55"/>
      <c r="I21" s="42" t="e">
        <f t="shared" si="0"/>
        <v>#DIV/0!</v>
      </c>
      <c r="J21" s="18"/>
      <c r="K21" s="21">
        <f>(I20)</f>
        <v>1.7642711736832202</v>
      </c>
    </row>
    <row r="22" spans="3:11" x14ac:dyDescent="0.25">
      <c r="D22" s="78"/>
      <c r="E22" s="22"/>
      <c r="F22" s="22"/>
      <c r="G22" s="22"/>
      <c r="H22" s="22"/>
      <c r="I22" s="42" t="e">
        <f t="shared" si="0"/>
        <v>#DIV/0!</v>
      </c>
      <c r="J22" s="23"/>
      <c r="K22" s="19"/>
    </row>
    <row r="25" spans="3:11" x14ac:dyDescent="0.25">
      <c r="D25" s="16"/>
      <c r="E25" s="89" t="s">
        <v>45</v>
      </c>
      <c r="F25" s="90"/>
      <c r="G25" s="90"/>
      <c r="H25" s="91"/>
    </row>
    <row r="26" spans="3:11" x14ac:dyDescent="0.25">
      <c r="D26" s="14"/>
      <c r="E26" s="88" t="s">
        <v>1</v>
      </c>
      <c r="F26" s="86"/>
      <c r="G26" s="86"/>
      <c r="H26" s="86"/>
      <c r="I26" s="79" t="s">
        <v>15</v>
      </c>
      <c r="J26" s="79"/>
      <c r="K26" s="79"/>
    </row>
    <row r="27" spans="3:11" x14ac:dyDescent="0.25">
      <c r="D27" s="15"/>
      <c r="E27" s="88" t="s">
        <v>3</v>
      </c>
      <c r="F27" s="86"/>
      <c r="G27" s="86" t="s">
        <v>0</v>
      </c>
      <c r="H27" s="86"/>
      <c r="I27" s="17" t="s">
        <v>16</v>
      </c>
      <c r="J27" s="17" t="s">
        <v>17</v>
      </c>
      <c r="K27" s="3" t="s">
        <v>19</v>
      </c>
    </row>
    <row r="28" spans="3:11" ht="15.75" thickBot="1" x14ac:dyDescent="0.3">
      <c r="C28">
        <v>2</v>
      </c>
      <c r="D28" s="85" t="s">
        <v>11</v>
      </c>
      <c r="E28" s="55">
        <v>18.186</v>
      </c>
      <c r="F28" s="55">
        <v>3.9559000000000002</v>
      </c>
      <c r="G28" s="55">
        <v>8.8279599999999991</v>
      </c>
      <c r="H28" s="55">
        <v>3.75421</v>
      </c>
      <c r="I28" s="42">
        <f>(G28+2*H28)/(E28+2*F28)</f>
        <v>0.6259677060901685</v>
      </c>
      <c r="J28" s="18"/>
      <c r="K28" s="20"/>
    </row>
    <row r="29" spans="3:11" ht="15.75" thickBot="1" x14ac:dyDescent="0.3">
      <c r="C29">
        <v>4</v>
      </c>
      <c r="D29" s="78"/>
      <c r="E29" s="55"/>
      <c r="F29" s="55"/>
      <c r="G29" s="55"/>
      <c r="H29" s="55"/>
      <c r="I29" s="42" t="e">
        <f t="shared" ref="I29:I39" si="1">(G29+2*H29)/(E29+2*F29)</f>
        <v>#DIV/0!</v>
      </c>
      <c r="J29" s="18"/>
      <c r="K29" s="21">
        <f>(I28)</f>
        <v>0.6259677060901685</v>
      </c>
    </row>
    <row r="30" spans="3:11" x14ac:dyDescent="0.25">
      <c r="C30">
        <v>7</v>
      </c>
      <c r="D30" s="78"/>
      <c r="E30" s="22"/>
      <c r="F30" s="22"/>
      <c r="G30" s="22"/>
      <c r="H30" s="22"/>
      <c r="I30" s="42" t="e">
        <f t="shared" si="1"/>
        <v>#DIV/0!</v>
      </c>
      <c r="J30" s="57"/>
      <c r="K30" s="6"/>
    </row>
    <row r="31" spans="3:11" ht="15.75" thickBot="1" x14ac:dyDescent="0.3">
      <c r="C31">
        <v>15</v>
      </c>
      <c r="D31" s="78" t="s">
        <v>12</v>
      </c>
      <c r="E31" s="55">
        <v>23.839099999999998</v>
      </c>
      <c r="F31" s="55">
        <v>7.8630100000000001</v>
      </c>
      <c r="G31" s="55">
        <v>24.055599999999998</v>
      </c>
      <c r="H31" s="55">
        <v>3.97803</v>
      </c>
      <c r="I31" s="42">
        <f t="shared" si="1"/>
        <v>0.80908790368890571</v>
      </c>
      <c r="J31" s="18"/>
      <c r="K31" s="6"/>
    </row>
    <row r="32" spans="3:11" ht="15.75" thickBot="1" x14ac:dyDescent="0.3">
      <c r="D32" s="78"/>
      <c r="E32" s="55"/>
      <c r="F32" s="55"/>
      <c r="G32" s="55"/>
      <c r="H32" s="55"/>
      <c r="I32" s="42" t="e">
        <f t="shared" si="1"/>
        <v>#DIV/0!</v>
      </c>
      <c r="J32" s="18"/>
      <c r="K32" s="21">
        <f>(I31)</f>
        <v>0.80908790368890571</v>
      </c>
    </row>
    <row r="33" spans="4:11" x14ac:dyDescent="0.25">
      <c r="D33" s="78"/>
      <c r="E33" s="22"/>
      <c r="F33" s="22"/>
      <c r="G33" s="22"/>
      <c r="H33" s="22"/>
      <c r="I33" s="42" t="e">
        <f t="shared" si="1"/>
        <v>#DIV/0!</v>
      </c>
      <c r="J33" s="57"/>
      <c r="K33" s="6"/>
    </row>
    <row r="34" spans="4:11" ht="15.75" thickBot="1" x14ac:dyDescent="0.3">
      <c r="D34" s="78" t="s">
        <v>13</v>
      </c>
      <c r="E34" s="55">
        <v>20.0639</v>
      </c>
      <c r="F34" s="55">
        <v>5.9859900000000001</v>
      </c>
      <c r="G34" s="55">
        <v>25.053799999999999</v>
      </c>
      <c r="H34" s="55">
        <v>6.98604</v>
      </c>
      <c r="I34" s="42">
        <f t="shared" si="1"/>
        <v>1.2181928512655187</v>
      </c>
      <c r="J34" s="18"/>
      <c r="K34" s="6"/>
    </row>
    <row r="35" spans="4:11" ht="15.75" thickBot="1" x14ac:dyDescent="0.3">
      <c r="D35" s="78"/>
      <c r="E35" s="55"/>
      <c r="F35" s="55"/>
      <c r="G35" s="55"/>
      <c r="H35" s="55"/>
      <c r="I35" s="42" t="e">
        <f t="shared" si="1"/>
        <v>#DIV/0!</v>
      </c>
      <c r="J35" s="18"/>
      <c r="K35" s="21">
        <f>(I34)</f>
        <v>1.2181928512655187</v>
      </c>
    </row>
    <row r="36" spans="4:11" x14ac:dyDescent="0.25">
      <c r="D36" s="78"/>
      <c r="E36" s="55"/>
      <c r="F36" s="55"/>
      <c r="G36" s="55"/>
      <c r="H36" s="55"/>
      <c r="I36" s="42" t="e">
        <f t="shared" si="1"/>
        <v>#DIV/0!</v>
      </c>
      <c r="J36" s="18"/>
      <c r="K36" s="6"/>
    </row>
    <row r="37" spans="4:11" ht="15.75" thickBot="1" x14ac:dyDescent="0.3">
      <c r="D37" s="78" t="s">
        <v>14</v>
      </c>
      <c r="E37" s="55">
        <v>22.033999999999999</v>
      </c>
      <c r="F37" s="55">
        <v>5.2789000000000001</v>
      </c>
      <c r="G37" s="55">
        <v>30.782499999999999</v>
      </c>
      <c r="H37" s="55">
        <v>10.426</v>
      </c>
      <c r="I37" s="42">
        <f t="shared" si="1"/>
        <v>1.5842788676906463</v>
      </c>
      <c r="J37" s="58"/>
      <c r="K37" s="6"/>
    </row>
    <row r="38" spans="4:11" ht="15.75" thickBot="1" x14ac:dyDescent="0.3">
      <c r="D38" s="78"/>
      <c r="E38" s="55"/>
      <c r="F38" s="55"/>
      <c r="G38" s="55"/>
      <c r="H38" s="55"/>
      <c r="I38" s="42" t="e">
        <f t="shared" si="1"/>
        <v>#DIV/0!</v>
      </c>
      <c r="J38" s="18"/>
      <c r="K38" s="21">
        <f>(I37)</f>
        <v>1.5842788676906463</v>
      </c>
    </row>
    <row r="39" spans="4:11" x14ac:dyDescent="0.25">
      <c r="D39" s="78"/>
      <c r="E39" s="22"/>
      <c r="F39" s="22"/>
      <c r="G39" s="22"/>
      <c r="H39" s="22"/>
      <c r="I39" s="42" t="e">
        <f t="shared" si="1"/>
        <v>#DIV/0!</v>
      </c>
      <c r="J39" s="23"/>
      <c r="K39" s="19"/>
    </row>
    <row r="44" spans="4:11" x14ac:dyDescent="0.25">
      <c r="D44" s="96">
        <v>2</v>
      </c>
      <c r="E44" s="96"/>
      <c r="F44" s="96">
        <v>4</v>
      </c>
      <c r="G44" s="96"/>
      <c r="H44" s="96">
        <v>7</v>
      </c>
      <c r="I44" s="96"/>
      <c r="J44" s="96">
        <v>15</v>
      </c>
      <c r="K44" s="96"/>
    </row>
  </sheetData>
  <mergeCells count="22">
    <mergeCell ref="D11:D13"/>
    <mergeCell ref="I26:K26"/>
    <mergeCell ref="E8:H8"/>
    <mergeCell ref="E9:H9"/>
    <mergeCell ref="I9:K9"/>
    <mergeCell ref="E10:F10"/>
    <mergeCell ref="G10:H10"/>
    <mergeCell ref="D14:D16"/>
    <mergeCell ref="D17:D19"/>
    <mergeCell ref="D20:D22"/>
    <mergeCell ref="E25:H25"/>
    <mergeCell ref="E26:H26"/>
    <mergeCell ref="D44:E44"/>
    <mergeCell ref="F44:G44"/>
    <mergeCell ref="H44:I44"/>
    <mergeCell ref="J44:K44"/>
    <mergeCell ref="E27:F27"/>
    <mergeCell ref="G27:H27"/>
    <mergeCell ref="D28:D30"/>
    <mergeCell ref="D31:D33"/>
    <mergeCell ref="D34:D36"/>
    <mergeCell ref="D37:D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workbookViewId="0">
      <selection activeCell="H8" sqref="H8"/>
    </sheetView>
  </sheetViews>
  <sheetFormatPr defaultRowHeight="15" x14ac:dyDescent="0.25"/>
  <sheetData>
    <row r="4" spans="1:9" x14ac:dyDescent="0.25">
      <c r="B4" s="16"/>
      <c r="C4" s="89" t="s">
        <v>21</v>
      </c>
      <c r="D4" s="90"/>
      <c r="E4" s="90"/>
      <c r="F4" s="91"/>
    </row>
    <row r="5" spans="1:9" x14ac:dyDescent="0.25">
      <c r="B5" s="14"/>
      <c r="C5" s="88" t="s">
        <v>1</v>
      </c>
      <c r="D5" s="86"/>
      <c r="E5" s="86"/>
      <c r="F5" s="86"/>
      <c r="G5" s="79" t="s">
        <v>15</v>
      </c>
      <c r="H5" s="79"/>
      <c r="I5" s="79"/>
    </row>
    <row r="6" spans="1:9" x14ac:dyDescent="0.25">
      <c r="B6" s="15"/>
      <c r="C6" s="88" t="s">
        <v>3</v>
      </c>
      <c r="D6" s="86"/>
      <c r="E6" s="86" t="s">
        <v>0</v>
      </c>
      <c r="F6" s="86"/>
      <c r="G6" s="17" t="s">
        <v>16</v>
      </c>
      <c r="H6" s="17" t="s">
        <v>17</v>
      </c>
      <c r="I6" s="3" t="s">
        <v>19</v>
      </c>
    </row>
    <row r="7" spans="1:9" ht="15.75" thickBot="1" x14ac:dyDescent="0.3">
      <c r="A7">
        <v>2</v>
      </c>
      <c r="B7" s="85" t="s">
        <v>11</v>
      </c>
      <c r="C7" s="56">
        <v>54.031500000000001</v>
      </c>
      <c r="D7" s="56">
        <v>13.001200000000001</v>
      </c>
      <c r="E7" s="56">
        <v>27.66667</v>
      </c>
      <c r="F7" s="56">
        <v>8.1737300000000008</v>
      </c>
      <c r="G7" s="42">
        <f>(E7+2*F7)/(C7+2*D7)</f>
        <v>0.54994358640526075</v>
      </c>
      <c r="H7" s="18">
        <f>8.3812*G7 - 2.4745</f>
        <v>2.1346871863797716</v>
      </c>
      <c r="I7" s="20"/>
    </row>
    <row r="8" spans="1:9" ht="15.75" thickBot="1" x14ac:dyDescent="0.3">
      <c r="A8">
        <v>4</v>
      </c>
      <c r="B8" s="78"/>
      <c r="C8" s="56">
        <v>45.1357</v>
      </c>
      <c r="D8" s="56">
        <v>14.31</v>
      </c>
      <c r="E8" s="56">
        <v>25.751000000000001</v>
      </c>
      <c r="F8" s="56">
        <v>7.0305299999999997</v>
      </c>
      <c r="G8" s="42">
        <f t="shared" ref="G8:G18" si="0">(E8+2*F8)/(C8+2*D8)</f>
        <v>0.53978282356482277</v>
      </c>
      <c r="H8" s="18">
        <f t="shared" ref="H8:H18" si="1">8.3812*G8 - 2.4745</f>
        <v>2.0495278008614921</v>
      </c>
      <c r="I8" s="21">
        <f>SUM(G7:G9)/3</f>
        <v>0.53279642507547054</v>
      </c>
    </row>
    <row r="9" spans="1:9" x14ac:dyDescent="0.25">
      <c r="A9">
        <v>7</v>
      </c>
      <c r="B9" s="78"/>
      <c r="C9" s="56">
        <v>46.364899999999999</v>
      </c>
      <c r="D9" s="56">
        <v>14.286099999999999</v>
      </c>
      <c r="E9" s="56">
        <v>24.733599999999999</v>
      </c>
      <c r="F9" s="56">
        <v>6.6920599999999997</v>
      </c>
      <c r="G9" s="42">
        <f t="shared" si="0"/>
        <v>0.50866286525632831</v>
      </c>
      <c r="H9" s="18">
        <f t="shared" si="1"/>
        <v>1.7887052062863384</v>
      </c>
      <c r="I9" s="6"/>
    </row>
    <row r="10" spans="1:9" ht="15.75" thickBot="1" x14ac:dyDescent="0.3">
      <c r="A10">
        <v>15</v>
      </c>
      <c r="B10" s="78" t="s">
        <v>12</v>
      </c>
      <c r="C10" s="56">
        <v>48.107999999999997</v>
      </c>
      <c r="D10" s="56">
        <v>20.908899999999999</v>
      </c>
      <c r="E10" s="56">
        <v>36.332999999999998</v>
      </c>
      <c r="F10" s="56">
        <v>14.489699999999999</v>
      </c>
      <c r="G10" s="42">
        <f t="shared" si="0"/>
        <v>0.72629212083740147</v>
      </c>
      <c r="H10" s="18">
        <f t="shared" si="1"/>
        <v>3.612699523162429</v>
      </c>
      <c r="I10" s="6"/>
    </row>
    <row r="11" spans="1:9" ht="15.75" thickBot="1" x14ac:dyDescent="0.3">
      <c r="B11" s="78"/>
      <c r="C11" s="56">
        <v>46.596200000000003</v>
      </c>
      <c r="D11" s="56">
        <v>18.91</v>
      </c>
      <c r="E11" s="56">
        <v>37.28</v>
      </c>
      <c r="F11" s="56">
        <v>11.7197</v>
      </c>
      <c r="G11" s="42">
        <f t="shared" si="0"/>
        <v>0.71928610859053121</v>
      </c>
      <c r="H11" s="18">
        <f t="shared" si="1"/>
        <v>3.5539807333189604</v>
      </c>
      <c r="I11" s="21">
        <f>SUM(G10:G12)/3</f>
        <v>0.73939576412053987</v>
      </c>
    </row>
    <row r="12" spans="1:9" x14ac:dyDescent="0.25">
      <c r="B12" s="78"/>
      <c r="C12" s="56">
        <v>46.454099999999997</v>
      </c>
      <c r="D12" s="56">
        <v>9.9189500000000006</v>
      </c>
      <c r="E12" s="56">
        <v>35.946199999999997</v>
      </c>
      <c r="F12" s="56">
        <v>7.6357999999999997</v>
      </c>
      <c r="G12" s="42">
        <f t="shared" si="0"/>
        <v>0.77260906293368725</v>
      </c>
      <c r="H12" s="18">
        <f t="shared" si="1"/>
        <v>4.0008910782598193</v>
      </c>
      <c r="I12" s="6"/>
    </row>
    <row r="13" spans="1:9" ht="15.75" thickBot="1" x14ac:dyDescent="0.3">
      <c r="B13" s="78" t="s">
        <v>13</v>
      </c>
      <c r="C13" s="56">
        <v>51.804900000000004</v>
      </c>
      <c r="D13" s="56">
        <v>8.0409600000000001</v>
      </c>
      <c r="E13" s="56">
        <v>50.716900000000003</v>
      </c>
      <c r="F13" s="56">
        <v>13.4781</v>
      </c>
      <c r="G13" s="42">
        <f t="shared" si="0"/>
        <v>1.1441558169906914</v>
      </c>
      <c r="H13" s="18">
        <f t="shared" si="1"/>
        <v>7.1148987333623817</v>
      </c>
      <c r="I13" s="6"/>
    </row>
    <row r="14" spans="1:9" ht="15.75" thickBot="1" x14ac:dyDescent="0.3">
      <c r="B14" s="78"/>
      <c r="C14" s="56">
        <v>48.409799999999997</v>
      </c>
      <c r="D14" s="56">
        <v>10.1639</v>
      </c>
      <c r="E14" s="56">
        <v>51.910299999999999</v>
      </c>
      <c r="F14" s="56">
        <v>17.264399999999998</v>
      </c>
      <c r="G14" s="42">
        <f t="shared" si="0"/>
        <v>1.257522811387072</v>
      </c>
      <c r="H14" s="18">
        <f t="shared" si="1"/>
        <v>8.065050186797329</v>
      </c>
      <c r="I14" s="21">
        <f>SUM(G13:G15)/3</f>
        <v>1.1819804226674744</v>
      </c>
    </row>
    <row r="15" spans="1:9" x14ac:dyDescent="0.25">
      <c r="B15" s="78"/>
      <c r="C15" s="22">
        <v>57.426099999999998</v>
      </c>
      <c r="D15" s="22">
        <v>11.7302</v>
      </c>
      <c r="E15" s="22">
        <v>59.422800000000002</v>
      </c>
      <c r="F15" s="22">
        <v>16.566299999999998</v>
      </c>
      <c r="G15" s="43">
        <f t="shared" si="0"/>
        <v>1.1442626396246591</v>
      </c>
      <c r="H15" s="57">
        <f t="shared" si="1"/>
        <v>7.1157940352221933</v>
      </c>
      <c r="I15" s="6" t="s">
        <v>46</v>
      </c>
    </row>
    <row r="16" spans="1:9" ht="15.75" thickBot="1" x14ac:dyDescent="0.3">
      <c r="B16" s="78" t="s">
        <v>14</v>
      </c>
      <c r="C16" s="56">
        <v>44.447600000000001</v>
      </c>
      <c r="D16" s="56">
        <v>15.0631</v>
      </c>
      <c r="E16" s="56">
        <v>81.5</v>
      </c>
      <c r="F16" s="56">
        <v>35.011099999999999</v>
      </c>
      <c r="G16" s="42">
        <f t="shared" si="0"/>
        <v>2.0318422824101758</v>
      </c>
      <c r="H16" s="18">
        <f t="shared" si="1"/>
        <v>14.554776537336167</v>
      </c>
      <c r="I16" s="6"/>
    </row>
    <row r="17" spans="2:9" ht="15.75" thickBot="1" x14ac:dyDescent="0.3">
      <c r="B17" s="78"/>
      <c r="C17" s="56">
        <v>45.194600000000001</v>
      </c>
      <c r="D17" s="56">
        <v>10.3392</v>
      </c>
      <c r="E17" s="56">
        <v>83.182699999999997</v>
      </c>
      <c r="F17" s="56">
        <v>37.070399999999999</v>
      </c>
      <c r="G17" s="42">
        <f t="shared" si="0"/>
        <v>2.3882850333216945</v>
      </c>
      <c r="H17" s="18">
        <f t="shared" si="1"/>
        <v>17.542194521275785</v>
      </c>
      <c r="I17" s="21">
        <f>SUM(G16:G18)/3</f>
        <v>2.0676282233984788</v>
      </c>
    </row>
    <row r="18" spans="2:9" x14ac:dyDescent="0.25">
      <c r="B18" s="78"/>
      <c r="C18" s="56">
        <v>43.6</v>
      </c>
      <c r="D18" s="56">
        <v>7.4206899999999996</v>
      </c>
      <c r="E18" s="56">
        <v>61.878399999999999</v>
      </c>
      <c r="F18" s="56">
        <v>21.154199999999999</v>
      </c>
      <c r="G18" s="42">
        <f t="shared" si="0"/>
        <v>1.7827573544635669</v>
      </c>
      <c r="H18" s="18">
        <f t="shared" si="1"/>
        <v>12.467145939230047</v>
      </c>
      <c r="I18" s="19"/>
    </row>
  </sheetData>
  <mergeCells count="9">
    <mergeCell ref="B13:B15"/>
    <mergeCell ref="B16:B18"/>
    <mergeCell ref="C4:F4"/>
    <mergeCell ref="C5:F5"/>
    <mergeCell ref="G5:I5"/>
    <mergeCell ref="C6:D6"/>
    <mergeCell ref="E6:F6"/>
    <mergeCell ref="B7:B9"/>
    <mergeCell ref="B10:B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Y89"/>
  <sheetViews>
    <sheetView topLeftCell="F1" workbookViewId="0">
      <selection activeCell="L3" sqref="L3"/>
    </sheetView>
  </sheetViews>
  <sheetFormatPr defaultRowHeight="15" x14ac:dyDescent="0.25"/>
  <cols>
    <col min="19" max="19" width="9.7109375" customWidth="1"/>
  </cols>
  <sheetData>
    <row r="6" spans="5:25" x14ac:dyDescent="0.25">
      <c r="G6" s="97" t="s">
        <v>20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108" t="s">
        <v>9</v>
      </c>
      <c r="T6" s="95" t="s">
        <v>129</v>
      </c>
      <c r="U6" s="79"/>
      <c r="V6" s="79"/>
      <c r="W6" s="79"/>
      <c r="X6" s="79"/>
      <c r="Y6" s="79"/>
    </row>
    <row r="7" spans="5:25" x14ac:dyDescent="0.25">
      <c r="E7" s="76"/>
      <c r="G7" s="98" t="s">
        <v>5</v>
      </c>
      <c r="H7" s="99"/>
      <c r="I7" s="99"/>
      <c r="J7" s="100"/>
      <c r="K7" s="101" t="s">
        <v>18</v>
      </c>
      <c r="L7" s="102"/>
      <c r="M7" s="102"/>
      <c r="N7" s="103"/>
      <c r="O7" s="104" t="s">
        <v>10</v>
      </c>
      <c r="P7" s="105"/>
      <c r="Q7" s="105"/>
      <c r="R7" s="106"/>
      <c r="S7" s="108"/>
      <c r="T7" s="98" t="s">
        <v>5</v>
      </c>
      <c r="U7" s="100"/>
      <c r="V7" s="101" t="s">
        <v>18</v>
      </c>
      <c r="W7" s="103"/>
      <c r="X7" s="104" t="s">
        <v>10</v>
      </c>
      <c r="Y7" s="106"/>
    </row>
    <row r="8" spans="5:25" x14ac:dyDescent="0.25">
      <c r="E8" s="77"/>
      <c r="G8" s="98" t="s">
        <v>3</v>
      </c>
      <c r="H8" s="99"/>
      <c r="I8" s="107" t="s">
        <v>0</v>
      </c>
      <c r="J8" s="107"/>
      <c r="K8" s="101" t="s">
        <v>3</v>
      </c>
      <c r="L8" s="103"/>
      <c r="M8" s="101" t="s">
        <v>0</v>
      </c>
      <c r="N8" s="103"/>
      <c r="O8" s="104" t="s">
        <v>3</v>
      </c>
      <c r="P8" s="106"/>
      <c r="Q8" s="104" t="s">
        <v>0</v>
      </c>
      <c r="R8" s="106"/>
      <c r="S8" s="108"/>
      <c r="T8" s="73"/>
      <c r="U8" s="73"/>
      <c r="V8" s="74"/>
      <c r="W8" s="74"/>
      <c r="X8" s="75"/>
      <c r="Y8" s="75"/>
    </row>
    <row r="9" spans="5:25" x14ac:dyDescent="0.25">
      <c r="E9" s="77"/>
      <c r="G9" s="73" t="s">
        <v>48</v>
      </c>
      <c r="H9" s="73" t="s">
        <v>49</v>
      </c>
      <c r="I9" s="73" t="s">
        <v>48</v>
      </c>
      <c r="J9" s="73" t="s">
        <v>49</v>
      </c>
      <c r="K9" s="74" t="s">
        <v>48</v>
      </c>
      <c r="L9" s="74" t="s">
        <v>49</v>
      </c>
      <c r="M9" s="74" t="s">
        <v>48</v>
      </c>
      <c r="N9" s="74" t="s">
        <v>49</v>
      </c>
      <c r="O9" s="75" t="s">
        <v>48</v>
      </c>
      <c r="P9" s="75" t="s">
        <v>49</v>
      </c>
      <c r="Q9" s="75" t="s">
        <v>48</v>
      </c>
      <c r="R9" s="75" t="s">
        <v>49</v>
      </c>
      <c r="S9" s="109"/>
      <c r="T9" s="73" t="s">
        <v>48</v>
      </c>
      <c r="U9" s="73" t="s">
        <v>49</v>
      </c>
      <c r="V9" s="74" t="s">
        <v>48</v>
      </c>
      <c r="W9" s="74" t="s">
        <v>49</v>
      </c>
      <c r="X9" s="75" t="s">
        <v>48</v>
      </c>
      <c r="Y9" s="75" t="s">
        <v>49</v>
      </c>
    </row>
    <row r="10" spans="5:25" x14ac:dyDescent="0.25">
      <c r="F10" s="68" t="s">
        <v>47</v>
      </c>
      <c r="G10" s="59"/>
      <c r="H10" s="59"/>
      <c r="I10" s="59"/>
      <c r="J10" s="59"/>
      <c r="K10" s="60"/>
      <c r="L10" s="60"/>
      <c r="M10" s="60"/>
      <c r="N10" s="60"/>
      <c r="O10" s="67"/>
      <c r="P10" s="67"/>
      <c r="Q10" s="67"/>
      <c r="R10" s="67"/>
      <c r="S10" s="72"/>
      <c r="T10" s="59"/>
      <c r="U10" s="59"/>
      <c r="V10" s="60"/>
      <c r="W10" s="60"/>
      <c r="X10" s="67"/>
      <c r="Y10" s="67"/>
    </row>
    <row r="11" spans="5:25" x14ac:dyDescent="0.25">
      <c r="F11" s="69" t="s">
        <v>50</v>
      </c>
      <c r="G11" s="64"/>
      <c r="H11" s="64"/>
      <c r="I11" s="64"/>
      <c r="J11" s="64"/>
      <c r="K11" s="66"/>
      <c r="L11" s="66"/>
      <c r="M11" s="66"/>
      <c r="N11" s="66"/>
      <c r="O11" s="63"/>
      <c r="P11" s="63"/>
      <c r="Q11" s="63"/>
      <c r="R11" s="63"/>
      <c r="S11" s="71"/>
      <c r="T11" s="64"/>
      <c r="U11" s="64"/>
      <c r="V11" s="66"/>
      <c r="W11" s="66"/>
      <c r="X11" s="63"/>
      <c r="Y11" s="63"/>
    </row>
    <row r="12" spans="5:25" x14ac:dyDescent="0.25">
      <c r="F12" s="69" t="s">
        <v>51</v>
      </c>
      <c r="G12" s="64"/>
      <c r="H12" s="64"/>
      <c r="I12" s="64"/>
      <c r="J12" s="64"/>
      <c r="K12" s="66"/>
      <c r="L12" s="66"/>
      <c r="M12" s="66"/>
      <c r="N12" s="66"/>
      <c r="O12" s="63"/>
      <c r="P12" s="63"/>
      <c r="Q12" s="63"/>
      <c r="R12" s="63"/>
      <c r="S12" s="71"/>
      <c r="T12" s="64"/>
      <c r="U12" s="64"/>
      <c r="V12" s="66"/>
      <c r="W12" s="66"/>
      <c r="X12" s="63"/>
      <c r="Y12" s="63"/>
    </row>
    <row r="13" spans="5:25" x14ac:dyDescent="0.25">
      <c r="F13" s="69" t="s">
        <v>52</v>
      </c>
      <c r="G13" s="64"/>
      <c r="H13" s="64"/>
      <c r="I13" s="64"/>
      <c r="J13" s="64"/>
      <c r="K13" s="66"/>
      <c r="L13" s="66"/>
      <c r="M13" s="66"/>
      <c r="N13" s="66"/>
      <c r="O13" s="63"/>
      <c r="P13" s="63"/>
      <c r="Q13" s="63"/>
      <c r="R13" s="63"/>
      <c r="S13" s="71"/>
      <c r="T13" s="64"/>
      <c r="U13" s="64"/>
      <c r="V13" s="66"/>
      <c r="W13" s="66"/>
      <c r="X13" s="63"/>
      <c r="Y13" s="63"/>
    </row>
    <row r="14" spans="5:25" x14ac:dyDescent="0.25">
      <c r="F14" s="69" t="s">
        <v>53</v>
      </c>
      <c r="G14" s="64"/>
      <c r="H14" s="64"/>
      <c r="I14" s="64"/>
      <c r="J14" s="64"/>
      <c r="K14" s="66"/>
      <c r="L14" s="66"/>
      <c r="M14" s="66"/>
      <c r="N14" s="66"/>
      <c r="O14" s="63"/>
      <c r="P14" s="63"/>
      <c r="Q14" s="63"/>
      <c r="R14" s="63"/>
      <c r="S14" s="71"/>
      <c r="T14" s="64"/>
      <c r="U14" s="64"/>
      <c r="V14" s="66"/>
      <c r="W14" s="66"/>
      <c r="X14" s="63"/>
      <c r="Y14" s="63"/>
    </row>
    <row r="15" spans="5:25" x14ac:dyDescent="0.25">
      <c r="F15" s="69" t="s">
        <v>54</v>
      </c>
      <c r="G15" s="64"/>
      <c r="H15" s="64"/>
      <c r="I15" s="64"/>
      <c r="J15" s="64"/>
      <c r="K15" s="66"/>
      <c r="L15" s="66"/>
      <c r="M15" s="66"/>
      <c r="N15" s="66"/>
      <c r="O15" s="63"/>
      <c r="P15" s="63"/>
      <c r="Q15" s="63"/>
      <c r="R15" s="63"/>
      <c r="S15" s="71"/>
      <c r="T15" s="64"/>
      <c r="U15" s="64"/>
      <c r="V15" s="66"/>
      <c r="W15" s="66"/>
      <c r="X15" s="63"/>
      <c r="Y15" s="63"/>
    </row>
    <row r="16" spans="5:25" x14ac:dyDescent="0.25">
      <c r="F16" s="69" t="s">
        <v>55</v>
      </c>
      <c r="G16" s="64"/>
      <c r="H16" s="64"/>
      <c r="I16" s="64"/>
      <c r="J16" s="64"/>
      <c r="K16" s="66"/>
      <c r="L16" s="66"/>
      <c r="M16" s="66"/>
      <c r="N16" s="66"/>
      <c r="O16" s="63"/>
      <c r="P16" s="63"/>
      <c r="Q16" s="63"/>
      <c r="R16" s="63"/>
      <c r="S16" s="71"/>
      <c r="T16" s="64"/>
      <c r="U16" s="64"/>
      <c r="V16" s="66"/>
      <c r="W16" s="66"/>
      <c r="X16" s="63"/>
      <c r="Y16" s="63"/>
    </row>
    <row r="17" spans="6:25" x14ac:dyDescent="0.25">
      <c r="F17" s="69" t="s">
        <v>56</v>
      </c>
      <c r="G17" s="64"/>
      <c r="H17" s="64"/>
      <c r="I17" s="64"/>
      <c r="J17" s="64"/>
      <c r="K17" s="66"/>
      <c r="L17" s="66"/>
      <c r="M17" s="66"/>
      <c r="N17" s="66"/>
      <c r="O17" s="63"/>
      <c r="P17" s="63"/>
      <c r="Q17" s="63"/>
      <c r="R17" s="63"/>
      <c r="S17" s="71"/>
      <c r="T17" s="64"/>
      <c r="U17" s="64"/>
      <c r="V17" s="66"/>
      <c r="W17" s="66"/>
      <c r="X17" s="63"/>
      <c r="Y17" s="63"/>
    </row>
    <row r="18" spans="6:25" x14ac:dyDescent="0.25">
      <c r="F18" s="69" t="s">
        <v>57</v>
      </c>
      <c r="G18" s="64"/>
      <c r="H18" s="64"/>
      <c r="I18" s="64"/>
      <c r="J18" s="64"/>
      <c r="K18" s="66"/>
      <c r="L18" s="66"/>
      <c r="M18" s="66"/>
      <c r="N18" s="66"/>
      <c r="O18" s="63"/>
      <c r="P18" s="63"/>
      <c r="Q18" s="63"/>
      <c r="R18" s="63"/>
      <c r="S18" s="71"/>
      <c r="T18" s="64"/>
      <c r="U18" s="64"/>
      <c r="V18" s="66"/>
      <c r="W18" s="66"/>
      <c r="X18" s="63"/>
      <c r="Y18" s="63"/>
    </row>
    <row r="19" spans="6:25" x14ac:dyDescent="0.25">
      <c r="F19" s="69" t="s">
        <v>58</v>
      </c>
      <c r="G19" s="64"/>
      <c r="H19" s="64"/>
      <c r="I19" s="64"/>
      <c r="J19" s="64"/>
      <c r="K19" s="66"/>
      <c r="L19" s="66"/>
      <c r="M19" s="66"/>
      <c r="N19" s="66"/>
      <c r="O19" s="63"/>
      <c r="P19" s="63"/>
      <c r="Q19" s="63"/>
      <c r="R19" s="63"/>
      <c r="S19" s="71"/>
      <c r="T19" s="64"/>
      <c r="U19" s="64"/>
      <c r="V19" s="66"/>
      <c r="W19" s="66"/>
      <c r="X19" s="63"/>
      <c r="Y19" s="63"/>
    </row>
    <row r="20" spans="6:25" x14ac:dyDescent="0.25">
      <c r="F20" s="69" t="s">
        <v>59</v>
      </c>
      <c r="G20" s="64"/>
      <c r="H20" s="64"/>
      <c r="I20" s="64"/>
      <c r="J20" s="64"/>
      <c r="K20" s="66"/>
      <c r="L20" s="66"/>
      <c r="M20" s="66"/>
      <c r="N20" s="66"/>
      <c r="O20" s="63"/>
      <c r="P20" s="63"/>
      <c r="Q20" s="63"/>
      <c r="R20" s="63"/>
      <c r="S20" s="71"/>
      <c r="T20" s="64"/>
      <c r="U20" s="64"/>
      <c r="V20" s="66"/>
      <c r="W20" s="66"/>
      <c r="X20" s="63"/>
      <c r="Y20" s="63"/>
    </row>
    <row r="21" spans="6:25" x14ac:dyDescent="0.25">
      <c r="F21" s="69" t="s">
        <v>60</v>
      </c>
      <c r="G21" s="64"/>
      <c r="H21" s="64"/>
      <c r="I21" s="64"/>
      <c r="J21" s="64"/>
      <c r="K21" s="66"/>
      <c r="L21" s="66"/>
      <c r="M21" s="66"/>
      <c r="N21" s="66"/>
      <c r="O21" s="63"/>
      <c r="P21" s="63"/>
      <c r="Q21" s="63"/>
      <c r="R21" s="63"/>
      <c r="S21" s="71"/>
      <c r="T21" s="64"/>
      <c r="U21" s="64"/>
      <c r="V21" s="66"/>
      <c r="W21" s="66"/>
      <c r="X21" s="63"/>
      <c r="Y21" s="63"/>
    </row>
    <row r="22" spans="6:25" x14ac:dyDescent="0.25">
      <c r="F22" s="69" t="s">
        <v>61</v>
      </c>
      <c r="G22" s="64"/>
      <c r="H22" s="64"/>
      <c r="I22" s="64"/>
      <c r="J22" s="64"/>
      <c r="K22" s="66"/>
      <c r="L22" s="66"/>
      <c r="M22" s="66"/>
      <c r="N22" s="66"/>
      <c r="O22" s="63"/>
      <c r="P22" s="63"/>
      <c r="Q22" s="63"/>
      <c r="R22" s="63"/>
      <c r="S22" s="71"/>
      <c r="T22" s="64"/>
      <c r="U22" s="64"/>
      <c r="V22" s="66"/>
      <c r="W22" s="66"/>
      <c r="X22" s="63"/>
      <c r="Y22" s="63"/>
    </row>
    <row r="23" spans="6:25" x14ac:dyDescent="0.25">
      <c r="F23" s="69" t="s">
        <v>62</v>
      </c>
      <c r="G23" s="64"/>
      <c r="H23" s="64"/>
      <c r="I23" s="64"/>
      <c r="J23" s="64"/>
      <c r="K23" s="66"/>
      <c r="L23" s="66"/>
      <c r="M23" s="66"/>
      <c r="N23" s="66"/>
      <c r="O23" s="63"/>
      <c r="P23" s="63"/>
      <c r="Q23" s="63"/>
      <c r="R23" s="63"/>
      <c r="S23" s="71"/>
      <c r="T23" s="64"/>
      <c r="U23" s="64"/>
      <c r="V23" s="66"/>
      <c r="W23" s="66"/>
      <c r="X23" s="63"/>
      <c r="Y23" s="63"/>
    </row>
    <row r="24" spans="6:25" x14ac:dyDescent="0.25">
      <c r="F24" s="69" t="s">
        <v>63</v>
      </c>
      <c r="G24" s="64"/>
      <c r="H24" s="64"/>
      <c r="I24" s="64"/>
      <c r="J24" s="64"/>
      <c r="K24" s="66"/>
      <c r="L24" s="66"/>
      <c r="M24" s="66"/>
      <c r="N24" s="66"/>
      <c r="O24" s="63"/>
      <c r="P24" s="63"/>
      <c r="Q24" s="63"/>
      <c r="R24" s="63"/>
      <c r="S24" s="71"/>
      <c r="T24" s="64"/>
      <c r="U24" s="64"/>
      <c r="V24" s="66"/>
      <c r="W24" s="66"/>
      <c r="X24" s="63"/>
      <c r="Y24" s="63"/>
    </row>
    <row r="25" spans="6:25" x14ac:dyDescent="0.25">
      <c r="F25" s="69" t="s">
        <v>64</v>
      </c>
      <c r="G25" s="64"/>
      <c r="H25" s="64"/>
      <c r="I25" s="64"/>
      <c r="J25" s="64"/>
      <c r="K25" s="66"/>
      <c r="L25" s="66"/>
      <c r="M25" s="66"/>
      <c r="N25" s="66"/>
      <c r="O25" s="63"/>
      <c r="P25" s="63"/>
      <c r="Q25" s="63"/>
      <c r="R25" s="63"/>
      <c r="S25" s="71"/>
      <c r="T25" s="64"/>
      <c r="U25" s="64"/>
      <c r="V25" s="66"/>
      <c r="W25" s="66"/>
      <c r="X25" s="63"/>
      <c r="Y25" s="63"/>
    </row>
    <row r="26" spans="6:25" x14ac:dyDescent="0.25">
      <c r="F26" s="68" t="s">
        <v>65</v>
      </c>
      <c r="G26" s="61"/>
      <c r="H26" s="61"/>
      <c r="I26" s="61"/>
      <c r="J26" s="61"/>
      <c r="K26" s="62"/>
      <c r="L26" s="62"/>
      <c r="M26" s="62"/>
      <c r="N26" s="62"/>
      <c r="O26" s="65"/>
      <c r="P26" s="65"/>
      <c r="Q26" s="65"/>
      <c r="R26" s="65"/>
      <c r="S26" s="70"/>
      <c r="T26" s="61"/>
      <c r="U26" s="61"/>
      <c r="V26" s="62"/>
      <c r="W26" s="62"/>
      <c r="X26" s="65"/>
      <c r="Y26" s="65"/>
    </row>
    <row r="27" spans="6:25" x14ac:dyDescent="0.25">
      <c r="F27" s="68" t="s">
        <v>66</v>
      </c>
      <c r="G27" s="61"/>
      <c r="H27" s="61"/>
      <c r="I27" s="61"/>
      <c r="J27" s="61"/>
      <c r="K27" s="62"/>
      <c r="L27" s="62"/>
      <c r="M27" s="62"/>
      <c r="N27" s="62"/>
      <c r="O27" s="65"/>
      <c r="P27" s="65"/>
      <c r="Q27" s="65"/>
      <c r="R27" s="65"/>
      <c r="S27" s="70"/>
      <c r="T27" s="61"/>
      <c r="U27" s="61"/>
      <c r="V27" s="62"/>
      <c r="W27" s="62"/>
      <c r="X27" s="65"/>
      <c r="Y27" s="65"/>
    </row>
    <row r="28" spans="6:25" x14ac:dyDescent="0.25">
      <c r="F28" s="68" t="s">
        <v>67</v>
      </c>
      <c r="G28" s="61"/>
      <c r="H28" s="61"/>
      <c r="I28" s="61"/>
      <c r="J28" s="61"/>
      <c r="K28" s="62"/>
      <c r="L28" s="62"/>
      <c r="M28" s="62"/>
      <c r="N28" s="62"/>
      <c r="O28" s="65"/>
      <c r="P28" s="65"/>
      <c r="Q28" s="65"/>
      <c r="R28" s="65"/>
      <c r="S28" s="70"/>
      <c r="T28" s="61"/>
      <c r="U28" s="61"/>
      <c r="V28" s="62"/>
      <c r="W28" s="62"/>
      <c r="X28" s="65"/>
      <c r="Y28" s="65"/>
    </row>
    <row r="29" spans="6:25" x14ac:dyDescent="0.25">
      <c r="F29" s="68" t="s">
        <v>68</v>
      </c>
      <c r="G29" s="61"/>
      <c r="H29" s="61"/>
      <c r="I29" s="61"/>
      <c r="J29" s="61"/>
      <c r="K29" s="62"/>
      <c r="L29" s="62"/>
      <c r="M29" s="62"/>
      <c r="N29" s="62"/>
      <c r="O29" s="65"/>
      <c r="P29" s="65"/>
      <c r="Q29" s="65"/>
      <c r="R29" s="65"/>
      <c r="S29" s="70"/>
      <c r="T29" s="61"/>
      <c r="U29" s="61"/>
      <c r="V29" s="62"/>
      <c r="W29" s="62"/>
      <c r="X29" s="65"/>
      <c r="Y29" s="65"/>
    </row>
    <row r="30" spans="6:25" x14ac:dyDescent="0.25">
      <c r="F30" s="68" t="s">
        <v>69</v>
      </c>
      <c r="G30" s="61"/>
      <c r="H30" s="61"/>
      <c r="I30" s="61"/>
      <c r="J30" s="61"/>
      <c r="K30" s="62"/>
      <c r="L30" s="62"/>
      <c r="M30" s="62"/>
      <c r="N30" s="62"/>
      <c r="O30" s="65"/>
      <c r="P30" s="65"/>
      <c r="Q30" s="65"/>
      <c r="R30" s="65"/>
      <c r="S30" s="70"/>
      <c r="T30" s="61"/>
      <c r="U30" s="61"/>
      <c r="V30" s="62"/>
      <c r="W30" s="62"/>
      <c r="X30" s="65"/>
      <c r="Y30" s="65"/>
    </row>
    <row r="31" spans="6:25" x14ac:dyDescent="0.25">
      <c r="F31" s="68" t="s">
        <v>70</v>
      </c>
      <c r="G31" s="61"/>
      <c r="H31" s="61"/>
      <c r="I31" s="61"/>
      <c r="J31" s="61"/>
      <c r="K31" s="62"/>
      <c r="L31" s="62"/>
      <c r="M31" s="62"/>
      <c r="N31" s="62"/>
      <c r="O31" s="65"/>
      <c r="P31" s="65"/>
      <c r="Q31" s="65"/>
      <c r="R31" s="65"/>
      <c r="S31" s="70"/>
      <c r="T31" s="61"/>
      <c r="U31" s="61"/>
      <c r="V31" s="62"/>
      <c r="W31" s="62"/>
      <c r="X31" s="65"/>
      <c r="Y31" s="65"/>
    </row>
    <row r="32" spans="6:25" x14ac:dyDescent="0.25">
      <c r="F32" s="68" t="s">
        <v>71</v>
      </c>
      <c r="G32" s="61"/>
      <c r="H32" s="61"/>
      <c r="I32" s="61"/>
      <c r="J32" s="61"/>
      <c r="K32" s="62"/>
      <c r="L32" s="62"/>
      <c r="M32" s="62"/>
      <c r="N32" s="62"/>
      <c r="O32" s="65"/>
      <c r="P32" s="65"/>
      <c r="Q32" s="65"/>
      <c r="R32" s="65"/>
      <c r="S32" s="70"/>
      <c r="T32" s="61"/>
      <c r="U32" s="61"/>
      <c r="V32" s="62"/>
      <c r="W32" s="62"/>
      <c r="X32" s="65"/>
      <c r="Y32" s="65"/>
    </row>
    <row r="33" spans="6:25" x14ac:dyDescent="0.25">
      <c r="F33" s="68" t="s">
        <v>72</v>
      </c>
      <c r="G33" s="61"/>
      <c r="H33" s="61"/>
      <c r="I33" s="61"/>
      <c r="J33" s="61"/>
      <c r="K33" s="62"/>
      <c r="L33" s="62"/>
      <c r="M33" s="62"/>
      <c r="N33" s="62"/>
      <c r="O33" s="65"/>
      <c r="P33" s="65"/>
      <c r="Q33" s="65"/>
      <c r="R33" s="65"/>
      <c r="S33" s="70"/>
      <c r="T33" s="61"/>
      <c r="U33" s="61"/>
      <c r="V33" s="62"/>
      <c r="W33" s="62"/>
      <c r="X33" s="65"/>
      <c r="Y33" s="65"/>
    </row>
    <row r="34" spans="6:25" x14ac:dyDescent="0.25">
      <c r="F34" s="68" t="s">
        <v>73</v>
      </c>
      <c r="G34" s="61"/>
      <c r="H34" s="61"/>
      <c r="I34" s="61"/>
      <c r="J34" s="61"/>
      <c r="K34" s="62"/>
      <c r="L34" s="62"/>
      <c r="M34" s="62"/>
      <c r="N34" s="62"/>
      <c r="O34" s="65"/>
      <c r="P34" s="65"/>
      <c r="Q34" s="65"/>
      <c r="R34" s="65"/>
      <c r="S34" s="70"/>
      <c r="T34" s="61"/>
      <c r="U34" s="61"/>
      <c r="V34" s="62"/>
      <c r="W34" s="62"/>
      <c r="X34" s="65"/>
      <c r="Y34" s="65"/>
    </row>
    <row r="35" spans="6:25" x14ac:dyDescent="0.25">
      <c r="F35" s="68" t="s">
        <v>74</v>
      </c>
      <c r="G35" s="61"/>
      <c r="H35" s="61"/>
      <c r="I35" s="61"/>
      <c r="J35" s="61"/>
      <c r="K35" s="62"/>
      <c r="L35" s="62"/>
      <c r="M35" s="62"/>
      <c r="N35" s="62"/>
      <c r="O35" s="65"/>
      <c r="P35" s="65"/>
      <c r="Q35" s="65"/>
      <c r="R35" s="65"/>
      <c r="S35" s="70"/>
      <c r="T35" s="61"/>
      <c r="U35" s="61"/>
      <c r="V35" s="62"/>
      <c r="W35" s="62"/>
      <c r="X35" s="65"/>
      <c r="Y35" s="65"/>
    </row>
    <row r="36" spans="6:25" x14ac:dyDescent="0.25">
      <c r="F36" s="68" t="s">
        <v>75</v>
      </c>
      <c r="G36" s="61"/>
      <c r="H36" s="61"/>
      <c r="I36" s="61"/>
      <c r="J36" s="61"/>
      <c r="K36" s="62"/>
      <c r="L36" s="62"/>
      <c r="M36" s="62"/>
      <c r="N36" s="62"/>
      <c r="O36" s="65"/>
      <c r="P36" s="65"/>
      <c r="Q36" s="65"/>
      <c r="R36" s="65"/>
      <c r="S36" s="70"/>
      <c r="T36" s="61"/>
      <c r="U36" s="61"/>
      <c r="V36" s="62"/>
      <c r="W36" s="62"/>
      <c r="X36" s="65"/>
      <c r="Y36" s="65"/>
    </row>
    <row r="37" spans="6:25" x14ac:dyDescent="0.25">
      <c r="F37" s="68" t="s">
        <v>76</v>
      </c>
      <c r="G37" s="61"/>
      <c r="H37" s="61"/>
      <c r="I37" s="61"/>
      <c r="J37" s="61"/>
      <c r="K37" s="62"/>
      <c r="L37" s="62"/>
      <c r="M37" s="62"/>
      <c r="N37" s="62"/>
      <c r="O37" s="65"/>
      <c r="P37" s="65"/>
      <c r="Q37" s="65"/>
      <c r="R37" s="65"/>
      <c r="S37" s="70"/>
      <c r="T37" s="61"/>
      <c r="U37" s="61"/>
      <c r="V37" s="62"/>
      <c r="W37" s="62"/>
      <c r="X37" s="65"/>
      <c r="Y37" s="65"/>
    </row>
    <row r="38" spans="6:25" x14ac:dyDescent="0.25">
      <c r="F38" s="68" t="s">
        <v>77</v>
      </c>
      <c r="G38" s="61"/>
      <c r="H38" s="61"/>
      <c r="I38" s="61"/>
      <c r="J38" s="61"/>
      <c r="K38" s="62"/>
      <c r="L38" s="62"/>
      <c r="M38" s="62"/>
      <c r="N38" s="62"/>
      <c r="O38" s="65"/>
      <c r="P38" s="65"/>
      <c r="Q38" s="65"/>
      <c r="R38" s="65"/>
      <c r="S38" s="70"/>
      <c r="T38" s="61"/>
      <c r="U38" s="61"/>
      <c r="V38" s="62"/>
      <c r="W38" s="62"/>
      <c r="X38" s="65"/>
      <c r="Y38" s="65"/>
    </row>
    <row r="39" spans="6:25" x14ac:dyDescent="0.25">
      <c r="F39" s="68" t="s">
        <v>78</v>
      </c>
      <c r="G39" s="61"/>
      <c r="H39" s="61"/>
      <c r="I39" s="61"/>
      <c r="J39" s="61"/>
      <c r="K39" s="62"/>
      <c r="L39" s="62"/>
      <c r="M39" s="62"/>
      <c r="N39" s="62"/>
      <c r="O39" s="65"/>
      <c r="P39" s="65"/>
      <c r="Q39" s="65"/>
      <c r="R39" s="65"/>
      <c r="S39" s="70"/>
      <c r="T39" s="61"/>
      <c r="U39" s="61"/>
      <c r="V39" s="62"/>
      <c r="W39" s="62"/>
      <c r="X39" s="65"/>
      <c r="Y39" s="65"/>
    </row>
    <row r="40" spans="6:25" x14ac:dyDescent="0.25">
      <c r="F40" s="68" t="s">
        <v>79</v>
      </c>
      <c r="G40" s="61"/>
      <c r="H40" s="61"/>
      <c r="I40" s="61"/>
      <c r="J40" s="61"/>
      <c r="K40" s="62"/>
      <c r="L40" s="62"/>
      <c r="M40" s="62"/>
      <c r="N40" s="62"/>
      <c r="O40" s="65"/>
      <c r="P40" s="65"/>
      <c r="Q40" s="65"/>
      <c r="R40" s="65"/>
      <c r="S40" s="70"/>
      <c r="T40" s="61"/>
      <c r="U40" s="61"/>
      <c r="V40" s="62"/>
      <c r="W40" s="62"/>
      <c r="X40" s="65"/>
      <c r="Y40" s="65"/>
    </row>
    <row r="41" spans="6:25" x14ac:dyDescent="0.25">
      <c r="F41" s="69" t="s">
        <v>80</v>
      </c>
      <c r="G41" s="64"/>
      <c r="H41" s="64"/>
      <c r="I41" s="64"/>
      <c r="J41" s="64"/>
      <c r="K41" s="66"/>
      <c r="L41" s="66"/>
      <c r="M41" s="66"/>
      <c r="N41" s="66"/>
      <c r="O41" s="63"/>
      <c r="P41" s="63"/>
      <c r="Q41" s="63"/>
      <c r="R41" s="63"/>
      <c r="S41" s="71"/>
      <c r="T41" s="64"/>
      <c r="U41" s="64"/>
      <c r="V41" s="66"/>
      <c r="W41" s="66"/>
      <c r="X41" s="63"/>
      <c r="Y41" s="63"/>
    </row>
    <row r="42" spans="6:25" x14ac:dyDescent="0.25">
      <c r="F42" s="69" t="s">
        <v>81</v>
      </c>
      <c r="G42" s="64"/>
      <c r="H42" s="64"/>
      <c r="I42" s="64"/>
      <c r="J42" s="64"/>
      <c r="K42" s="66"/>
      <c r="L42" s="66"/>
      <c r="M42" s="66"/>
      <c r="N42" s="66"/>
      <c r="O42" s="63"/>
      <c r="P42" s="63"/>
      <c r="Q42" s="63"/>
      <c r="R42" s="63"/>
      <c r="S42" s="71"/>
      <c r="T42" s="64"/>
      <c r="U42" s="64"/>
      <c r="V42" s="66"/>
      <c r="W42" s="66"/>
      <c r="X42" s="63"/>
      <c r="Y42" s="63"/>
    </row>
    <row r="43" spans="6:25" x14ac:dyDescent="0.25">
      <c r="F43" s="69" t="s">
        <v>82</v>
      </c>
      <c r="G43" s="64"/>
      <c r="H43" s="64"/>
      <c r="I43" s="64"/>
      <c r="J43" s="64"/>
      <c r="K43" s="66"/>
      <c r="L43" s="66"/>
      <c r="M43" s="66"/>
      <c r="N43" s="66"/>
      <c r="O43" s="63"/>
      <c r="P43" s="63"/>
      <c r="Q43" s="63"/>
      <c r="R43" s="63"/>
      <c r="S43" s="71"/>
      <c r="T43" s="64"/>
      <c r="U43" s="64"/>
      <c r="V43" s="66"/>
      <c r="W43" s="66"/>
      <c r="X43" s="63"/>
      <c r="Y43" s="63"/>
    </row>
    <row r="44" spans="6:25" x14ac:dyDescent="0.25">
      <c r="F44" s="69" t="s">
        <v>83</v>
      </c>
      <c r="G44" s="64"/>
      <c r="H44" s="64"/>
      <c r="I44" s="64"/>
      <c r="J44" s="64"/>
      <c r="K44" s="66"/>
      <c r="L44" s="66"/>
      <c r="M44" s="66"/>
      <c r="N44" s="66"/>
      <c r="O44" s="63"/>
      <c r="P44" s="63"/>
      <c r="Q44" s="63"/>
      <c r="R44" s="63"/>
      <c r="S44" s="71"/>
      <c r="T44" s="64"/>
      <c r="U44" s="64"/>
      <c r="V44" s="66"/>
      <c r="W44" s="66"/>
      <c r="X44" s="63"/>
      <c r="Y44" s="63"/>
    </row>
    <row r="45" spans="6:25" x14ac:dyDescent="0.25">
      <c r="F45" s="69" t="s">
        <v>84</v>
      </c>
      <c r="G45" s="64"/>
      <c r="H45" s="64"/>
      <c r="I45" s="64"/>
      <c r="J45" s="64"/>
      <c r="K45" s="66"/>
      <c r="L45" s="66"/>
      <c r="M45" s="66"/>
      <c r="N45" s="66"/>
      <c r="O45" s="63"/>
      <c r="P45" s="63"/>
      <c r="Q45" s="63"/>
      <c r="R45" s="63"/>
      <c r="S45" s="71"/>
      <c r="T45" s="64"/>
      <c r="U45" s="64"/>
      <c r="V45" s="66"/>
      <c r="W45" s="66"/>
      <c r="X45" s="63"/>
      <c r="Y45" s="63"/>
    </row>
    <row r="46" spans="6:25" x14ac:dyDescent="0.25">
      <c r="F46" s="69" t="s">
        <v>85</v>
      </c>
      <c r="G46" s="64"/>
      <c r="H46" s="64"/>
      <c r="I46" s="64"/>
      <c r="J46" s="64"/>
      <c r="K46" s="66"/>
      <c r="L46" s="66"/>
      <c r="M46" s="66"/>
      <c r="N46" s="66"/>
      <c r="O46" s="63"/>
      <c r="P46" s="63"/>
      <c r="Q46" s="63"/>
      <c r="R46" s="63"/>
      <c r="S46" s="71"/>
      <c r="T46" s="64"/>
      <c r="U46" s="64"/>
      <c r="V46" s="66"/>
      <c r="W46" s="66"/>
      <c r="X46" s="63"/>
      <c r="Y46" s="63"/>
    </row>
    <row r="47" spans="6:25" x14ac:dyDescent="0.25">
      <c r="F47" s="69" t="s">
        <v>86</v>
      </c>
      <c r="G47" s="64"/>
      <c r="H47" s="64"/>
      <c r="I47" s="64"/>
      <c r="J47" s="64"/>
      <c r="K47" s="66"/>
      <c r="L47" s="66"/>
      <c r="M47" s="66"/>
      <c r="N47" s="66"/>
      <c r="O47" s="63"/>
      <c r="P47" s="63"/>
      <c r="Q47" s="63"/>
      <c r="R47" s="63"/>
      <c r="S47" s="71"/>
      <c r="T47" s="64"/>
      <c r="U47" s="64"/>
      <c r="V47" s="66"/>
      <c r="W47" s="66"/>
      <c r="X47" s="63"/>
      <c r="Y47" s="63"/>
    </row>
    <row r="48" spans="6:25" x14ac:dyDescent="0.25">
      <c r="F48" s="69" t="s">
        <v>87</v>
      </c>
      <c r="G48" s="64"/>
      <c r="H48" s="64"/>
      <c r="I48" s="64"/>
      <c r="J48" s="64"/>
      <c r="K48" s="66"/>
      <c r="L48" s="66"/>
      <c r="M48" s="66"/>
      <c r="N48" s="66"/>
      <c r="O48" s="63"/>
      <c r="P48" s="63"/>
      <c r="Q48" s="63"/>
      <c r="R48" s="63"/>
      <c r="S48" s="71"/>
      <c r="T48" s="64"/>
      <c r="U48" s="64"/>
      <c r="V48" s="66"/>
      <c r="W48" s="66"/>
      <c r="X48" s="63"/>
      <c r="Y48" s="63"/>
    </row>
    <row r="49" spans="6:25" x14ac:dyDescent="0.25">
      <c r="F49" s="69" t="s">
        <v>88</v>
      </c>
      <c r="G49" s="64"/>
      <c r="H49" s="64"/>
      <c r="I49" s="64"/>
      <c r="J49" s="64"/>
      <c r="K49" s="66"/>
      <c r="L49" s="66"/>
      <c r="M49" s="66"/>
      <c r="N49" s="66"/>
      <c r="O49" s="63"/>
      <c r="P49" s="63"/>
      <c r="Q49" s="63"/>
      <c r="R49" s="63"/>
      <c r="S49" s="71"/>
      <c r="T49" s="64"/>
      <c r="U49" s="64"/>
      <c r="V49" s="66"/>
      <c r="W49" s="66"/>
      <c r="X49" s="63"/>
      <c r="Y49" s="63"/>
    </row>
    <row r="50" spans="6:25" x14ac:dyDescent="0.25">
      <c r="F50" s="69" t="s">
        <v>89</v>
      </c>
      <c r="G50" s="64"/>
      <c r="H50" s="64"/>
      <c r="I50" s="64"/>
      <c r="J50" s="64"/>
      <c r="K50" s="66"/>
      <c r="L50" s="66"/>
      <c r="M50" s="66"/>
      <c r="N50" s="66"/>
      <c r="O50" s="63"/>
      <c r="P50" s="63"/>
      <c r="Q50" s="63"/>
      <c r="R50" s="63"/>
      <c r="S50" s="71"/>
      <c r="T50" s="64"/>
      <c r="U50" s="64"/>
      <c r="V50" s="66"/>
      <c r="W50" s="66"/>
      <c r="X50" s="63"/>
      <c r="Y50" s="63"/>
    </row>
    <row r="51" spans="6:25" x14ac:dyDescent="0.25">
      <c r="F51" s="69" t="s">
        <v>90</v>
      </c>
      <c r="G51" s="64"/>
      <c r="H51" s="64"/>
      <c r="I51" s="64"/>
      <c r="J51" s="64"/>
      <c r="K51" s="66"/>
      <c r="L51" s="66"/>
      <c r="M51" s="66"/>
      <c r="N51" s="66"/>
      <c r="O51" s="63"/>
      <c r="P51" s="63"/>
      <c r="Q51" s="63"/>
      <c r="R51" s="63"/>
      <c r="S51" s="71"/>
      <c r="T51" s="64"/>
      <c r="U51" s="64"/>
      <c r="V51" s="66"/>
      <c r="W51" s="66"/>
      <c r="X51" s="63"/>
      <c r="Y51" s="63"/>
    </row>
    <row r="52" spans="6:25" x14ac:dyDescent="0.25">
      <c r="F52" s="69" t="s">
        <v>91</v>
      </c>
      <c r="G52" s="64"/>
      <c r="H52" s="64"/>
      <c r="I52" s="64"/>
      <c r="J52" s="64"/>
      <c r="K52" s="66"/>
      <c r="L52" s="66"/>
      <c r="M52" s="66"/>
      <c r="N52" s="66"/>
      <c r="O52" s="63"/>
      <c r="P52" s="63"/>
      <c r="Q52" s="63"/>
      <c r="R52" s="63"/>
      <c r="S52" s="71"/>
      <c r="T52" s="64"/>
      <c r="U52" s="64"/>
      <c r="V52" s="66"/>
      <c r="W52" s="66"/>
      <c r="X52" s="63"/>
      <c r="Y52" s="63"/>
    </row>
    <row r="53" spans="6:25" x14ac:dyDescent="0.25">
      <c r="F53" s="69" t="s">
        <v>92</v>
      </c>
      <c r="G53" s="64"/>
      <c r="H53" s="64"/>
      <c r="I53" s="64"/>
      <c r="J53" s="64"/>
      <c r="K53" s="66"/>
      <c r="L53" s="66"/>
      <c r="M53" s="66"/>
      <c r="N53" s="66"/>
      <c r="O53" s="63"/>
      <c r="P53" s="63"/>
      <c r="Q53" s="63"/>
      <c r="R53" s="63"/>
      <c r="S53" s="71"/>
      <c r="T53" s="64"/>
      <c r="U53" s="64"/>
      <c r="V53" s="66"/>
      <c r="W53" s="66"/>
      <c r="X53" s="63"/>
      <c r="Y53" s="63"/>
    </row>
    <row r="54" spans="6:25" x14ac:dyDescent="0.25">
      <c r="F54" s="69" t="s">
        <v>93</v>
      </c>
      <c r="G54" s="64"/>
      <c r="H54" s="64"/>
      <c r="I54" s="64"/>
      <c r="J54" s="64"/>
      <c r="K54" s="66"/>
      <c r="L54" s="66"/>
      <c r="M54" s="66"/>
      <c r="N54" s="66"/>
      <c r="O54" s="63"/>
      <c r="P54" s="63"/>
      <c r="Q54" s="63"/>
      <c r="R54" s="63"/>
      <c r="S54" s="71"/>
      <c r="T54" s="64"/>
      <c r="U54" s="64"/>
      <c r="V54" s="66"/>
      <c r="W54" s="66"/>
      <c r="X54" s="63"/>
      <c r="Y54" s="63"/>
    </row>
    <row r="55" spans="6:25" x14ac:dyDescent="0.25">
      <c r="F55" s="69" t="s">
        <v>94</v>
      </c>
      <c r="G55" s="64"/>
      <c r="H55" s="64"/>
      <c r="I55" s="64"/>
      <c r="J55" s="64"/>
      <c r="K55" s="66"/>
      <c r="L55" s="66"/>
      <c r="M55" s="66"/>
      <c r="N55" s="66"/>
      <c r="O55" s="63"/>
      <c r="P55" s="63"/>
      <c r="Q55" s="63"/>
      <c r="R55" s="63"/>
      <c r="S55" s="71"/>
      <c r="T55" s="64"/>
      <c r="U55" s="64"/>
      <c r="V55" s="66"/>
      <c r="W55" s="66"/>
      <c r="X55" s="63"/>
      <c r="Y55" s="63"/>
    </row>
    <row r="56" spans="6:25" x14ac:dyDescent="0.25">
      <c r="F56" s="68" t="s">
        <v>95</v>
      </c>
      <c r="G56" s="61"/>
      <c r="H56" s="61"/>
      <c r="I56" s="61"/>
      <c r="J56" s="61"/>
      <c r="K56" s="62"/>
      <c r="L56" s="62"/>
      <c r="M56" s="62"/>
      <c r="N56" s="62"/>
      <c r="O56" s="65"/>
      <c r="P56" s="65"/>
      <c r="Q56" s="65"/>
      <c r="R56" s="65"/>
      <c r="S56" s="70"/>
      <c r="T56" s="59"/>
      <c r="U56" s="59"/>
      <c r="V56" s="60"/>
      <c r="W56" s="60"/>
      <c r="X56" s="67"/>
      <c r="Y56" s="67"/>
    </row>
    <row r="57" spans="6:25" x14ac:dyDescent="0.25">
      <c r="F57" s="68" t="s">
        <v>96</v>
      </c>
      <c r="G57" s="61"/>
      <c r="H57" s="61"/>
      <c r="I57" s="61"/>
      <c r="J57" s="61"/>
      <c r="K57" s="62"/>
      <c r="L57" s="62"/>
      <c r="M57" s="62"/>
      <c r="N57" s="62"/>
      <c r="O57" s="65"/>
      <c r="P57" s="65"/>
      <c r="Q57" s="65"/>
      <c r="R57" s="65"/>
      <c r="S57" s="70"/>
      <c r="T57" s="59"/>
      <c r="U57" s="59"/>
      <c r="V57" s="60"/>
      <c r="W57" s="60"/>
      <c r="X57" s="67"/>
      <c r="Y57" s="67"/>
    </row>
    <row r="58" spans="6:25" x14ac:dyDescent="0.25">
      <c r="F58" s="68" t="s">
        <v>97</v>
      </c>
      <c r="G58" s="61"/>
      <c r="H58" s="61"/>
      <c r="I58" s="61"/>
      <c r="J58" s="61"/>
      <c r="K58" s="62"/>
      <c r="L58" s="62"/>
      <c r="M58" s="62"/>
      <c r="N58" s="62"/>
      <c r="O58" s="65"/>
      <c r="P58" s="65"/>
      <c r="Q58" s="65"/>
      <c r="R58" s="65"/>
      <c r="S58" s="70"/>
      <c r="T58" s="59"/>
      <c r="U58" s="59"/>
      <c r="V58" s="60"/>
      <c r="W58" s="60"/>
      <c r="X58" s="67"/>
      <c r="Y58" s="67"/>
    </row>
    <row r="59" spans="6:25" x14ac:dyDescent="0.25">
      <c r="F59" s="68" t="s">
        <v>98</v>
      </c>
      <c r="G59" s="61"/>
      <c r="H59" s="61"/>
      <c r="I59" s="61"/>
      <c r="J59" s="61"/>
      <c r="K59" s="62"/>
      <c r="L59" s="62"/>
      <c r="M59" s="62"/>
      <c r="N59" s="62"/>
      <c r="O59" s="65"/>
      <c r="P59" s="65"/>
      <c r="Q59" s="65"/>
      <c r="R59" s="65"/>
      <c r="S59" s="70"/>
      <c r="T59" s="59"/>
      <c r="U59" s="59"/>
      <c r="V59" s="60"/>
      <c r="W59" s="60"/>
      <c r="X59" s="67"/>
      <c r="Y59" s="67"/>
    </row>
    <row r="60" spans="6:25" x14ac:dyDescent="0.25">
      <c r="F60" s="68" t="s">
        <v>99</v>
      </c>
      <c r="G60" s="61"/>
      <c r="H60" s="61"/>
      <c r="I60" s="61"/>
      <c r="J60" s="61"/>
      <c r="K60" s="62"/>
      <c r="L60" s="62"/>
      <c r="M60" s="62"/>
      <c r="N60" s="62"/>
      <c r="O60" s="65"/>
      <c r="P60" s="65"/>
      <c r="Q60" s="65"/>
      <c r="R60" s="65"/>
      <c r="S60" s="70"/>
      <c r="T60" s="59"/>
      <c r="U60" s="59"/>
      <c r="V60" s="60"/>
      <c r="W60" s="60"/>
      <c r="X60" s="67"/>
      <c r="Y60" s="67"/>
    </row>
    <row r="61" spans="6:25" x14ac:dyDescent="0.25">
      <c r="F61" s="68" t="s">
        <v>100</v>
      </c>
      <c r="G61" s="61"/>
      <c r="H61" s="61"/>
      <c r="I61" s="61"/>
      <c r="J61" s="61"/>
      <c r="K61" s="62"/>
      <c r="L61" s="62"/>
      <c r="M61" s="62"/>
      <c r="N61" s="62"/>
      <c r="O61" s="65"/>
      <c r="P61" s="65"/>
      <c r="Q61" s="65"/>
      <c r="R61" s="65"/>
      <c r="S61" s="70"/>
      <c r="T61" s="59"/>
      <c r="U61" s="59"/>
      <c r="V61" s="60"/>
      <c r="W61" s="60"/>
      <c r="X61" s="67"/>
      <c r="Y61" s="67"/>
    </row>
    <row r="62" spans="6:25" x14ac:dyDescent="0.25">
      <c r="F62" s="68" t="s">
        <v>101</v>
      </c>
      <c r="G62" s="61"/>
      <c r="H62" s="61"/>
      <c r="I62" s="61"/>
      <c r="J62" s="61"/>
      <c r="K62" s="62"/>
      <c r="L62" s="62"/>
      <c r="M62" s="62"/>
      <c r="N62" s="62"/>
      <c r="O62" s="65"/>
      <c r="P62" s="65"/>
      <c r="Q62" s="65"/>
      <c r="R62" s="65"/>
      <c r="S62" s="70"/>
      <c r="T62" s="59"/>
      <c r="U62" s="59"/>
      <c r="V62" s="60"/>
      <c r="W62" s="60"/>
      <c r="X62" s="67"/>
      <c r="Y62" s="67"/>
    </row>
    <row r="63" spans="6:25" x14ac:dyDescent="0.25">
      <c r="F63" s="68" t="s">
        <v>102</v>
      </c>
      <c r="G63" s="61"/>
      <c r="H63" s="61"/>
      <c r="I63" s="61"/>
      <c r="J63" s="61"/>
      <c r="K63" s="62"/>
      <c r="L63" s="62"/>
      <c r="M63" s="62"/>
      <c r="N63" s="62"/>
      <c r="O63" s="65"/>
      <c r="P63" s="65"/>
      <c r="Q63" s="65"/>
      <c r="R63" s="65"/>
      <c r="S63" s="70"/>
      <c r="T63" s="59"/>
      <c r="U63" s="59"/>
      <c r="V63" s="60"/>
      <c r="W63" s="60"/>
      <c r="X63" s="67"/>
      <c r="Y63" s="67"/>
    </row>
    <row r="64" spans="6:25" x14ac:dyDescent="0.25">
      <c r="F64" s="68" t="s">
        <v>103</v>
      </c>
      <c r="G64" s="61"/>
      <c r="H64" s="61"/>
      <c r="I64" s="61"/>
      <c r="J64" s="61"/>
      <c r="K64" s="62"/>
      <c r="L64" s="62"/>
      <c r="M64" s="62"/>
      <c r="N64" s="62"/>
      <c r="O64" s="65"/>
      <c r="P64" s="65"/>
      <c r="Q64" s="65"/>
      <c r="R64" s="65"/>
      <c r="S64" s="70"/>
      <c r="T64" s="59"/>
      <c r="U64" s="59"/>
      <c r="V64" s="60"/>
      <c r="W64" s="60"/>
      <c r="X64" s="67"/>
      <c r="Y64" s="67"/>
    </row>
    <row r="65" spans="6:25" x14ac:dyDescent="0.25">
      <c r="F65" s="68" t="s">
        <v>104</v>
      </c>
      <c r="G65" s="61"/>
      <c r="H65" s="61"/>
      <c r="I65" s="61"/>
      <c r="J65" s="61"/>
      <c r="K65" s="62"/>
      <c r="L65" s="62"/>
      <c r="M65" s="62"/>
      <c r="N65" s="62"/>
      <c r="O65" s="65"/>
      <c r="P65" s="65"/>
      <c r="Q65" s="65"/>
      <c r="R65" s="65"/>
      <c r="S65" s="70"/>
      <c r="T65" s="59"/>
      <c r="U65" s="59"/>
      <c r="V65" s="60"/>
      <c r="W65" s="60"/>
      <c r="X65" s="67"/>
      <c r="Y65" s="67"/>
    </row>
    <row r="66" spans="6:25" x14ac:dyDescent="0.25">
      <c r="F66" s="68" t="s">
        <v>105</v>
      </c>
      <c r="G66" s="61"/>
      <c r="H66" s="61"/>
      <c r="I66" s="61"/>
      <c r="J66" s="61"/>
      <c r="K66" s="62"/>
      <c r="L66" s="62"/>
      <c r="M66" s="62"/>
      <c r="N66" s="62"/>
      <c r="O66" s="65"/>
      <c r="P66" s="65"/>
      <c r="Q66" s="65"/>
      <c r="R66" s="65"/>
      <c r="S66" s="70"/>
      <c r="T66" s="59"/>
      <c r="U66" s="59"/>
      <c r="V66" s="60"/>
      <c r="W66" s="60"/>
      <c r="X66" s="67"/>
      <c r="Y66" s="67"/>
    </row>
    <row r="67" spans="6:25" x14ac:dyDescent="0.25">
      <c r="F67" s="68" t="s">
        <v>106</v>
      </c>
      <c r="G67" s="61"/>
      <c r="H67" s="61"/>
      <c r="I67" s="61"/>
      <c r="J67" s="61"/>
      <c r="K67" s="62"/>
      <c r="L67" s="62"/>
      <c r="M67" s="62"/>
      <c r="N67" s="62"/>
      <c r="O67" s="65"/>
      <c r="P67" s="65"/>
      <c r="Q67" s="65"/>
      <c r="R67" s="65"/>
      <c r="S67" s="70"/>
      <c r="T67" s="59"/>
      <c r="U67" s="59"/>
      <c r="V67" s="60"/>
      <c r="W67" s="60"/>
      <c r="X67" s="67"/>
      <c r="Y67" s="67"/>
    </row>
    <row r="68" spans="6:25" x14ac:dyDescent="0.25">
      <c r="F68" s="68" t="s">
        <v>107</v>
      </c>
      <c r="G68" s="61"/>
      <c r="H68" s="61"/>
      <c r="I68" s="61"/>
      <c r="J68" s="61"/>
      <c r="K68" s="62"/>
      <c r="L68" s="62"/>
      <c r="M68" s="62"/>
      <c r="N68" s="62"/>
      <c r="O68" s="65"/>
      <c r="P68" s="65"/>
      <c r="Q68" s="65"/>
      <c r="R68" s="65"/>
      <c r="S68" s="70"/>
      <c r="T68" s="59"/>
      <c r="U68" s="59"/>
      <c r="V68" s="60"/>
      <c r="W68" s="60"/>
      <c r="X68" s="67"/>
      <c r="Y68" s="67"/>
    </row>
    <row r="69" spans="6:25" x14ac:dyDescent="0.25">
      <c r="F69" s="68" t="s">
        <v>108</v>
      </c>
      <c r="G69" s="61"/>
      <c r="H69" s="61"/>
      <c r="I69" s="61"/>
      <c r="J69" s="61"/>
      <c r="K69" s="62"/>
      <c r="L69" s="62"/>
      <c r="M69" s="62"/>
      <c r="N69" s="62"/>
      <c r="O69" s="65"/>
      <c r="P69" s="65"/>
      <c r="Q69" s="65"/>
      <c r="R69" s="65"/>
      <c r="S69" s="70"/>
      <c r="T69" s="59"/>
      <c r="U69" s="59"/>
      <c r="V69" s="60"/>
      <c r="W69" s="60"/>
      <c r="X69" s="67"/>
      <c r="Y69" s="67"/>
    </row>
    <row r="70" spans="6:25" x14ac:dyDescent="0.25">
      <c r="F70" s="68" t="s">
        <v>109</v>
      </c>
      <c r="G70" s="61"/>
      <c r="H70" s="61"/>
      <c r="I70" s="61"/>
      <c r="J70" s="61"/>
      <c r="K70" s="62"/>
      <c r="L70" s="62"/>
      <c r="M70" s="62"/>
      <c r="N70" s="62"/>
      <c r="O70" s="65"/>
      <c r="P70" s="65"/>
      <c r="Q70" s="65"/>
      <c r="R70" s="65"/>
      <c r="S70" s="70"/>
      <c r="T70" s="59"/>
      <c r="U70" s="59"/>
      <c r="V70" s="60"/>
      <c r="W70" s="60"/>
      <c r="X70" s="67"/>
      <c r="Y70" s="67"/>
    </row>
    <row r="71" spans="6:25" x14ac:dyDescent="0.25">
      <c r="F71" s="68" t="s">
        <v>110</v>
      </c>
      <c r="G71" s="61"/>
      <c r="H71" s="61"/>
      <c r="I71" s="61"/>
      <c r="J71" s="61"/>
      <c r="K71" s="62"/>
      <c r="L71" s="62"/>
      <c r="M71" s="62"/>
      <c r="N71" s="62"/>
      <c r="O71" s="65"/>
      <c r="P71" s="65"/>
      <c r="Q71" s="65"/>
      <c r="R71" s="65"/>
      <c r="S71" s="70"/>
      <c r="T71" s="59"/>
      <c r="U71" s="59"/>
      <c r="V71" s="60"/>
      <c r="W71" s="60"/>
      <c r="X71" s="67"/>
      <c r="Y71" s="67"/>
    </row>
    <row r="72" spans="6:25" x14ac:dyDescent="0.25">
      <c r="F72" s="69" t="s">
        <v>111</v>
      </c>
      <c r="G72" s="64"/>
      <c r="H72" s="64"/>
      <c r="I72" s="64"/>
      <c r="J72" s="64"/>
      <c r="K72" s="66"/>
      <c r="L72" s="66"/>
      <c r="M72" s="66"/>
      <c r="N72" s="66"/>
      <c r="O72" s="63"/>
      <c r="P72" s="63"/>
      <c r="Q72" s="63"/>
      <c r="R72" s="63"/>
      <c r="S72" s="71"/>
      <c r="T72" s="64"/>
      <c r="U72" s="64"/>
      <c r="V72" s="66"/>
      <c r="W72" s="66"/>
      <c r="X72" s="63"/>
      <c r="Y72" s="63"/>
    </row>
    <row r="73" spans="6:25" x14ac:dyDescent="0.25">
      <c r="F73" s="69" t="s">
        <v>112</v>
      </c>
      <c r="G73" s="64"/>
      <c r="H73" s="64"/>
      <c r="I73" s="64"/>
      <c r="J73" s="64"/>
      <c r="K73" s="66"/>
      <c r="L73" s="66"/>
      <c r="M73" s="66"/>
      <c r="N73" s="66"/>
      <c r="O73" s="63"/>
      <c r="P73" s="63"/>
      <c r="Q73" s="63"/>
      <c r="R73" s="63"/>
      <c r="S73" s="71"/>
      <c r="T73" s="64"/>
      <c r="U73" s="64"/>
      <c r="V73" s="66"/>
      <c r="W73" s="66"/>
      <c r="X73" s="63"/>
      <c r="Y73" s="63"/>
    </row>
    <row r="74" spans="6:25" x14ac:dyDescent="0.25">
      <c r="F74" s="69" t="s">
        <v>113</v>
      </c>
      <c r="G74" s="64"/>
      <c r="H74" s="64"/>
      <c r="I74" s="64"/>
      <c r="J74" s="64"/>
      <c r="K74" s="66"/>
      <c r="L74" s="66"/>
      <c r="M74" s="66"/>
      <c r="N74" s="66"/>
      <c r="O74" s="63"/>
      <c r="P74" s="63"/>
      <c r="Q74" s="63"/>
      <c r="R74" s="63"/>
      <c r="S74" s="71"/>
      <c r="T74" s="64"/>
      <c r="U74" s="64"/>
      <c r="V74" s="66"/>
      <c r="W74" s="66"/>
      <c r="X74" s="63"/>
      <c r="Y74" s="63"/>
    </row>
    <row r="75" spans="6:25" x14ac:dyDescent="0.25">
      <c r="F75" s="69" t="s">
        <v>114</v>
      </c>
      <c r="G75" s="64"/>
      <c r="H75" s="64"/>
      <c r="I75" s="64"/>
      <c r="J75" s="64"/>
      <c r="K75" s="66"/>
      <c r="L75" s="66"/>
      <c r="M75" s="66"/>
      <c r="N75" s="66"/>
      <c r="O75" s="63"/>
      <c r="P75" s="63"/>
      <c r="Q75" s="63"/>
      <c r="R75" s="63"/>
      <c r="S75" s="71"/>
      <c r="T75" s="64"/>
      <c r="U75" s="64"/>
      <c r="V75" s="66"/>
      <c r="W75" s="66"/>
      <c r="X75" s="63"/>
      <c r="Y75" s="63"/>
    </row>
    <row r="76" spans="6:25" x14ac:dyDescent="0.25">
      <c r="F76" s="69" t="s">
        <v>115</v>
      </c>
      <c r="G76" s="64"/>
      <c r="H76" s="64"/>
      <c r="I76" s="64"/>
      <c r="J76" s="64"/>
      <c r="K76" s="66"/>
      <c r="L76" s="66"/>
      <c r="M76" s="66"/>
      <c r="N76" s="66"/>
      <c r="O76" s="63"/>
      <c r="P76" s="63"/>
      <c r="Q76" s="63"/>
      <c r="R76" s="63"/>
      <c r="S76" s="71"/>
      <c r="T76" s="64"/>
      <c r="U76" s="64"/>
      <c r="V76" s="66"/>
      <c r="W76" s="66"/>
      <c r="X76" s="63"/>
      <c r="Y76" s="63"/>
    </row>
    <row r="77" spans="6:25" x14ac:dyDescent="0.25">
      <c r="F77" s="69" t="s">
        <v>116</v>
      </c>
      <c r="G77" s="64"/>
      <c r="H77" s="64"/>
      <c r="I77" s="64"/>
      <c r="J77" s="64"/>
      <c r="K77" s="66"/>
      <c r="L77" s="66"/>
      <c r="M77" s="66"/>
      <c r="N77" s="66"/>
      <c r="O77" s="63"/>
      <c r="P77" s="63"/>
      <c r="Q77" s="63"/>
      <c r="R77" s="63"/>
      <c r="S77" s="71"/>
      <c r="T77" s="64"/>
      <c r="U77" s="64"/>
      <c r="V77" s="66"/>
      <c r="W77" s="66"/>
      <c r="X77" s="63"/>
      <c r="Y77" s="63"/>
    </row>
    <row r="78" spans="6:25" x14ac:dyDescent="0.25">
      <c r="F78" s="69" t="s">
        <v>117</v>
      </c>
      <c r="G78" s="64"/>
      <c r="H78" s="64"/>
      <c r="I78" s="64"/>
      <c r="J78" s="64"/>
      <c r="K78" s="66"/>
      <c r="L78" s="66"/>
      <c r="M78" s="66"/>
      <c r="N78" s="66"/>
      <c r="O78" s="63"/>
      <c r="P78" s="63"/>
      <c r="Q78" s="63"/>
      <c r="R78" s="63"/>
      <c r="S78" s="71"/>
      <c r="T78" s="64"/>
      <c r="U78" s="64"/>
      <c r="V78" s="66"/>
      <c r="W78" s="66"/>
      <c r="X78" s="63"/>
      <c r="Y78" s="63"/>
    </row>
    <row r="79" spans="6:25" x14ac:dyDescent="0.25">
      <c r="F79" s="69" t="s">
        <v>118</v>
      </c>
      <c r="G79" s="64"/>
      <c r="H79" s="64"/>
      <c r="I79" s="64"/>
      <c r="J79" s="64"/>
      <c r="K79" s="66"/>
      <c r="L79" s="66"/>
      <c r="M79" s="66"/>
      <c r="N79" s="66"/>
      <c r="O79" s="63"/>
      <c r="P79" s="63"/>
      <c r="Q79" s="63"/>
      <c r="R79" s="63"/>
      <c r="S79" s="71"/>
      <c r="T79" s="64"/>
      <c r="U79" s="64"/>
      <c r="V79" s="66"/>
      <c r="W79" s="66"/>
      <c r="X79" s="63"/>
      <c r="Y79" s="63"/>
    </row>
    <row r="80" spans="6:25" x14ac:dyDescent="0.25">
      <c r="F80" s="69" t="s">
        <v>119</v>
      </c>
      <c r="G80" s="64"/>
      <c r="H80" s="64"/>
      <c r="I80" s="64"/>
      <c r="J80" s="64"/>
      <c r="K80" s="66"/>
      <c r="L80" s="66"/>
      <c r="M80" s="66"/>
      <c r="N80" s="66"/>
      <c r="O80" s="63"/>
      <c r="P80" s="63"/>
      <c r="Q80" s="63"/>
      <c r="R80" s="63"/>
      <c r="S80" s="71"/>
      <c r="T80" s="64"/>
      <c r="U80" s="64"/>
      <c r="V80" s="66"/>
      <c r="W80" s="66"/>
      <c r="X80" s="63"/>
      <c r="Y80" s="63"/>
    </row>
    <row r="81" spans="6:25" x14ac:dyDescent="0.25">
      <c r="F81" s="69" t="s">
        <v>120</v>
      </c>
      <c r="G81" s="64"/>
      <c r="H81" s="64"/>
      <c r="I81" s="64"/>
      <c r="J81" s="64"/>
      <c r="K81" s="66"/>
      <c r="L81" s="66"/>
      <c r="M81" s="66"/>
      <c r="N81" s="66"/>
      <c r="O81" s="63"/>
      <c r="P81" s="63"/>
      <c r="Q81" s="63"/>
      <c r="R81" s="63"/>
      <c r="S81" s="71"/>
      <c r="T81" s="64"/>
      <c r="U81" s="64"/>
      <c r="V81" s="66"/>
      <c r="W81" s="66"/>
      <c r="X81" s="63"/>
      <c r="Y81" s="63"/>
    </row>
    <row r="82" spans="6:25" x14ac:dyDescent="0.25">
      <c r="F82" s="69" t="s">
        <v>121</v>
      </c>
      <c r="G82" s="64"/>
      <c r="H82" s="64"/>
      <c r="I82" s="64"/>
      <c r="J82" s="64"/>
      <c r="K82" s="66"/>
      <c r="L82" s="66"/>
      <c r="M82" s="66"/>
      <c r="N82" s="66"/>
      <c r="O82" s="63"/>
      <c r="P82" s="63"/>
      <c r="Q82" s="63"/>
      <c r="R82" s="63"/>
      <c r="S82" s="71"/>
      <c r="T82" s="64"/>
      <c r="U82" s="64"/>
      <c r="V82" s="66"/>
      <c r="W82" s="66"/>
      <c r="X82" s="63"/>
      <c r="Y82" s="63"/>
    </row>
    <row r="83" spans="6:25" x14ac:dyDescent="0.25">
      <c r="F83" s="69" t="s">
        <v>122</v>
      </c>
      <c r="G83" s="64"/>
      <c r="H83" s="64"/>
      <c r="I83" s="64"/>
      <c r="J83" s="64"/>
      <c r="K83" s="66"/>
      <c r="L83" s="66"/>
      <c r="M83" s="66"/>
      <c r="N83" s="66"/>
      <c r="O83" s="63"/>
      <c r="P83" s="63"/>
      <c r="Q83" s="63"/>
      <c r="R83" s="63"/>
      <c r="S83" s="71"/>
      <c r="T83" s="64"/>
      <c r="U83" s="64"/>
      <c r="V83" s="66"/>
      <c r="W83" s="66"/>
      <c r="X83" s="63"/>
      <c r="Y83" s="63"/>
    </row>
    <row r="84" spans="6:25" x14ac:dyDescent="0.25">
      <c r="F84" s="69" t="s">
        <v>123</v>
      </c>
      <c r="G84" s="64"/>
      <c r="H84" s="64"/>
      <c r="I84" s="64"/>
      <c r="J84" s="64"/>
      <c r="K84" s="66"/>
      <c r="L84" s="66"/>
      <c r="M84" s="66"/>
      <c r="N84" s="66"/>
      <c r="O84" s="63"/>
      <c r="P84" s="63"/>
      <c r="Q84" s="63"/>
      <c r="R84" s="63"/>
      <c r="S84" s="71"/>
      <c r="T84" s="64"/>
      <c r="U84" s="64"/>
      <c r="V84" s="66"/>
      <c r="W84" s="66"/>
      <c r="X84" s="63"/>
      <c r="Y84" s="63"/>
    </row>
    <row r="85" spans="6:25" x14ac:dyDescent="0.25">
      <c r="F85" s="69" t="s">
        <v>124</v>
      </c>
      <c r="G85" s="64"/>
      <c r="H85" s="64"/>
      <c r="I85" s="64"/>
      <c r="J85" s="64"/>
      <c r="K85" s="66"/>
      <c r="L85" s="66"/>
      <c r="M85" s="66"/>
      <c r="N85" s="66"/>
      <c r="O85" s="63"/>
      <c r="P85" s="63"/>
      <c r="Q85" s="63"/>
      <c r="R85" s="63"/>
      <c r="S85" s="71"/>
      <c r="T85" s="64"/>
      <c r="U85" s="64"/>
      <c r="V85" s="66"/>
      <c r="W85" s="66"/>
      <c r="X85" s="63"/>
      <c r="Y85" s="63"/>
    </row>
    <row r="86" spans="6:25" x14ac:dyDescent="0.25">
      <c r="F86" s="69" t="s">
        <v>125</v>
      </c>
      <c r="G86" s="64"/>
      <c r="H86" s="64"/>
      <c r="I86" s="64"/>
      <c r="J86" s="64"/>
      <c r="K86" s="66"/>
      <c r="L86" s="66"/>
      <c r="M86" s="66"/>
      <c r="N86" s="66"/>
      <c r="O86" s="63"/>
      <c r="P86" s="63"/>
      <c r="Q86" s="63"/>
      <c r="R86" s="63"/>
      <c r="S86" s="71"/>
      <c r="T86" s="64"/>
      <c r="U86" s="64"/>
      <c r="V86" s="66"/>
      <c r="W86" s="66"/>
      <c r="X86" s="63"/>
      <c r="Y86" s="63"/>
    </row>
    <row r="87" spans="6:25" x14ac:dyDescent="0.25">
      <c r="F87" s="68" t="s">
        <v>126</v>
      </c>
      <c r="G87" s="61"/>
      <c r="H87" s="61"/>
      <c r="I87" s="61"/>
      <c r="J87" s="61"/>
      <c r="K87" s="62"/>
      <c r="L87" s="62"/>
      <c r="M87" s="62"/>
      <c r="N87" s="62"/>
      <c r="O87" s="65"/>
      <c r="P87" s="65"/>
      <c r="Q87" s="65"/>
      <c r="R87" s="65"/>
      <c r="S87" s="70"/>
      <c r="T87" s="59"/>
      <c r="U87" s="59"/>
      <c r="V87" s="60"/>
      <c r="W87" s="60"/>
      <c r="X87" s="67"/>
      <c r="Y87" s="67"/>
    </row>
    <row r="88" spans="6:25" x14ac:dyDescent="0.25">
      <c r="F88" s="68" t="s">
        <v>127</v>
      </c>
      <c r="G88" s="61"/>
      <c r="H88" s="61"/>
      <c r="I88" s="61"/>
      <c r="J88" s="61"/>
      <c r="K88" s="62"/>
      <c r="L88" s="62"/>
      <c r="M88" s="62"/>
      <c r="N88" s="62"/>
      <c r="O88" s="65"/>
      <c r="P88" s="65"/>
      <c r="Q88" s="65"/>
      <c r="R88" s="65"/>
      <c r="S88" s="70"/>
      <c r="T88" s="59"/>
      <c r="U88" s="59"/>
      <c r="V88" s="60"/>
      <c r="W88" s="60"/>
      <c r="X88" s="67"/>
      <c r="Y88" s="67"/>
    </row>
    <row r="89" spans="6:25" x14ac:dyDescent="0.25">
      <c r="F89" s="68" t="s">
        <v>128</v>
      </c>
      <c r="G89" s="61"/>
      <c r="H89" s="61"/>
      <c r="I89" s="61"/>
      <c r="J89" s="61"/>
      <c r="K89" s="62"/>
      <c r="L89" s="62"/>
      <c r="M89" s="62"/>
      <c r="N89" s="62"/>
      <c r="O89" s="65"/>
      <c r="P89" s="65"/>
      <c r="Q89" s="65"/>
      <c r="R89" s="65"/>
      <c r="S89" s="70"/>
      <c r="T89" s="59"/>
      <c r="U89" s="59"/>
      <c r="V89" s="60"/>
      <c r="W89" s="60"/>
      <c r="X89" s="67"/>
      <c r="Y89" s="67"/>
    </row>
  </sheetData>
  <mergeCells count="15">
    <mergeCell ref="S6:S9"/>
    <mergeCell ref="T6:Y6"/>
    <mergeCell ref="T7:U7"/>
    <mergeCell ref="V7:W7"/>
    <mergeCell ref="X7:Y7"/>
    <mergeCell ref="G6:R6"/>
    <mergeCell ref="G7:J7"/>
    <mergeCell ref="K7:N7"/>
    <mergeCell ref="O7:R7"/>
    <mergeCell ref="G8:H8"/>
    <mergeCell ref="I8:J8"/>
    <mergeCell ref="K8:L8"/>
    <mergeCell ref="M8:N8"/>
    <mergeCell ref="O8:P8"/>
    <mergeCell ref="Q8:R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7"/>
  <sheetViews>
    <sheetView tabSelected="1" workbookViewId="0">
      <selection activeCell="F6" sqref="F6"/>
    </sheetView>
  </sheetViews>
  <sheetFormatPr defaultRowHeight="15" x14ac:dyDescent="0.25"/>
  <sheetData>
    <row r="7" spans="5:6" x14ac:dyDescent="0.25">
      <c r="E7">
        <v>15</v>
      </c>
      <c r="F7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Testes Iniciais</vt:lpstr>
      <vt:lpstr>Testes Finais</vt:lpstr>
      <vt:lpstr>14-03-2014</vt:lpstr>
      <vt:lpstr>17-03-2014</vt:lpstr>
      <vt:lpstr>Padrao</vt:lpstr>
      <vt:lpstr>Scaner</vt:lpstr>
      <vt:lpstr>Scaner 2</vt:lpstr>
      <vt:lpstr>Fotos e Scanner 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 Kreutz</cp:lastModifiedBy>
  <dcterms:created xsi:type="dcterms:W3CDTF">2014-02-20T14:56:51Z</dcterms:created>
  <dcterms:modified xsi:type="dcterms:W3CDTF">2014-11-28T11:46:43Z</dcterms:modified>
</cp:coreProperties>
</file>