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9a8b5d76dc1638/Documents/2023 Spring Semester/Computer Architecture/Kuelbs_Rob_Processor_Project/"/>
    </mc:Choice>
  </mc:AlternateContent>
  <xr:revisionPtr revIDLastSave="175" documentId="8_{51548125-F36A-409D-ACC0-DB1A145159D6}" xr6:coauthVersionLast="47" xr6:coauthVersionMax="47" xr10:uidLastSave="{6AB6EA24-94DB-4F2D-ACEB-2553F4308DE4}"/>
  <bookViews>
    <workbookView xWindow="-120" yWindow="-120" windowWidth="29040" windowHeight="15720" xr2:uid="{DCF4822A-8741-4AF6-AF46-5CFFF6C16347}"/>
  </bookViews>
  <sheets>
    <sheet name="ISA Assembler" sheetId="2" r:id="rId1"/>
    <sheet name="Sheet2" sheetId="6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0" i="2" l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AR73" i="2"/>
  <c r="AQ73" i="2"/>
  <c r="AP73" i="2"/>
  <c r="AI73" i="2" s="1"/>
  <c r="AO73" i="2"/>
  <c r="AH73" i="2" s="1"/>
  <c r="AN73" i="2"/>
  <c r="AM73" i="2"/>
  <c r="AF73" i="2" s="1"/>
  <c r="AB73" i="2" s="1"/>
  <c r="AK73" i="2"/>
  <c r="AJ73" i="2"/>
  <c r="AG73" i="2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D45" i="2"/>
  <c r="AD47" i="2"/>
  <c r="AQ47" i="2"/>
  <c r="AJ47" i="2" s="1"/>
  <c r="AP47" i="2"/>
  <c r="AI47" i="2" s="1"/>
  <c r="AO47" i="2"/>
  <c r="AH47" i="2" s="1"/>
  <c r="AN47" i="2"/>
  <c r="AG47" i="2" s="1"/>
  <c r="AM47" i="2"/>
  <c r="AF47" i="2" s="1"/>
  <c r="AR46" i="2"/>
  <c r="AK46" i="2" s="1"/>
  <c r="AQ46" i="2"/>
  <c r="AJ46" i="2" s="1"/>
  <c r="AP46" i="2"/>
  <c r="AI46" i="2" s="1"/>
  <c r="AO46" i="2"/>
  <c r="AH46" i="2" s="1"/>
  <c r="AN46" i="2"/>
  <c r="AG46" i="2" s="1"/>
  <c r="AM46" i="2"/>
  <c r="AF46" i="2" s="1"/>
  <c r="AR45" i="2"/>
  <c r="AK45" i="2" s="1"/>
  <c r="AP45" i="2"/>
  <c r="AI45" i="2" s="1"/>
  <c r="AO45" i="2"/>
  <c r="AH45" i="2" s="1"/>
  <c r="AN45" i="2"/>
  <c r="AG45" i="2" s="1"/>
  <c r="AM45" i="2"/>
  <c r="AF45" i="2" s="1"/>
  <c r="AD60" i="2"/>
  <c r="AD59" i="2"/>
  <c r="AD58" i="2"/>
  <c r="I62" i="2"/>
  <c r="J62" i="2"/>
  <c r="K62" i="2" s="1"/>
  <c r="AD27" i="2"/>
  <c r="AD28" i="2"/>
  <c r="AD25" i="2"/>
  <c r="AD23" i="2"/>
  <c r="AD21" i="2"/>
  <c r="AD19" i="2"/>
  <c r="AD16" i="2"/>
  <c r="AD14" i="2"/>
  <c r="AD12" i="2"/>
  <c r="AD9" i="2"/>
  <c r="I9" i="2"/>
  <c r="I23" i="2" s="1"/>
  <c r="AN23" i="2" s="1"/>
  <c r="AQ28" i="2"/>
  <c r="AM28" i="2"/>
  <c r="AO27" i="2"/>
  <c r="AM27" i="2"/>
  <c r="AM26" i="2"/>
  <c r="AM25" i="2"/>
  <c r="AM24" i="2"/>
  <c r="AM23" i="2"/>
  <c r="AM22" i="2"/>
  <c r="AM21" i="2"/>
  <c r="AM20" i="2"/>
  <c r="AM19" i="2"/>
  <c r="AM17" i="2"/>
  <c r="AM16" i="2"/>
  <c r="AM15" i="2"/>
  <c r="AM14" i="2"/>
  <c r="AM13" i="2"/>
  <c r="AM12" i="2"/>
  <c r="AQ11" i="2"/>
  <c r="AM11" i="2"/>
  <c r="AM10" i="2"/>
  <c r="AM9" i="2"/>
  <c r="J9" i="2"/>
  <c r="AO71" i="2"/>
  <c r="AH71" i="2" s="1"/>
  <c r="AN71" i="2"/>
  <c r="AG71" i="2" s="1"/>
  <c r="AO69" i="2"/>
  <c r="AH69" i="2" s="1"/>
  <c r="AN69" i="2"/>
  <c r="AG69" i="2" s="1"/>
  <c r="AO67" i="2"/>
  <c r="AH67" i="2" s="1"/>
  <c r="AN67" i="2"/>
  <c r="AG67" i="2" s="1"/>
  <c r="AO65" i="2"/>
  <c r="AH65" i="2" s="1"/>
  <c r="AN65" i="2"/>
  <c r="AG65" i="2" s="1"/>
  <c r="AO63" i="2"/>
  <c r="AH63" i="2" s="1"/>
  <c r="AN63" i="2"/>
  <c r="AG63" i="2" s="1"/>
  <c r="AO61" i="2"/>
  <c r="AH61" i="2" s="1"/>
  <c r="AN61" i="2"/>
  <c r="AG61" i="2" s="1"/>
  <c r="AO59" i="2"/>
  <c r="AH59" i="2" s="1"/>
  <c r="AN59" i="2"/>
  <c r="AG59" i="2" s="1"/>
  <c r="AP58" i="2"/>
  <c r="AI58" i="2" s="1"/>
  <c r="AO58" i="2"/>
  <c r="AH58" i="2" s="1"/>
  <c r="AN58" i="2"/>
  <c r="AG58" i="2" s="1"/>
  <c r="AM58" i="2"/>
  <c r="AF58" i="2" s="1"/>
  <c r="AD44" i="2"/>
  <c r="AD43" i="2"/>
  <c r="AD42" i="2"/>
  <c r="V60" i="2"/>
  <c r="V71" i="2" s="1"/>
  <c r="R60" i="2"/>
  <c r="R59" i="2" s="1"/>
  <c r="N61" i="2"/>
  <c r="O61" i="2" s="1"/>
  <c r="O71" i="2" s="1"/>
  <c r="AM44" i="2"/>
  <c r="AF44" i="2" s="1"/>
  <c r="AM43" i="2"/>
  <c r="AF43" i="2" s="1"/>
  <c r="AO42" i="2"/>
  <c r="AH42" i="2" s="1"/>
  <c r="AN42" i="2"/>
  <c r="AG42" i="2" s="1"/>
  <c r="AM42" i="2"/>
  <c r="AF42" i="2" s="1"/>
  <c r="AM41" i="2"/>
  <c r="AF41" i="2" s="1"/>
  <c r="V43" i="2"/>
  <c r="V44" i="2" s="1"/>
  <c r="N42" i="2"/>
  <c r="I44" i="2"/>
  <c r="AN44" i="2" s="1"/>
  <c r="AG44" i="2" s="1"/>
  <c r="R43" i="2"/>
  <c r="R41" i="2" s="1"/>
  <c r="AR8" i="2"/>
  <c r="AQ8" i="2"/>
  <c r="AP8" i="2"/>
  <c r="AO8" i="2"/>
  <c r="AN8" i="2"/>
  <c r="AM8" i="2"/>
  <c r="N9" i="2"/>
  <c r="O9" i="2" s="1"/>
  <c r="I10" i="2"/>
  <c r="I26" i="2" s="1"/>
  <c r="AN26" i="2" s="1"/>
  <c r="V9" i="2"/>
  <c r="V27" i="2" s="1"/>
  <c r="R9" i="2"/>
  <c r="R26" i="2" s="1"/>
  <c r="AB46" i="2" l="1"/>
  <c r="R45" i="2"/>
  <c r="V47" i="2"/>
  <c r="L62" i="2"/>
  <c r="M62" i="2" s="1"/>
  <c r="N62" i="2" s="1"/>
  <c r="O62" i="2" s="1"/>
  <c r="I72" i="2"/>
  <c r="AN72" i="2" s="1"/>
  <c r="AG72" i="2" s="1"/>
  <c r="I27" i="2"/>
  <c r="AN10" i="2"/>
  <c r="I21" i="2"/>
  <c r="AN21" i="2" s="1"/>
  <c r="I28" i="2"/>
  <c r="I25" i="2"/>
  <c r="AN25" i="2" s="1"/>
  <c r="I12" i="2"/>
  <c r="AN12" i="2" s="1"/>
  <c r="AN9" i="2"/>
  <c r="I14" i="2"/>
  <c r="AN14" i="2" s="1"/>
  <c r="AN62" i="2"/>
  <c r="AG62" i="2" s="1"/>
  <c r="I16" i="2"/>
  <c r="AN16" i="2" s="1"/>
  <c r="I19" i="2"/>
  <c r="AN19" i="2" s="1"/>
  <c r="J19" i="2"/>
  <c r="J12" i="2"/>
  <c r="J21" i="2"/>
  <c r="J28" i="2"/>
  <c r="J14" i="2"/>
  <c r="J23" i="2"/>
  <c r="J16" i="2"/>
  <c r="J25" i="2"/>
  <c r="K9" i="2"/>
  <c r="V59" i="2"/>
  <c r="V62" i="2"/>
  <c r="V64" i="2"/>
  <c r="V66" i="2"/>
  <c r="V68" i="2"/>
  <c r="V70" i="2"/>
  <c r="V72" i="2"/>
  <c r="V58" i="2"/>
  <c r="V61" i="2"/>
  <c r="V63" i="2"/>
  <c r="V65" i="2"/>
  <c r="V67" i="2"/>
  <c r="V69" i="2"/>
  <c r="W60" i="2"/>
  <c r="R58" i="2"/>
  <c r="R61" i="2"/>
  <c r="R62" i="2"/>
  <c r="R64" i="2"/>
  <c r="R66" i="2"/>
  <c r="R68" i="2"/>
  <c r="R69" i="2"/>
  <c r="R70" i="2"/>
  <c r="R71" i="2"/>
  <c r="R63" i="2"/>
  <c r="R65" i="2"/>
  <c r="R67" i="2"/>
  <c r="R72" i="2"/>
  <c r="S60" i="2"/>
  <c r="I66" i="2"/>
  <c r="AN66" i="2" s="1"/>
  <c r="AG66" i="2" s="1"/>
  <c r="V42" i="2"/>
  <c r="I68" i="2"/>
  <c r="AN68" i="2" s="1"/>
  <c r="AG68" i="2" s="1"/>
  <c r="I60" i="2"/>
  <c r="AN60" i="2" s="1"/>
  <c r="AG60" i="2" s="1"/>
  <c r="I70" i="2"/>
  <c r="AN70" i="2" s="1"/>
  <c r="AG70" i="2" s="1"/>
  <c r="I64" i="2"/>
  <c r="AN64" i="2" s="1"/>
  <c r="AG64" i="2" s="1"/>
  <c r="N59" i="2"/>
  <c r="N63" i="2"/>
  <c r="N65" i="2"/>
  <c r="N67" i="2"/>
  <c r="N69" i="2"/>
  <c r="N71" i="2"/>
  <c r="O59" i="2"/>
  <c r="O63" i="2"/>
  <c r="O65" i="2"/>
  <c r="O67" i="2"/>
  <c r="O69" i="2"/>
  <c r="V41" i="2"/>
  <c r="P61" i="2"/>
  <c r="R44" i="2"/>
  <c r="R42" i="2"/>
  <c r="W43" i="2"/>
  <c r="O42" i="2"/>
  <c r="J44" i="2"/>
  <c r="S43" i="2"/>
  <c r="S45" i="2" s="1"/>
  <c r="O28" i="2"/>
  <c r="O27" i="2"/>
  <c r="O25" i="2"/>
  <c r="O23" i="2"/>
  <c r="O21" i="2"/>
  <c r="O19" i="2"/>
  <c r="O16" i="2"/>
  <c r="O14" i="2"/>
  <c r="N14" i="2"/>
  <c r="N25" i="2"/>
  <c r="P9" i="2"/>
  <c r="Q9" i="2" s="1"/>
  <c r="N21" i="2"/>
  <c r="N16" i="2"/>
  <c r="N19" i="2"/>
  <c r="N23" i="2"/>
  <c r="N27" i="2"/>
  <c r="N28" i="2"/>
  <c r="I20" i="2"/>
  <c r="AN20" i="2" s="1"/>
  <c r="I13" i="2"/>
  <c r="AN13" i="2" s="1"/>
  <c r="I22" i="2"/>
  <c r="AN22" i="2" s="1"/>
  <c r="I15" i="2"/>
  <c r="AN15" i="2" s="1"/>
  <c r="I24" i="2"/>
  <c r="AN24" i="2" s="1"/>
  <c r="J10" i="2"/>
  <c r="I11" i="2"/>
  <c r="AN11" i="2" s="1"/>
  <c r="I17" i="2"/>
  <c r="AN17" i="2" s="1"/>
  <c r="V11" i="2"/>
  <c r="V13" i="2"/>
  <c r="V16" i="2"/>
  <c r="V19" i="2"/>
  <c r="V21" i="2"/>
  <c r="V23" i="2"/>
  <c r="V25" i="2"/>
  <c r="V28" i="2"/>
  <c r="V10" i="2"/>
  <c r="V12" i="2"/>
  <c r="V17" i="2"/>
  <c r="V20" i="2"/>
  <c r="V22" i="2"/>
  <c r="V24" i="2"/>
  <c r="V26" i="2"/>
  <c r="W9" i="2"/>
  <c r="R12" i="2"/>
  <c r="R14" i="2"/>
  <c r="R16" i="2"/>
  <c r="R19" i="2"/>
  <c r="R21" i="2"/>
  <c r="R22" i="2"/>
  <c r="R24" i="2"/>
  <c r="R27" i="2"/>
  <c r="R10" i="2"/>
  <c r="R13" i="2"/>
  <c r="R15" i="2"/>
  <c r="R17" i="2"/>
  <c r="R20" i="2"/>
  <c r="R23" i="2"/>
  <c r="R25" i="2"/>
  <c r="S9" i="2"/>
  <c r="AD41" i="2"/>
  <c r="AD26" i="2"/>
  <c r="AD24" i="2"/>
  <c r="AD13" i="2"/>
  <c r="AD11" i="2"/>
  <c r="AD10" i="2"/>
  <c r="AD17" i="2"/>
  <c r="AD20" i="2"/>
  <c r="AD22" i="2"/>
  <c r="AD15" i="2"/>
  <c r="D72" i="2"/>
  <c r="AM72" i="2" s="1"/>
  <c r="AF72" i="2" s="1"/>
  <c r="D71" i="2"/>
  <c r="AD72" i="2" s="1"/>
  <c r="D70" i="2"/>
  <c r="AM70" i="2" s="1"/>
  <c r="AF70" i="2" s="1"/>
  <c r="D69" i="2"/>
  <c r="D68" i="2"/>
  <c r="AM68" i="2" s="1"/>
  <c r="AF68" i="2" s="1"/>
  <c r="D67" i="2"/>
  <c r="D66" i="2"/>
  <c r="AM66" i="2" s="1"/>
  <c r="AF66" i="2" s="1"/>
  <c r="D65" i="2"/>
  <c r="D64" i="2"/>
  <c r="AM64" i="2" s="1"/>
  <c r="AF64" i="2" s="1"/>
  <c r="D63" i="2"/>
  <c r="AD64" i="2" s="1"/>
  <c r="D62" i="2"/>
  <c r="AM62" i="2" s="1"/>
  <c r="AF62" i="2" s="1"/>
  <c r="D61" i="2"/>
  <c r="D60" i="2"/>
  <c r="AM60" i="2" s="1"/>
  <c r="AF60" i="2" s="1"/>
  <c r="AM59" i="2"/>
  <c r="AF59" i="2" s="1"/>
  <c r="I41" i="2"/>
  <c r="AN41" i="2" s="1"/>
  <c r="AG41" i="2" s="1"/>
  <c r="O80" i="2"/>
  <c r="AF28" i="2"/>
  <c r="AF27" i="2"/>
  <c r="AF26" i="2"/>
  <c r="AF25" i="2"/>
  <c r="AF24" i="2"/>
  <c r="AF23" i="2"/>
  <c r="AF22" i="2"/>
  <c r="AF21" i="2"/>
  <c r="AF20" i="2"/>
  <c r="AF19" i="2"/>
  <c r="AF17" i="2"/>
  <c r="AF16" i="2"/>
  <c r="AF15" i="2"/>
  <c r="AF14" i="2"/>
  <c r="AF13" i="2"/>
  <c r="AF12" i="2"/>
  <c r="AF11" i="2"/>
  <c r="AF10" i="2"/>
  <c r="AF9" i="2"/>
  <c r="AK8" i="2"/>
  <c r="AJ8" i="2"/>
  <c r="AI8" i="2"/>
  <c r="AH8" i="2"/>
  <c r="AG8" i="2"/>
  <c r="AF8" i="2"/>
  <c r="X43" i="2" l="1"/>
  <c r="X47" i="2" s="1"/>
  <c r="W47" i="2"/>
  <c r="AM61" i="2"/>
  <c r="AF61" i="2" s="1"/>
  <c r="AD62" i="2"/>
  <c r="AD61" i="2"/>
  <c r="AM65" i="2"/>
  <c r="AF65" i="2" s="1"/>
  <c r="AD66" i="2"/>
  <c r="AD65" i="2"/>
  <c r="AM69" i="2"/>
  <c r="AF69" i="2" s="1"/>
  <c r="AD70" i="2"/>
  <c r="AD69" i="2"/>
  <c r="AM67" i="2"/>
  <c r="AF67" i="2" s="1"/>
  <c r="AD68" i="2"/>
  <c r="AD67" i="2"/>
  <c r="AM71" i="2"/>
  <c r="AF71" i="2" s="1"/>
  <c r="AD71" i="2"/>
  <c r="P62" i="2"/>
  <c r="Q62" i="2" s="1"/>
  <c r="AM63" i="2"/>
  <c r="AF63" i="2" s="1"/>
  <c r="AD63" i="2"/>
  <c r="AN28" i="2"/>
  <c r="AN27" i="2"/>
  <c r="AP9" i="2"/>
  <c r="L9" i="2"/>
  <c r="K23" i="2"/>
  <c r="K14" i="2"/>
  <c r="K28" i="2"/>
  <c r="K21" i="2"/>
  <c r="K12" i="2"/>
  <c r="K19" i="2"/>
  <c r="K25" i="2"/>
  <c r="K16" i="2"/>
  <c r="X60" i="2"/>
  <c r="W72" i="2"/>
  <c r="W71" i="2"/>
  <c r="W70" i="2"/>
  <c r="W69" i="2"/>
  <c r="W68" i="2"/>
  <c r="W67" i="2"/>
  <c r="W66" i="2"/>
  <c r="W65" i="2"/>
  <c r="W64" i="2"/>
  <c r="W63" i="2"/>
  <c r="W62" i="2"/>
  <c r="W61" i="2"/>
  <c r="W59" i="2"/>
  <c r="W58" i="2"/>
  <c r="T60" i="2"/>
  <c r="S72" i="2"/>
  <c r="S71" i="2"/>
  <c r="S70" i="2"/>
  <c r="S69" i="2"/>
  <c r="S68" i="2"/>
  <c r="S67" i="2"/>
  <c r="S66" i="2"/>
  <c r="S65" i="2"/>
  <c r="S64" i="2"/>
  <c r="S63" i="2"/>
  <c r="S62" i="2"/>
  <c r="S61" i="2"/>
  <c r="S58" i="2"/>
  <c r="S59" i="2"/>
  <c r="J70" i="2"/>
  <c r="J60" i="2"/>
  <c r="J66" i="2"/>
  <c r="J68" i="2"/>
  <c r="J72" i="2"/>
  <c r="J64" i="2"/>
  <c r="Q61" i="2"/>
  <c r="AP61" i="2" s="1"/>
  <c r="AI61" i="2" s="1"/>
  <c r="P71" i="2"/>
  <c r="P69" i="2"/>
  <c r="P67" i="2"/>
  <c r="P65" i="2"/>
  <c r="P63" i="2"/>
  <c r="P59" i="2"/>
  <c r="W44" i="2"/>
  <c r="W42" i="2"/>
  <c r="W41" i="2"/>
  <c r="P42" i="2"/>
  <c r="K44" i="2"/>
  <c r="T43" i="2"/>
  <c r="S42" i="2"/>
  <c r="S41" i="2"/>
  <c r="S44" i="2"/>
  <c r="P28" i="2"/>
  <c r="P27" i="2"/>
  <c r="P25" i="2"/>
  <c r="P23" i="2"/>
  <c r="P21" i="2"/>
  <c r="P19" i="2"/>
  <c r="P16" i="2"/>
  <c r="P14" i="2"/>
  <c r="Q28" i="2"/>
  <c r="Q27" i="2"/>
  <c r="Q25" i="2"/>
  <c r="Q23" i="2"/>
  <c r="Q21" i="2"/>
  <c r="Q19" i="2"/>
  <c r="Q16" i="2"/>
  <c r="Q14" i="2"/>
  <c r="J24" i="2"/>
  <c r="J15" i="2"/>
  <c r="J22" i="2"/>
  <c r="J13" i="2"/>
  <c r="J20" i="2"/>
  <c r="J26" i="2"/>
  <c r="J17" i="2"/>
  <c r="J11" i="2"/>
  <c r="K10" i="2"/>
  <c r="X9" i="2"/>
  <c r="W28" i="2"/>
  <c r="W27" i="2"/>
  <c r="W26" i="2"/>
  <c r="W25" i="2"/>
  <c r="W24" i="2"/>
  <c r="W23" i="2"/>
  <c r="W22" i="2"/>
  <c r="W21" i="2"/>
  <c r="W20" i="2"/>
  <c r="W19" i="2"/>
  <c r="W17" i="2"/>
  <c r="W16" i="2"/>
  <c r="W13" i="2"/>
  <c r="W12" i="2"/>
  <c r="W11" i="2"/>
  <c r="W10" i="2"/>
  <c r="T9" i="2"/>
  <c r="U9" i="2" s="1"/>
  <c r="S27" i="2"/>
  <c r="S26" i="2"/>
  <c r="S25" i="2"/>
  <c r="S24" i="2"/>
  <c r="S23" i="2"/>
  <c r="S22" i="2"/>
  <c r="S21" i="2"/>
  <c r="S20" i="2"/>
  <c r="S19" i="2"/>
  <c r="S17" i="2"/>
  <c r="S16" i="2"/>
  <c r="S15" i="2"/>
  <c r="S14" i="2"/>
  <c r="S13" i="2"/>
  <c r="S12" i="2"/>
  <c r="S10" i="2"/>
  <c r="I43" i="2"/>
  <c r="AN43" i="2" s="1"/>
  <c r="AG43" i="2" s="1"/>
  <c r="N12" i="2"/>
  <c r="O12" i="2"/>
  <c r="AB8" i="2"/>
  <c r="U43" i="2" l="1"/>
  <c r="U45" i="2" s="1"/>
  <c r="T45" i="2"/>
  <c r="AQ45" i="2" s="1"/>
  <c r="AJ45" i="2" s="1"/>
  <c r="AB45" i="2" s="1"/>
  <c r="Y43" i="2"/>
  <c r="AR43" i="2" s="1"/>
  <c r="AK43" i="2" s="1"/>
  <c r="X44" i="2"/>
  <c r="X41" i="2"/>
  <c r="X42" i="2"/>
  <c r="AP23" i="2"/>
  <c r="AP14" i="2"/>
  <c r="AP16" i="2"/>
  <c r="AP25" i="2"/>
  <c r="AP19" i="2"/>
  <c r="AP27" i="2"/>
  <c r="AP21" i="2"/>
  <c r="AP28" i="2"/>
  <c r="AI28" i="2" s="1"/>
  <c r="AQ9" i="2"/>
  <c r="AJ9" i="2" s="1"/>
  <c r="Y60" i="2"/>
  <c r="Y66" i="2" s="1"/>
  <c r="M9" i="2"/>
  <c r="AO9" i="2" s="1"/>
  <c r="L28" i="2"/>
  <c r="L21" i="2"/>
  <c r="L12" i="2"/>
  <c r="L19" i="2"/>
  <c r="L25" i="2"/>
  <c r="L16" i="2"/>
  <c r="L23" i="2"/>
  <c r="L14" i="2"/>
  <c r="X72" i="2"/>
  <c r="X71" i="2"/>
  <c r="X70" i="2"/>
  <c r="X69" i="2"/>
  <c r="X68" i="2"/>
  <c r="X67" i="2"/>
  <c r="X66" i="2"/>
  <c r="X65" i="2"/>
  <c r="X64" i="2"/>
  <c r="X63" i="2"/>
  <c r="X62" i="2"/>
  <c r="X61" i="2"/>
  <c r="X59" i="2"/>
  <c r="X58" i="2"/>
  <c r="U60" i="2"/>
  <c r="AQ60" i="2" s="1"/>
  <c r="AJ60" i="2" s="1"/>
  <c r="T72" i="2"/>
  <c r="T71" i="2"/>
  <c r="T70" i="2"/>
  <c r="T69" i="2"/>
  <c r="T68" i="2"/>
  <c r="T67" i="2"/>
  <c r="T66" i="2"/>
  <c r="T65" i="2"/>
  <c r="T64" i="2"/>
  <c r="T63" i="2"/>
  <c r="T62" i="2"/>
  <c r="T61" i="2"/>
  <c r="T58" i="2"/>
  <c r="T59" i="2"/>
  <c r="K68" i="2"/>
  <c r="K64" i="2"/>
  <c r="K70" i="2"/>
  <c r="K66" i="2"/>
  <c r="K72" i="2"/>
  <c r="K60" i="2"/>
  <c r="Q71" i="2"/>
  <c r="AP71" i="2" s="1"/>
  <c r="AI71" i="2" s="1"/>
  <c r="Q69" i="2"/>
  <c r="AP69" i="2" s="1"/>
  <c r="AI69" i="2" s="1"/>
  <c r="Q67" i="2"/>
  <c r="AP67" i="2" s="1"/>
  <c r="AI67" i="2" s="1"/>
  <c r="Q65" i="2"/>
  <c r="AP65" i="2" s="1"/>
  <c r="AI65" i="2" s="1"/>
  <c r="Q63" i="2"/>
  <c r="AP63" i="2" s="1"/>
  <c r="AI63" i="2" s="1"/>
  <c r="Q59" i="2"/>
  <c r="AP59" i="2" s="1"/>
  <c r="AI59" i="2" s="1"/>
  <c r="L44" i="2"/>
  <c r="Q42" i="2"/>
  <c r="AP42" i="2" s="1"/>
  <c r="AI42" i="2" s="1"/>
  <c r="U42" i="2"/>
  <c r="T42" i="2"/>
  <c r="T41" i="2"/>
  <c r="T44" i="2"/>
  <c r="Y9" i="2"/>
  <c r="K22" i="2"/>
  <c r="K13" i="2"/>
  <c r="K20" i="2"/>
  <c r="K26" i="2"/>
  <c r="K17" i="2"/>
  <c r="K24" i="2"/>
  <c r="K15" i="2"/>
  <c r="L10" i="2"/>
  <c r="K11" i="2"/>
  <c r="X28" i="2"/>
  <c r="X27" i="2"/>
  <c r="X26" i="2"/>
  <c r="X25" i="2"/>
  <c r="X24" i="2"/>
  <c r="X23" i="2"/>
  <c r="X22" i="2"/>
  <c r="X21" i="2"/>
  <c r="X20" i="2"/>
  <c r="X19" i="2"/>
  <c r="X17" i="2"/>
  <c r="X16" i="2"/>
  <c r="X13" i="2"/>
  <c r="X12" i="2"/>
  <c r="X11" i="2"/>
  <c r="X10" i="2"/>
  <c r="U26" i="2"/>
  <c r="U24" i="2"/>
  <c r="U22" i="2"/>
  <c r="U20" i="2"/>
  <c r="U17" i="2"/>
  <c r="U15" i="2"/>
  <c r="U13" i="2"/>
  <c r="U10" i="2"/>
  <c r="U27" i="2"/>
  <c r="U25" i="2"/>
  <c r="U23" i="2"/>
  <c r="U21" i="2"/>
  <c r="U19" i="2"/>
  <c r="U16" i="2"/>
  <c r="U14" i="2"/>
  <c r="U12" i="2"/>
  <c r="T27" i="2"/>
  <c r="AQ27" i="2" s="1"/>
  <c r="T26" i="2"/>
  <c r="T25" i="2"/>
  <c r="T24" i="2"/>
  <c r="T23" i="2"/>
  <c r="T22" i="2"/>
  <c r="T21" i="2"/>
  <c r="T20" i="2"/>
  <c r="AQ20" i="2" s="1"/>
  <c r="T19" i="2"/>
  <c r="AQ19" i="2" s="1"/>
  <c r="T17" i="2"/>
  <c r="T16" i="2"/>
  <c r="T15" i="2"/>
  <c r="T14" i="2"/>
  <c r="T13" i="2"/>
  <c r="T12" i="2"/>
  <c r="T10" i="2"/>
  <c r="AQ10" i="2" s="1"/>
  <c r="J41" i="2"/>
  <c r="J43" i="2"/>
  <c r="P12" i="2"/>
  <c r="AQ43" i="2" l="1"/>
  <c r="AJ43" i="2" s="1"/>
  <c r="U44" i="2"/>
  <c r="U41" i="2"/>
  <c r="Y42" i="2"/>
  <c r="AR42" i="2" s="1"/>
  <c r="AK42" i="2" s="1"/>
  <c r="Y44" i="2"/>
  <c r="AR44" i="2" s="1"/>
  <c r="AK44" i="2" s="1"/>
  <c r="Y47" i="2"/>
  <c r="AR47" i="2" s="1"/>
  <c r="AK47" i="2" s="1"/>
  <c r="AB47" i="2" s="1"/>
  <c r="Y41" i="2"/>
  <c r="AR41" i="2" s="1"/>
  <c r="AK41" i="2" s="1"/>
  <c r="Y69" i="2"/>
  <c r="AQ23" i="2"/>
  <c r="AJ23" i="2" s="1"/>
  <c r="AQ14" i="2"/>
  <c r="AJ14" i="2" s="1"/>
  <c r="Y59" i="2"/>
  <c r="AR59" i="2" s="1"/>
  <c r="AK59" i="2" s="1"/>
  <c r="AQ12" i="2"/>
  <c r="AQ13" i="2"/>
  <c r="AQ22" i="2"/>
  <c r="AQ26" i="2"/>
  <c r="AQ24" i="2"/>
  <c r="AQ15" i="2"/>
  <c r="AQ16" i="2"/>
  <c r="AJ16" i="2" s="1"/>
  <c r="AQ21" i="2"/>
  <c r="AJ21" i="2" s="1"/>
  <c r="AQ25" i="2"/>
  <c r="AJ25" i="2" s="1"/>
  <c r="AR66" i="2"/>
  <c r="AK66" i="2" s="1"/>
  <c r="Y65" i="2"/>
  <c r="AR65" i="2" s="1"/>
  <c r="AK65" i="2" s="1"/>
  <c r="AJ27" i="2"/>
  <c r="AQ17" i="2"/>
  <c r="AR9" i="2"/>
  <c r="AK9" i="2" s="1"/>
  <c r="Y62" i="2"/>
  <c r="AR62" i="2" s="1"/>
  <c r="AK62" i="2" s="1"/>
  <c r="Y70" i="2"/>
  <c r="AR70" i="2" s="1"/>
  <c r="AK70" i="2" s="1"/>
  <c r="AR69" i="2"/>
  <c r="AK69" i="2" s="1"/>
  <c r="Y58" i="2"/>
  <c r="AR58" i="2" s="1"/>
  <c r="AK58" i="2" s="1"/>
  <c r="Y61" i="2"/>
  <c r="AR61" i="2" s="1"/>
  <c r="AK61" i="2" s="1"/>
  <c r="Y67" i="2"/>
  <c r="AR67" i="2" s="1"/>
  <c r="AK67" i="2" s="1"/>
  <c r="Y71" i="2"/>
  <c r="AR71" i="2" s="1"/>
  <c r="AK71" i="2" s="1"/>
  <c r="Y63" i="2"/>
  <c r="AR63" i="2" s="1"/>
  <c r="AK63" i="2" s="1"/>
  <c r="Y64" i="2"/>
  <c r="AR64" i="2" s="1"/>
  <c r="AK64" i="2" s="1"/>
  <c r="Y68" i="2"/>
  <c r="AR68" i="2" s="1"/>
  <c r="AK68" i="2" s="1"/>
  <c r="Y72" i="2"/>
  <c r="AR72" i="2" s="1"/>
  <c r="AK72" i="2" s="1"/>
  <c r="AR60" i="2"/>
  <c r="AK60" i="2" s="1"/>
  <c r="M19" i="2"/>
  <c r="AO19" i="2" s="1"/>
  <c r="M25" i="2"/>
  <c r="AO25" i="2" s="1"/>
  <c r="M16" i="2"/>
  <c r="AO16" i="2" s="1"/>
  <c r="M23" i="2"/>
  <c r="AO23" i="2" s="1"/>
  <c r="M14" i="2"/>
  <c r="AO14" i="2" s="1"/>
  <c r="M28" i="2"/>
  <c r="AO28" i="2" s="1"/>
  <c r="M21" i="2"/>
  <c r="AO21" i="2" s="1"/>
  <c r="M12" i="2"/>
  <c r="AO12" i="2" s="1"/>
  <c r="U72" i="2"/>
  <c r="AQ72" i="2" s="1"/>
  <c r="AJ72" i="2" s="1"/>
  <c r="U71" i="2"/>
  <c r="AQ71" i="2" s="1"/>
  <c r="AJ71" i="2" s="1"/>
  <c r="U70" i="2"/>
  <c r="AQ70" i="2" s="1"/>
  <c r="AJ70" i="2" s="1"/>
  <c r="U69" i="2"/>
  <c r="AQ69" i="2" s="1"/>
  <c r="AJ69" i="2" s="1"/>
  <c r="U68" i="2"/>
  <c r="AQ68" i="2" s="1"/>
  <c r="AJ68" i="2" s="1"/>
  <c r="U67" i="2"/>
  <c r="AQ67" i="2" s="1"/>
  <c r="AJ67" i="2" s="1"/>
  <c r="AB67" i="2" s="1"/>
  <c r="U66" i="2"/>
  <c r="AQ66" i="2" s="1"/>
  <c r="AJ66" i="2" s="1"/>
  <c r="U65" i="2"/>
  <c r="AQ65" i="2" s="1"/>
  <c r="AJ65" i="2" s="1"/>
  <c r="U64" i="2"/>
  <c r="AQ64" i="2" s="1"/>
  <c r="AJ64" i="2" s="1"/>
  <c r="U63" i="2"/>
  <c r="AQ63" i="2" s="1"/>
  <c r="AJ63" i="2" s="1"/>
  <c r="U62" i="2"/>
  <c r="AQ62" i="2" s="1"/>
  <c r="AJ62" i="2" s="1"/>
  <c r="U61" i="2"/>
  <c r="AQ61" i="2" s="1"/>
  <c r="AJ61" i="2" s="1"/>
  <c r="U58" i="2"/>
  <c r="AQ58" i="2" s="1"/>
  <c r="AJ58" i="2" s="1"/>
  <c r="U59" i="2"/>
  <c r="AQ59" i="2" s="1"/>
  <c r="AJ59" i="2" s="1"/>
  <c r="AO62" i="2"/>
  <c r="AH62" i="2" s="1"/>
  <c r="L66" i="2"/>
  <c r="L70" i="2"/>
  <c r="L60" i="2"/>
  <c r="L72" i="2"/>
  <c r="L64" i="2"/>
  <c r="L68" i="2"/>
  <c r="M44" i="2"/>
  <c r="AQ41" i="2"/>
  <c r="AJ41" i="2" s="1"/>
  <c r="AH9" i="2"/>
  <c r="AQ44" i="2"/>
  <c r="AJ44" i="2" s="1"/>
  <c r="AQ42" i="2"/>
  <c r="AJ42" i="2" s="1"/>
  <c r="Y17" i="2"/>
  <c r="AR17" i="2" s="1"/>
  <c r="Y26" i="2"/>
  <c r="AR26" i="2" s="1"/>
  <c r="Y16" i="2"/>
  <c r="AR16" i="2" s="1"/>
  <c r="Y25" i="2"/>
  <c r="AR25" i="2" s="1"/>
  <c r="Y12" i="2"/>
  <c r="AR12" i="2" s="1"/>
  <c r="Y21" i="2"/>
  <c r="AR21" i="2" s="1"/>
  <c r="Y11" i="2"/>
  <c r="AR11" i="2" s="1"/>
  <c r="Y22" i="2"/>
  <c r="AR22" i="2" s="1"/>
  <c r="Y28" i="2"/>
  <c r="Y10" i="2"/>
  <c r="AR10" i="2" s="1"/>
  <c r="Y19" i="2"/>
  <c r="AR19" i="2" s="1"/>
  <c r="Y27" i="2"/>
  <c r="Y20" i="2"/>
  <c r="AR20" i="2" s="1"/>
  <c r="AR15" i="2"/>
  <c r="Y23" i="2"/>
  <c r="AR23" i="2" s="1"/>
  <c r="Y13" i="2"/>
  <c r="AR13" i="2" s="1"/>
  <c r="Y24" i="2"/>
  <c r="AR24" i="2" s="1"/>
  <c r="L20" i="2"/>
  <c r="L26" i="2"/>
  <c r="L17" i="2"/>
  <c r="L24" i="2"/>
  <c r="L15" i="2"/>
  <c r="L22" i="2"/>
  <c r="L13" i="2"/>
  <c r="L11" i="2"/>
  <c r="M10" i="2"/>
  <c r="AO10" i="2" s="1"/>
  <c r="AG9" i="2"/>
  <c r="K41" i="2"/>
  <c r="K43" i="2"/>
  <c r="Q12" i="2"/>
  <c r="AP12" i="2" s="1"/>
  <c r="AJ28" i="2"/>
  <c r="AJ19" i="2"/>
  <c r="AI9" i="2"/>
  <c r="AI19" i="2"/>
  <c r="AI21" i="2"/>
  <c r="AI16" i="2"/>
  <c r="AI27" i="2"/>
  <c r="AI23" i="2"/>
  <c r="AI14" i="2"/>
  <c r="AB42" i="2" l="1"/>
  <c r="AB65" i="2"/>
  <c r="AB59" i="2"/>
  <c r="AB71" i="2"/>
  <c r="AB61" i="2"/>
  <c r="AR28" i="2"/>
  <c r="AK28" i="2" s="1"/>
  <c r="AB58" i="2"/>
  <c r="AK19" i="2"/>
  <c r="AK25" i="2"/>
  <c r="AB69" i="2"/>
  <c r="AK23" i="2"/>
  <c r="AK21" i="2"/>
  <c r="AK16" i="2"/>
  <c r="AR14" i="2"/>
  <c r="AK14" i="2" s="1"/>
  <c r="AR27" i="2"/>
  <c r="AK27" i="2" s="1"/>
  <c r="AB63" i="2"/>
  <c r="M72" i="2"/>
  <c r="AO72" i="2" s="1"/>
  <c r="AH72" i="2" s="1"/>
  <c r="M64" i="2"/>
  <c r="AO64" i="2" s="1"/>
  <c r="AH64" i="2" s="1"/>
  <c r="M68" i="2"/>
  <c r="AO68" i="2" s="1"/>
  <c r="AH68" i="2" s="1"/>
  <c r="M70" i="2"/>
  <c r="AO70" i="2" s="1"/>
  <c r="AH70" i="2" s="1"/>
  <c r="M60" i="2"/>
  <c r="AO60" i="2" s="1"/>
  <c r="AH60" i="2" s="1"/>
  <c r="M66" i="2"/>
  <c r="AO66" i="2" s="1"/>
  <c r="AH66" i="2" s="1"/>
  <c r="N44" i="2"/>
  <c r="AO44" i="2"/>
  <c r="AH44" i="2" s="1"/>
  <c r="AJ12" i="2"/>
  <c r="AK12" i="2"/>
  <c r="AI12" i="2"/>
  <c r="AH12" i="2"/>
  <c r="M26" i="2"/>
  <c r="AO26" i="2" s="1"/>
  <c r="M17" i="2"/>
  <c r="AO17" i="2" s="1"/>
  <c r="M24" i="2"/>
  <c r="AO24" i="2" s="1"/>
  <c r="M15" i="2"/>
  <c r="AO15" i="2" s="1"/>
  <c r="M22" i="2"/>
  <c r="AO22" i="2" s="1"/>
  <c r="M13" i="2"/>
  <c r="AO13" i="2" s="1"/>
  <c r="M20" i="2"/>
  <c r="AO20" i="2" s="1"/>
  <c r="N10" i="2"/>
  <c r="M11" i="2"/>
  <c r="AO11" i="2" s="1"/>
  <c r="AH23" i="2"/>
  <c r="AB9" i="2"/>
  <c r="AH19" i="2"/>
  <c r="AH16" i="2"/>
  <c r="AG19" i="2"/>
  <c r="AH28" i="2"/>
  <c r="AH27" i="2"/>
  <c r="AH25" i="2"/>
  <c r="AH14" i="2"/>
  <c r="AG28" i="2"/>
  <c r="AH21" i="2"/>
  <c r="AG27" i="2"/>
  <c r="AI25" i="2"/>
  <c r="AG25" i="2"/>
  <c r="AG14" i="2"/>
  <c r="AG23" i="2"/>
  <c r="AG16" i="2"/>
  <c r="AG21" i="2"/>
  <c r="L41" i="2"/>
  <c r="L43" i="2"/>
  <c r="AJ10" i="2"/>
  <c r="AB21" i="2" l="1"/>
  <c r="N70" i="2"/>
  <c r="N60" i="2"/>
  <c r="N66" i="2"/>
  <c r="N72" i="2"/>
  <c r="N68" i="2"/>
  <c r="N64" i="2"/>
  <c r="O44" i="2"/>
  <c r="AB23" i="2"/>
  <c r="AB28" i="2"/>
  <c r="AB16" i="2"/>
  <c r="AB19" i="2"/>
  <c r="AB27" i="2"/>
  <c r="O10" i="2"/>
  <c r="O13" i="2" s="1"/>
  <c r="N11" i="2"/>
  <c r="AB14" i="2"/>
  <c r="AB25" i="2"/>
  <c r="AJ11" i="2"/>
  <c r="N24" i="2"/>
  <c r="N15" i="2"/>
  <c r="N22" i="2"/>
  <c r="N13" i="2"/>
  <c r="N20" i="2"/>
  <c r="N26" i="2"/>
  <c r="N17" i="2"/>
  <c r="AJ20" i="2"/>
  <c r="AJ22" i="2"/>
  <c r="AJ17" i="2"/>
  <c r="M41" i="2"/>
  <c r="AO41" i="2" s="1"/>
  <c r="AH41" i="2" s="1"/>
  <c r="M43" i="2"/>
  <c r="AO43" i="2" s="1"/>
  <c r="AH43" i="2" s="1"/>
  <c r="O68" i="2" l="1"/>
  <c r="O72" i="2"/>
  <c r="O70" i="2"/>
  <c r="O60" i="2"/>
  <c r="O66" i="2"/>
  <c r="O64" i="2"/>
  <c r="P44" i="2"/>
  <c r="Q44" i="2" s="1"/>
  <c r="P10" i="2"/>
  <c r="P26" i="2" s="1"/>
  <c r="O17" i="2"/>
  <c r="O22" i="2"/>
  <c r="O26" i="2"/>
  <c r="O15" i="2"/>
  <c r="O20" i="2"/>
  <c r="O11" i="2"/>
  <c r="O24" i="2"/>
  <c r="AJ26" i="2"/>
  <c r="AJ15" i="2"/>
  <c r="AJ24" i="2"/>
  <c r="AJ13" i="2"/>
  <c r="N41" i="2"/>
  <c r="N43" i="2"/>
  <c r="O41" i="2"/>
  <c r="O43" i="2"/>
  <c r="P20" i="2" l="1"/>
  <c r="AP62" i="2"/>
  <c r="AI62" i="2" s="1"/>
  <c r="AB62" i="2" s="1"/>
  <c r="P66" i="2"/>
  <c r="P70" i="2"/>
  <c r="P68" i="2"/>
  <c r="P72" i="2"/>
  <c r="P64" i="2"/>
  <c r="P60" i="2"/>
  <c r="Q43" i="2"/>
  <c r="AP44" i="2"/>
  <c r="AI44" i="2" s="1"/>
  <c r="AB44" i="2" s="1"/>
  <c r="Q41" i="2"/>
  <c r="P11" i="2"/>
  <c r="Q10" i="2"/>
  <c r="P15" i="2"/>
  <c r="P13" i="2"/>
  <c r="P17" i="2"/>
  <c r="P24" i="2"/>
  <c r="P22" i="2"/>
  <c r="AG10" i="2"/>
  <c r="AH10" i="2"/>
  <c r="AK22" i="2"/>
  <c r="AK10" i="2"/>
  <c r="P43" i="2"/>
  <c r="P41" i="2"/>
  <c r="AP10" i="2" l="1"/>
  <c r="AI10" i="2" s="1"/>
  <c r="AB10" i="2" s="1"/>
  <c r="AP43" i="2"/>
  <c r="AI43" i="2" s="1"/>
  <c r="AB43" i="2" s="1"/>
  <c r="Q72" i="2"/>
  <c r="AP72" i="2" s="1"/>
  <c r="AI72" i="2" s="1"/>
  <c r="AB72" i="2" s="1"/>
  <c r="Q64" i="2"/>
  <c r="AP64" i="2" s="1"/>
  <c r="AI64" i="2" s="1"/>
  <c r="AB64" i="2" s="1"/>
  <c r="Q66" i="2"/>
  <c r="AP66" i="2" s="1"/>
  <c r="AI66" i="2" s="1"/>
  <c r="AB66" i="2" s="1"/>
  <c r="Q70" i="2"/>
  <c r="AP70" i="2" s="1"/>
  <c r="AI70" i="2" s="1"/>
  <c r="AB70" i="2" s="1"/>
  <c r="Q60" i="2"/>
  <c r="AP60" i="2" s="1"/>
  <c r="AI60" i="2" s="1"/>
  <c r="AB60" i="2" s="1"/>
  <c r="Q68" i="2"/>
  <c r="AP68" i="2" s="1"/>
  <c r="AI68" i="2" s="1"/>
  <c r="AB68" i="2" s="1"/>
  <c r="AP41" i="2"/>
  <c r="AI41" i="2" s="1"/>
  <c r="AB41" i="2" s="1"/>
  <c r="Q20" i="2"/>
  <c r="Q13" i="2"/>
  <c r="AK13" i="2" s="1"/>
  <c r="Q17" i="2"/>
  <c r="Q11" i="2"/>
  <c r="AP11" i="2" s="1"/>
  <c r="Q22" i="2"/>
  <c r="AP22" i="2" s="1"/>
  <c r="Q15" i="2"/>
  <c r="AP15" i="2" s="1"/>
  <c r="Q24" i="2"/>
  <c r="AK24" i="2" s="1"/>
  <c r="Q26" i="2"/>
  <c r="AH17" i="2"/>
  <c r="AG17" i="2"/>
  <c r="AH24" i="2"/>
  <c r="AH26" i="2"/>
  <c r="AK20" i="2"/>
  <c r="AG20" i="2"/>
  <c r="AH13" i="2"/>
  <c r="AG24" i="2"/>
  <c r="AK15" i="2"/>
  <c r="AH15" i="2"/>
  <c r="AG22" i="2"/>
  <c r="AH22" i="2"/>
  <c r="AG13" i="2"/>
  <c r="AK11" i="2"/>
  <c r="AG11" i="2"/>
  <c r="AH11" i="2"/>
  <c r="AG26" i="2"/>
  <c r="AG15" i="2"/>
  <c r="AH20" i="2"/>
  <c r="AP24" i="2" l="1"/>
  <c r="AI24" i="2" s="1"/>
  <c r="AB24" i="2" s="1"/>
  <c r="AK26" i="2"/>
  <c r="AP26" i="2"/>
  <c r="AI26" i="2" s="1"/>
  <c r="AI11" i="2"/>
  <c r="AB11" i="2" s="1"/>
  <c r="AP13" i="2"/>
  <c r="AI13" i="2" s="1"/>
  <c r="AB13" i="2" s="1"/>
  <c r="AK17" i="2"/>
  <c r="AP17" i="2"/>
  <c r="AI17" i="2" s="1"/>
  <c r="AI15" i="2"/>
  <c r="AB15" i="2" s="1"/>
  <c r="AI22" i="2"/>
  <c r="AB22" i="2" s="1"/>
  <c r="AP20" i="2"/>
  <c r="AI20" i="2" s="1"/>
  <c r="AB20" i="2" s="1"/>
  <c r="AG12" i="2"/>
  <c r="AB12" i="2" s="1"/>
  <c r="AB17" i="2" l="1"/>
  <c r="AB26" i="2"/>
</calcChain>
</file>

<file path=xl/sharedStrings.xml><?xml version="1.0" encoding="utf-8"?>
<sst xmlns="http://schemas.openxmlformats.org/spreadsheetml/2006/main" count="251" uniqueCount="128">
  <si>
    <t>OPCODE</t>
  </si>
  <si>
    <t>Data Processing</t>
  </si>
  <si>
    <t>Memory Access</t>
  </si>
  <si>
    <t>Im</t>
  </si>
  <si>
    <t>Imm[7:3]</t>
  </si>
  <si>
    <t>Rb/Imm[2:0]</t>
  </si>
  <si>
    <t>Im -- Immediate Flag.  0: Use register Rb.  1:  Use Immediate Imm[7:0].</t>
  </si>
  <si>
    <t>Shift[4:0]/Imm[7:3]</t>
  </si>
  <si>
    <t>Branch and Jump</t>
  </si>
  <si>
    <t>ALU_Op</t>
  </si>
  <si>
    <t>LOAD</t>
  </si>
  <si>
    <t>STORE</t>
  </si>
  <si>
    <t>JUMP</t>
  </si>
  <si>
    <t>00</t>
  </si>
  <si>
    <t>01</t>
  </si>
  <si>
    <t>RT</t>
  </si>
  <si>
    <t>RA</t>
  </si>
  <si>
    <t>Shift[4:0]</t>
  </si>
  <si>
    <t>RB</t>
  </si>
  <si>
    <t>Immediate</t>
  </si>
  <si>
    <t>NOP</t>
  </si>
  <si>
    <t>ADD</t>
  </si>
  <si>
    <t>ADDI</t>
  </si>
  <si>
    <t>SUB</t>
  </si>
  <si>
    <t>SUBI</t>
  </si>
  <si>
    <t>COMP</t>
  </si>
  <si>
    <t>COMPI</t>
  </si>
  <si>
    <t>AND</t>
  </si>
  <si>
    <t>ANDI</t>
  </si>
  <si>
    <t>OR</t>
  </si>
  <si>
    <t>ORI</t>
  </si>
  <si>
    <t>XOR</t>
  </si>
  <si>
    <t>XORI</t>
  </si>
  <si>
    <t>NAND</t>
  </si>
  <si>
    <t>NANDI</t>
  </si>
  <si>
    <t>NOR</t>
  </si>
  <si>
    <t>NORI</t>
  </si>
  <si>
    <t>SHIFT</t>
  </si>
  <si>
    <t>SHIFT_R</t>
  </si>
  <si>
    <t>LOADI</t>
  </si>
  <si>
    <t>BR_MODE</t>
  </si>
  <si>
    <t>X</t>
  </si>
  <si>
    <t>REL</t>
  </si>
  <si>
    <t>LINK</t>
  </si>
  <si>
    <t xml:space="preserve">Shift -- Shift [4:2] is shift amount.  Shift [1:0] is shift type. </t>
  </si>
  <si>
    <t>00: Left Shift    01: Rotate Left    10: Logical Right Shift    11: Arithmetic Right Shift</t>
  </si>
  <si>
    <t>SR set -- Use [RA[2:0]] as shift amount</t>
  </si>
  <si>
    <t>Load operations -- lw rt, ra(rb) or lw rt, ra(imm)</t>
  </si>
  <si>
    <t>Store operations -- sw rt, ra(imm)</t>
  </si>
  <si>
    <t>To branch/jump with link, use RT to store return address.  When RT == 0, branch/jump is unlinked.</t>
  </si>
  <si>
    <t>Rel bit chooses addressing mode.  Rel == 1, relative addressing;  Rel == 0, absoulute addressing.</t>
  </si>
  <si>
    <t>Relative:  Address = (PC+3) + ((RB/Imm) * 3);     Absolute Addressing:  Address = (RA) + ((RB/Imm) *  3)</t>
  </si>
  <si>
    <t>Binary Conversion:</t>
  </si>
  <si>
    <t>Decimal</t>
  </si>
  <si>
    <t>Binary</t>
  </si>
  <si>
    <t>BRANCH</t>
  </si>
  <si>
    <t>ON !=</t>
  </si>
  <si>
    <t>ON ==</t>
  </si>
  <si>
    <t>ON &lt;</t>
  </si>
  <si>
    <t>ON &lt;=</t>
  </si>
  <si>
    <t>ON &gt;</t>
  </si>
  <si>
    <t>ON &gt;=</t>
  </si>
  <si>
    <t>//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</si>
  <si>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</si>
  <si>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</si>
  <si>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</si>
  <si>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</si>
  <si>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</si>
  <si>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</si>
  <si>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</si>
  <si>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</si>
  <si>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</si>
  <si>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</si>
  <si>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</si>
  <si>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</si>
  <si>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</si>
  <si>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</si>
  <si>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</si>
  <si>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</si>
  <si>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PUSH</t>
  </si>
  <si>
    <t>POP</t>
  </si>
  <si>
    <t>INC SP</t>
  </si>
  <si>
    <t>INT_VECTOR0</t>
  </si>
  <si>
    <t>INT_VECTOR1</t>
  </si>
  <si>
    <t>INT_VECTOR2</t>
  </si>
  <si>
    <t>INT_VECTOR3</t>
  </si>
  <si>
    <t>INT_VECTOR4</t>
  </si>
  <si>
    <t>INT_VECTOR5</t>
  </si>
  <si>
    <t>INT_VECTOR6</t>
  </si>
  <si>
    <t>INT_VECTOR7</t>
  </si>
  <si>
    <t>INT_MASK</t>
  </si>
  <si>
    <t>STACK_POINTER</t>
  </si>
  <si>
    <t>FRAME_POINTER</t>
  </si>
  <si>
    <t>OUTPUT_REGISTER</t>
  </si>
  <si>
    <t>RETURN_ADDRESS</t>
  </si>
  <si>
    <t>STARTING STACK POINTER VALUE</t>
  </si>
  <si>
    <t>RETI</t>
  </si>
  <si>
    <t>Zero Register</t>
  </si>
  <si>
    <t>General Purpose Registers</t>
  </si>
  <si>
    <t>ADC0 INPUT</t>
  </si>
  <si>
    <t>ADC1 INPUT</t>
  </si>
  <si>
    <t>ADC2 INPUT</t>
  </si>
  <si>
    <t>DIGITAL INPUT PORT</t>
  </si>
  <si>
    <t>Stage 0</t>
  </si>
  <si>
    <t>Stage 1</t>
  </si>
  <si>
    <t>Stage 2</t>
  </si>
  <si>
    <t>Stage 3</t>
  </si>
  <si>
    <t>Stage 4</t>
  </si>
  <si>
    <t>Program Counter</t>
  </si>
  <si>
    <t>Instruction Mem</t>
  </si>
  <si>
    <t>Interrupt Handler</t>
  </si>
  <si>
    <t>Edge Detector</t>
  </si>
  <si>
    <t>Register File</t>
  </si>
  <si>
    <t>Control</t>
  </si>
  <si>
    <t>Forwarding Logic</t>
  </si>
  <si>
    <t>Shifter</t>
  </si>
  <si>
    <t>ALU</t>
  </si>
  <si>
    <t>Incrementer</t>
  </si>
  <si>
    <t>512 x 24</t>
  </si>
  <si>
    <t>16 x 24</t>
  </si>
  <si>
    <t>Address</t>
  </si>
  <si>
    <t>Calculator</t>
  </si>
  <si>
    <t>10bit</t>
  </si>
  <si>
    <t>Data Memory</t>
  </si>
  <si>
    <t>1024 x 8</t>
  </si>
  <si>
    <t>Read</t>
  </si>
  <si>
    <t>Write</t>
  </si>
  <si>
    <t>24bit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</si>
</sst>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ff-mono)"/>
    </font>
    <font>
      <b/>
      <sz val="18"/>
      <color theme="1"/>
      <name val="Calibri"/>
      <family val="2"/>
      <scheme val="minor"/>
    </font>
    <font>
      <b/>
      <sz val="18"/>
      <color theme="1"/>
      <name val="Var(--ff-mono)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9" borderId="6" xfId="0" quotePrefix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9" borderId="21" xfId="0" quotePrefix="1" applyFill="1" applyBorder="1" applyAlignment="1">
      <alignment horizontal="center"/>
    </xf>
    <xf numFmtId="0" fontId="0" fillId="9" borderId="22" xfId="0" quotePrefix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3" borderId="38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quotePrefix="1" applyFill="1" applyBorder="1" applyAlignment="1">
      <alignment horizontal="center"/>
    </xf>
    <xf numFmtId="0" fontId="0" fillId="9" borderId="43" xfId="0" quotePrefix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9" borderId="26" xfId="0" applyFont="1" applyFill="1" applyBorder="1" applyAlignment="1">
      <alignment vertical="center"/>
    </xf>
    <xf numFmtId="0" fontId="1" fillId="9" borderId="25" xfId="0" quotePrefix="1" applyFont="1" applyFill="1" applyBorder="1" applyAlignment="1">
      <alignment vertical="center"/>
    </xf>
    <xf numFmtId="0" fontId="1" fillId="9" borderId="26" xfId="0" quotePrefix="1" applyFont="1" applyFill="1" applyBorder="1" applyAlignment="1">
      <alignment vertical="center"/>
    </xf>
    <xf numFmtId="0" fontId="1" fillId="9" borderId="0" xfId="0" quotePrefix="1" applyFont="1" applyFill="1" applyAlignment="1">
      <alignment vertical="center"/>
    </xf>
    <xf numFmtId="0" fontId="0" fillId="8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0" fillId="11" borderId="38" xfId="0" applyFill="1" applyBorder="1"/>
    <xf numFmtId="0" fontId="1" fillId="11" borderId="25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8" xfId="0" applyFont="1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9" borderId="47" xfId="0" quotePrefix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/>
    <xf numFmtId="0" fontId="12" fillId="0" borderId="3" xfId="0" applyFont="1" applyBorder="1" applyAlignment="1">
      <alignment horizontal="center"/>
    </xf>
    <xf numFmtId="0" fontId="1" fillId="0" borderId="5" xfId="0" applyFont="1" applyBorder="1" applyAlignment="1">
      <alignment horizontal="left" indent="1"/>
    </xf>
    <xf numFmtId="0" fontId="4" fillId="2" borderId="27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2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left" indent="1"/>
    </xf>
    <xf numFmtId="0" fontId="12" fillId="0" borderId="42" xfId="0" applyFont="1" applyBorder="1" applyAlignment="1">
      <alignment horizontal="center"/>
    </xf>
    <xf numFmtId="0" fontId="1" fillId="0" borderId="44" xfId="0" applyFont="1" applyBorder="1" applyAlignment="1">
      <alignment horizontal="left" indent="1"/>
    </xf>
    <xf numFmtId="0" fontId="12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left" indent="1"/>
    </xf>
    <xf numFmtId="0" fontId="12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left" indent="1"/>
    </xf>
    <xf numFmtId="0" fontId="0" fillId="4" borderId="18" xfId="0" applyFill="1" applyBorder="1" applyAlignment="1">
      <alignment horizontal="center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0" fontId="0" fillId="0" borderId="24" xfId="0" applyBorder="1" applyAlignment="1">
      <alignment horizontal="center"/>
    </xf>
    <xf numFmtId="0" fontId="1" fillId="9" borderId="37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0" borderId="6" xfId="0" quotePrefix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5" borderId="6" xfId="0" quotePrefix="1" applyFill="1" applyBorder="1" applyAlignment="1">
      <alignment horizontal="center"/>
    </xf>
    <xf numFmtId="0" fontId="0" fillId="5" borderId="40" xfId="0" quotePrefix="1" applyFill="1" applyBorder="1" applyAlignment="1">
      <alignment horizontal="center"/>
    </xf>
    <xf numFmtId="0" fontId="0" fillId="5" borderId="20" xfId="0" quotePrefix="1" applyFill="1" applyBorder="1" applyAlignment="1">
      <alignment horizontal="center"/>
    </xf>
    <xf numFmtId="0" fontId="0" fillId="9" borderId="57" xfId="0" quotePrefix="1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10" borderId="47" xfId="0" quotePrefix="1" applyFill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5" borderId="27" xfId="0" quotePrefix="1" applyFill="1" applyBorder="1" applyAlignment="1">
      <alignment horizontal="center"/>
    </xf>
    <xf numFmtId="0" fontId="0" fillId="5" borderId="46" xfId="0" quotePrefix="1" applyFill="1" applyBorder="1" applyAlignment="1">
      <alignment horizontal="center"/>
    </xf>
    <xf numFmtId="0" fontId="0" fillId="5" borderId="23" xfId="0" quotePrefix="1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0" fillId="9" borderId="20" xfId="0" quotePrefix="1" applyFill="1" applyBorder="1" applyAlignment="1">
      <alignment horizontal="center"/>
    </xf>
    <xf numFmtId="0" fontId="0" fillId="9" borderId="57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5" borderId="41" xfId="0" quotePrefix="1" applyFill="1" applyBorder="1" applyAlignment="1">
      <alignment horizontal="center"/>
    </xf>
    <xf numFmtId="0" fontId="0" fillId="5" borderId="47" xfId="0" quotePrefix="1" applyFill="1" applyBorder="1" applyAlignment="1">
      <alignment horizontal="center"/>
    </xf>
    <xf numFmtId="0" fontId="0" fillId="5" borderId="44" xfId="0" quotePrefix="1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9" borderId="44" xfId="0" quotePrefix="1" applyFill="1" applyBorder="1" applyAlignment="1">
      <alignment horizontal="center"/>
    </xf>
    <xf numFmtId="0" fontId="0" fillId="8" borderId="49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0" fillId="9" borderId="53" xfId="0" quotePrefix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10" borderId="54" xfId="0" quotePrefix="1" applyFill="1" applyBorder="1" applyAlignment="1">
      <alignment horizontal="center"/>
    </xf>
    <xf numFmtId="0" fontId="0" fillId="10" borderId="54" xfId="0" applyFill="1" applyBorder="1" applyAlignment="1">
      <alignment horizontal="center"/>
    </xf>
    <xf numFmtId="0" fontId="0" fillId="9" borderId="54" xfId="0" quotePrefix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0" fillId="11" borderId="35" xfId="0" applyFill="1" applyBorder="1"/>
    <xf numFmtId="0" fontId="1" fillId="11" borderId="37" xfId="0" applyFont="1" applyFill="1" applyBorder="1" applyAlignment="1">
      <alignment horizontal="center"/>
    </xf>
    <xf numFmtId="0" fontId="1" fillId="11" borderId="36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left" indent="1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left" indent="1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left" indent="1"/>
    </xf>
    <xf numFmtId="0" fontId="0" fillId="14" borderId="42" xfId="0" applyFill="1" applyBorder="1" applyAlignment="1">
      <alignment horizontal="center"/>
    </xf>
    <xf numFmtId="0" fontId="0" fillId="14" borderId="44" xfId="0" applyFill="1" applyBorder="1" applyAlignment="1">
      <alignment horizontal="left" indent="1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0" xfId="0" applyBorder="1" applyAlignment="1">
      <alignment horizontal="left" indent="1"/>
    </xf>
    <xf numFmtId="0" fontId="1" fillId="13" borderId="21" xfId="0" applyFont="1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3" borderId="29" xfId="0" applyFill="1" applyBorder="1" applyAlignment="1">
      <alignment horizontal="left" indent="1"/>
    </xf>
    <xf numFmtId="0" fontId="1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0" xfId="0" applyFill="1" applyBorder="1" applyAlignment="1">
      <alignment horizontal="left" indent="1"/>
    </xf>
    <xf numFmtId="0" fontId="1" fillId="4" borderId="19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50" xfId="0" applyFill="1" applyBorder="1" applyAlignment="1">
      <alignment horizontal="left" indent="1"/>
    </xf>
    <xf numFmtId="0" fontId="1" fillId="12" borderId="19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50" xfId="0" applyFill="1" applyBorder="1" applyAlignment="1">
      <alignment horizontal="left" indent="1"/>
    </xf>
    <xf numFmtId="0" fontId="1" fillId="14" borderId="42" xfId="0" applyFont="1" applyFill="1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0" fillId="14" borderId="51" xfId="0" applyFill="1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4" fillId="15" borderId="38" xfId="0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4" fillId="15" borderId="3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2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5" borderId="26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5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0" fontId="4" fillId="12" borderId="0" xfId="0" applyFont="1" applyFill="1" applyAlignment="1">
      <alignment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39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33" xfId="0" applyFont="1" applyFill="1" applyBorder="1" applyAlignment="1">
      <alignment horizontal="center" vertical="center"/>
    </xf>
    <xf numFmtId="0" fontId="4" fillId="16" borderId="34" xfId="0" applyFont="1" applyFill="1" applyBorder="1" applyAlignment="1">
      <alignment horizontal="center" vertical="center"/>
    </xf>
    <xf numFmtId="0" fontId="10" fillId="8" borderId="38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0" fillId="8" borderId="39" xfId="0" applyFont="1" applyFill="1" applyBorder="1" applyAlignment="1" applyProtection="1">
      <alignment horizontal="center" vertical="center"/>
      <protection locked="0"/>
    </xf>
    <xf numFmtId="0" fontId="1" fillId="9" borderId="24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0" fillId="6" borderId="38" xfId="0" applyFont="1" applyFill="1" applyBorder="1" applyAlignment="1" applyProtection="1">
      <alignment horizontal="center" vertical="center"/>
      <protection locked="0"/>
    </xf>
    <xf numFmtId="0" fontId="10" fillId="6" borderId="24" xfId="0" applyFont="1" applyFill="1" applyBorder="1" applyAlignment="1" applyProtection="1">
      <alignment horizontal="center" vertical="center"/>
      <protection locked="0"/>
    </xf>
    <xf numFmtId="0" fontId="10" fillId="6" borderId="39" xfId="0" applyFont="1" applyFill="1" applyBorder="1" applyAlignment="1" applyProtection="1">
      <alignment horizontal="center" vertical="center"/>
      <protection locked="0"/>
    </xf>
    <xf numFmtId="0" fontId="1" fillId="9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0" fillId="7" borderId="38" xfId="0" applyFont="1" applyFill="1" applyBorder="1" applyAlignment="1" applyProtection="1">
      <alignment horizontal="center" vertical="center"/>
      <protection locked="0"/>
    </xf>
    <xf numFmtId="0" fontId="10" fillId="7" borderId="24" xfId="0" applyFont="1" applyFill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2" borderId="30" xfId="0" applyFill="1" applyBorder="1"/>
    <xf numFmtId="0" fontId="0" fillId="2" borderId="13" xfId="0" applyFill="1" applyBorder="1"/>
    <xf numFmtId="0" fontId="0" fillId="2" borderId="31" xfId="0" applyFill="1" applyBorder="1"/>
    <xf numFmtId="0" fontId="0" fillId="2" borderId="25" xfId="0" applyFill="1" applyBorder="1"/>
    <xf numFmtId="0" fontId="0" fillId="2" borderId="0" xfId="0" applyFill="1"/>
    <xf numFmtId="0" fontId="0" fillId="2" borderId="26" xfId="0" applyFill="1" applyBorder="1"/>
    <xf numFmtId="0" fontId="1" fillId="9" borderId="38" xfId="0" quotePrefix="1" applyFont="1" applyFill="1" applyBorder="1" applyAlignment="1">
      <alignment horizontal="center"/>
    </xf>
    <xf numFmtId="0" fontId="1" fillId="9" borderId="39" xfId="0" quotePrefix="1" applyFont="1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25" xfId="0" quotePrefix="1" applyFont="1" applyFill="1" applyBorder="1" applyAlignment="1">
      <alignment horizontal="center" vertical="center"/>
    </xf>
    <xf numFmtId="0" fontId="1" fillId="9" borderId="0" xfId="0" quotePrefix="1" applyFont="1" applyFill="1" applyAlignment="1">
      <alignment horizontal="center" vertical="center"/>
    </xf>
    <xf numFmtId="0" fontId="1" fillId="9" borderId="26" xfId="0" quotePrefix="1" applyFont="1" applyFill="1" applyBorder="1" applyAlignment="1">
      <alignment horizontal="center" vertical="center"/>
    </xf>
    <xf numFmtId="0" fontId="10" fillId="8" borderId="25" xfId="0" applyFont="1" applyFill="1" applyBorder="1" applyAlignment="1" applyProtection="1">
      <alignment horizontal="center" vertical="center"/>
      <protection locked="0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26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26" xfId="0" applyFont="1" applyFill="1" applyBorder="1" applyAlignment="1" applyProtection="1">
      <alignment horizontal="center" vertical="center"/>
      <protection locked="0"/>
    </xf>
    <xf numFmtId="0" fontId="1" fillId="9" borderId="3" xfId="0" quotePrefix="1" applyFont="1" applyFill="1" applyBorder="1" applyAlignment="1">
      <alignment horizontal="center"/>
    </xf>
    <xf numFmtId="0" fontId="1" fillId="9" borderId="5" xfId="0" quotePrefix="1" applyFont="1" applyFill="1" applyBorder="1" applyAlignment="1">
      <alignment horizontal="center"/>
    </xf>
    <xf numFmtId="0" fontId="1" fillId="9" borderId="25" xfId="0" quotePrefix="1" applyFont="1" applyFill="1" applyBorder="1"/>
    <xf numFmtId="0" fontId="1" fillId="9" borderId="26" xfId="0" quotePrefix="1" applyFont="1" applyFill="1" applyBorder="1"/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0" fillId="6" borderId="26" xfId="0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0" fillId="7" borderId="25" xfId="0" applyFont="1" applyFill="1" applyBorder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 vertical="center"/>
      <protection locked="0"/>
    </xf>
    <xf numFmtId="0" fontId="10" fillId="7" borderId="26" xfId="0" applyFont="1" applyFill="1" applyBorder="1" applyAlignment="1" applyProtection="1">
      <alignment horizontal="center" vertical="center"/>
      <protection locked="0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0" fillId="10" borderId="38" xfId="0" applyFont="1" applyFill="1" applyBorder="1" applyAlignment="1" applyProtection="1">
      <alignment horizontal="center" vertical="center"/>
      <protection locked="0"/>
    </xf>
    <xf numFmtId="0" fontId="10" fillId="10" borderId="24" xfId="0" applyFont="1" applyFill="1" applyBorder="1" applyAlignment="1" applyProtection="1">
      <alignment horizontal="center" vertical="center"/>
      <protection locked="0"/>
    </xf>
    <xf numFmtId="0" fontId="10" fillId="10" borderId="39" xfId="0" applyFont="1" applyFill="1" applyBorder="1" applyAlignment="1" applyProtection="1">
      <alignment horizontal="center" vertical="center"/>
      <protection locked="0"/>
    </xf>
    <xf numFmtId="0" fontId="1" fillId="9" borderId="38" xfId="0" quotePrefix="1" applyFont="1" applyFill="1" applyBorder="1" applyAlignment="1">
      <alignment horizontal="center" vertical="center"/>
    </xf>
    <xf numFmtId="0" fontId="1" fillId="9" borderId="39" xfId="0" quotePrefix="1" applyFont="1" applyFill="1" applyBorder="1" applyAlignment="1">
      <alignment horizontal="center" vertical="center"/>
    </xf>
    <xf numFmtId="0" fontId="1" fillId="9" borderId="32" xfId="0" quotePrefix="1" applyFont="1" applyFill="1" applyBorder="1" applyAlignment="1">
      <alignment horizontal="center" vertical="center"/>
    </xf>
    <xf numFmtId="0" fontId="1" fillId="9" borderId="34" xfId="0" quotePrefix="1" applyFont="1" applyFill="1" applyBorder="1" applyAlignment="1">
      <alignment horizontal="center" vertical="center"/>
    </xf>
    <xf numFmtId="0" fontId="1" fillId="9" borderId="24" xfId="0" quotePrefix="1" applyFont="1" applyFill="1" applyBorder="1" applyAlignment="1">
      <alignment horizontal="center" vertical="center"/>
    </xf>
    <xf numFmtId="0" fontId="1" fillId="9" borderId="33" xfId="0" quotePrefix="1" applyFont="1" applyFill="1" applyBorder="1" applyAlignment="1">
      <alignment horizontal="center" vertical="center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0" fillId="8" borderId="32" xfId="0" applyFont="1" applyFill="1" applyBorder="1" applyAlignment="1" applyProtection="1">
      <alignment horizontal="center" vertical="center"/>
      <protection locked="0"/>
    </xf>
    <xf numFmtId="0" fontId="10" fillId="8" borderId="33" xfId="0" applyFont="1" applyFill="1" applyBorder="1" applyAlignment="1" applyProtection="1">
      <alignment horizontal="center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1" fillId="10" borderId="38" xfId="0" applyFont="1" applyFill="1" applyBorder="1" applyAlignment="1" applyProtection="1">
      <alignment horizontal="center" vertical="center"/>
      <protection locked="0"/>
    </xf>
    <xf numFmtId="0" fontId="11" fillId="10" borderId="24" xfId="0" applyFont="1" applyFill="1" applyBorder="1" applyAlignment="1" applyProtection="1">
      <alignment horizontal="center" vertical="center"/>
      <protection locked="0"/>
    </xf>
    <xf numFmtId="0" fontId="11" fillId="10" borderId="39" xfId="0" applyFont="1" applyFill="1" applyBorder="1" applyAlignment="1" applyProtection="1">
      <alignment horizontal="center" vertical="center"/>
      <protection locked="0"/>
    </xf>
    <xf numFmtId="0" fontId="10" fillId="7" borderId="32" xfId="0" applyFont="1" applyFill="1" applyBorder="1" applyAlignment="1" applyProtection="1">
      <alignment horizontal="center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" fillId="8" borderId="38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9" borderId="8" xfId="0" quotePrefix="1" applyFont="1" applyFill="1" applyBorder="1" applyAlignment="1">
      <alignment horizontal="center"/>
    </xf>
    <xf numFmtId="0" fontId="1" fillId="9" borderId="9" xfId="0" quotePrefix="1" applyFont="1" applyFill="1" applyBorder="1" applyAlignment="1">
      <alignment horizontal="center"/>
    </xf>
    <xf numFmtId="0" fontId="1" fillId="11" borderId="38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1" fillId="9" borderId="32" xfId="0" quotePrefix="1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/>
    </xf>
    <xf numFmtId="0" fontId="1" fillId="10" borderId="33" xfId="0" applyFont="1" applyFill="1" applyBorder="1" applyAlignment="1">
      <alignment horizontal="center"/>
    </xf>
    <xf numFmtId="0" fontId="1" fillId="10" borderId="34" xfId="0" applyFont="1" applyFill="1" applyBorder="1" applyAlignment="1">
      <alignment horizontal="center"/>
    </xf>
    <xf numFmtId="0" fontId="0" fillId="2" borderId="25" xfId="0" quotePrefix="1" applyFill="1" applyBorder="1"/>
    <xf numFmtId="0" fontId="0" fillId="2" borderId="32" xfId="0" quotePrefix="1" applyFill="1" applyBorder="1" applyAlignment="1">
      <alignment horizontal="left"/>
    </xf>
    <xf numFmtId="0" fontId="0" fillId="2" borderId="33" xfId="0" quotePrefix="1" applyFill="1" applyBorder="1" applyAlignment="1">
      <alignment horizontal="left"/>
    </xf>
    <xf numFmtId="0" fontId="0" fillId="2" borderId="34" xfId="0" quotePrefix="1" applyFill="1" applyBorder="1" applyAlignment="1">
      <alignment horizontal="left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13" fillId="15" borderId="38" xfId="0" applyFont="1" applyFill="1" applyBorder="1" applyAlignment="1">
      <alignment horizontal="center" vertical="center"/>
    </xf>
    <xf numFmtId="0" fontId="13" fillId="15" borderId="24" xfId="0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15" borderId="32" xfId="0" applyFont="1" applyFill="1" applyBorder="1" applyAlignment="1">
      <alignment horizontal="center" vertical="center"/>
    </xf>
    <xf numFmtId="0" fontId="13" fillId="15" borderId="33" xfId="0" applyFont="1" applyFill="1" applyBorder="1" applyAlignment="1">
      <alignment horizontal="center" vertical="center"/>
    </xf>
    <xf numFmtId="0" fontId="13" fillId="12" borderId="38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 vertical="center"/>
    </xf>
    <xf numFmtId="0" fontId="13" fillId="12" borderId="39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26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2" borderId="34" xfId="0" applyFont="1" applyFill="1" applyBorder="1" applyAlignment="1">
      <alignment horizontal="center" vertical="center"/>
    </xf>
    <xf numFmtId="0" fontId="13" fillId="15" borderId="39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4" fillId="10" borderId="39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9168-9F95-47BB-8811-2ED5251E3D4A}">
  <sheetPr>
    <pageSetUpPr fitToPage="1"/>
  </sheetPr>
  <dimension ref="A1:AR92"/>
  <sheetViews>
    <sheetView tabSelected="1" topLeftCell="A61" workbookViewId="0">
      <selection activeCell="I6" sqref="I6:Q6"/>
    </sheetView>
  </sheetViews>
  <sheetFormatPr defaultRowHeight="15"/>
  <cols>
    <col min="1" max="1" width="10.42578125" customWidth="1"/>
    <col min="2" max="26" width="4.7109375" customWidth="1"/>
    <col min="27" max="27" width="10.5703125" customWidth="1"/>
    <col min="28" max="28" width="11.85546875" customWidth="1"/>
    <col min="29" max="29" width="2.42578125" customWidth="1"/>
    <col min="30" max="30" width="32.7109375" customWidth="1"/>
    <col min="31" max="31" width="14.85546875" customWidth="1"/>
    <col min="32" max="33" width="4.5703125" style="1" customWidth="1"/>
    <col min="34" max="34" width="4.5703125" style="131" customWidth="1"/>
    <col min="35" max="37" width="4.5703125" style="1" customWidth="1"/>
    <col min="38" max="38" width="4.7109375" style="1" customWidth="1"/>
    <col min="39" max="44" width="6" style="1" customWidth="1"/>
    <col min="45" max="45" width="8.85546875" customWidth="1"/>
    <col min="46" max="55" width="9.5703125" customWidth="1"/>
  </cols>
  <sheetData>
    <row r="1" spans="1:44" ht="16.5" thickBot="1">
      <c r="A1" s="2"/>
      <c r="B1" s="352" t="s">
        <v>1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4"/>
      <c r="Z1" s="1"/>
      <c r="AA1" s="20"/>
      <c r="AB1" s="100"/>
      <c r="AC1" s="1"/>
      <c r="AD1" s="1"/>
      <c r="AE1" s="1"/>
      <c r="AH1" s="1"/>
    </row>
    <row r="2" spans="1:44" ht="16.5" thickBot="1">
      <c r="A2" s="2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40"/>
      <c r="Z2" s="1"/>
      <c r="AA2" s="20"/>
      <c r="AB2" s="100"/>
      <c r="AC2" s="1"/>
      <c r="AD2" s="1"/>
      <c r="AE2" s="1"/>
      <c r="AH2" s="1"/>
    </row>
    <row r="3" spans="1:44" ht="16.5" thickBot="1">
      <c r="A3" s="2"/>
      <c r="B3" s="8">
        <v>23</v>
      </c>
      <c r="C3" s="9">
        <v>22</v>
      </c>
      <c r="D3" s="9">
        <v>21</v>
      </c>
      <c r="E3" s="10">
        <v>20</v>
      </c>
      <c r="F3" s="119">
        <v>19</v>
      </c>
      <c r="G3" s="6">
        <v>18</v>
      </c>
      <c r="H3" s="6">
        <v>17</v>
      </c>
      <c r="I3" s="7">
        <v>16</v>
      </c>
      <c r="J3" s="12">
        <v>15</v>
      </c>
      <c r="K3" s="9">
        <v>14</v>
      </c>
      <c r="L3" s="9">
        <v>13</v>
      </c>
      <c r="M3" s="11">
        <v>12</v>
      </c>
      <c r="N3" s="5">
        <v>11</v>
      </c>
      <c r="O3" s="6">
        <v>10</v>
      </c>
      <c r="P3" s="6">
        <v>9</v>
      </c>
      <c r="Q3" s="7">
        <v>8</v>
      </c>
      <c r="R3" s="12">
        <v>7</v>
      </c>
      <c r="S3" s="9">
        <v>6</v>
      </c>
      <c r="T3" s="9">
        <v>5</v>
      </c>
      <c r="U3" s="10">
        <v>4</v>
      </c>
      <c r="V3" s="5">
        <v>3</v>
      </c>
      <c r="W3" s="6">
        <v>2</v>
      </c>
      <c r="X3" s="6">
        <v>1</v>
      </c>
      <c r="Y3" s="7">
        <v>0</v>
      </c>
      <c r="Z3" s="1"/>
      <c r="AA3" s="20"/>
      <c r="AB3" s="100"/>
      <c r="AC3" s="1"/>
      <c r="AD3" s="1"/>
      <c r="AE3" s="1"/>
      <c r="AH3" s="1"/>
    </row>
    <row r="4" spans="1:44" ht="16.5" thickBot="1">
      <c r="A4" s="2"/>
      <c r="B4" s="382" t="s">
        <v>13</v>
      </c>
      <c r="C4" s="383"/>
      <c r="D4" s="277" t="s">
        <v>9</v>
      </c>
      <c r="E4" s="277"/>
      <c r="F4" s="277"/>
      <c r="G4" s="278"/>
      <c r="H4" s="281" t="s">
        <v>3</v>
      </c>
      <c r="I4" s="288" t="s">
        <v>19</v>
      </c>
      <c r="J4" s="289"/>
      <c r="K4" s="289"/>
      <c r="L4" s="289"/>
      <c r="M4" s="289"/>
      <c r="N4" s="289"/>
      <c r="O4" s="289"/>
      <c r="P4" s="289"/>
      <c r="Q4" s="290"/>
      <c r="R4" s="370" t="s">
        <v>16</v>
      </c>
      <c r="S4" s="371"/>
      <c r="T4" s="371"/>
      <c r="U4" s="372"/>
      <c r="V4" s="405" t="s">
        <v>15</v>
      </c>
      <c r="W4" s="406"/>
      <c r="X4" s="406"/>
      <c r="Y4" s="407"/>
      <c r="AA4" s="1"/>
      <c r="AB4" s="20"/>
      <c r="AC4" s="100"/>
      <c r="AD4" s="1"/>
      <c r="AE4" s="1"/>
      <c r="AH4" s="1"/>
    </row>
    <row r="5" spans="1:44" ht="16.5" thickBot="1">
      <c r="A5" s="2"/>
      <c r="B5" s="384"/>
      <c r="C5" s="385"/>
      <c r="D5" s="279"/>
      <c r="E5" s="279"/>
      <c r="F5" s="279"/>
      <c r="G5" s="280"/>
      <c r="H5" s="282"/>
      <c r="I5" s="283" t="s">
        <v>17</v>
      </c>
      <c r="J5" s="284"/>
      <c r="K5" s="284"/>
      <c r="L5" s="284"/>
      <c r="M5" s="284"/>
      <c r="N5" s="285" t="s">
        <v>18</v>
      </c>
      <c r="O5" s="286"/>
      <c r="P5" s="286"/>
      <c r="Q5" s="287"/>
      <c r="R5" s="373"/>
      <c r="S5" s="374"/>
      <c r="T5" s="374"/>
      <c r="U5" s="375"/>
      <c r="V5" s="408"/>
      <c r="W5" s="409"/>
      <c r="X5" s="409"/>
      <c r="Y5" s="410"/>
      <c r="AA5" s="1"/>
      <c r="AB5" s="20"/>
      <c r="AC5" s="100"/>
      <c r="AD5" s="1"/>
      <c r="AE5" s="1"/>
      <c r="AH5" s="1"/>
    </row>
    <row r="6" spans="1:44" ht="30" customHeight="1" thickBot="1">
      <c r="A6" s="2"/>
      <c r="B6" s="382"/>
      <c r="C6" s="383"/>
      <c r="D6" s="386"/>
      <c r="E6" s="386"/>
      <c r="F6" s="386"/>
      <c r="G6" s="383"/>
      <c r="H6" s="281"/>
      <c r="I6" s="396">
        <v>0</v>
      </c>
      <c r="J6" s="397"/>
      <c r="K6" s="397"/>
      <c r="L6" s="397"/>
      <c r="M6" s="397"/>
      <c r="N6" s="397"/>
      <c r="O6" s="397"/>
      <c r="P6" s="397"/>
      <c r="Q6" s="398"/>
      <c r="R6" s="303">
        <v>3</v>
      </c>
      <c r="S6" s="304"/>
      <c r="T6" s="304"/>
      <c r="U6" s="305"/>
      <c r="V6" s="274">
        <v>2</v>
      </c>
      <c r="W6" s="275"/>
      <c r="X6" s="275"/>
      <c r="Y6" s="276"/>
      <c r="AA6" s="1"/>
      <c r="AB6" s="20"/>
      <c r="AC6" s="100"/>
      <c r="AD6" s="1"/>
      <c r="AE6" s="1"/>
      <c r="AH6" s="1"/>
    </row>
    <row r="7" spans="1:44" ht="30" customHeight="1" thickBot="1">
      <c r="A7" s="2"/>
      <c r="B7" s="384"/>
      <c r="C7" s="385"/>
      <c r="D7" s="387"/>
      <c r="E7" s="387"/>
      <c r="F7" s="387"/>
      <c r="G7" s="385"/>
      <c r="H7" s="282"/>
      <c r="I7" s="120">
        <v>0</v>
      </c>
      <c r="J7" s="402">
        <v>0</v>
      </c>
      <c r="K7" s="403"/>
      <c r="L7" s="403"/>
      <c r="M7" s="404"/>
      <c r="N7" s="388">
        <v>5</v>
      </c>
      <c r="O7" s="389"/>
      <c r="P7" s="389"/>
      <c r="Q7" s="390"/>
      <c r="R7" s="399"/>
      <c r="S7" s="400"/>
      <c r="T7" s="400"/>
      <c r="U7" s="401"/>
      <c r="V7" s="393"/>
      <c r="W7" s="394"/>
      <c r="X7" s="394"/>
      <c r="Y7" s="395"/>
      <c r="AA7" s="1"/>
      <c r="AB7" s="20"/>
      <c r="AC7" s="100"/>
      <c r="AD7" s="1"/>
      <c r="AE7" s="1"/>
      <c r="AH7" s="1"/>
    </row>
    <row r="8" spans="1:44" ht="15.75">
      <c r="A8" s="63" t="s">
        <v>20</v>
      </c>
      <c r="B8" s="125">
        <v>0</v>
      </c>
      <c r="C8" s="125">
        <v>0</v>
      </c>
      <c r="D8" s="126">
        <v>0</v>
      </c>
      <c r="E8" s="127">
        <v>0</v>
      </c>
      <c r="F8" s="87">
        <v>0</v>
      </c>
      <c r="G8" s="42">
        <v>0</v>
      </c>
      <c r="H8" s="42">
        <v>0</v>
      </c>
      <c r="I8" s="72">
        <v>0</v>
      </c>
      <c r="J8" s="87">
        <v>0</v>
      </c>
      <c r="K8" s="42">
        <v>0</v>
      </c>
      <c r="L8" s="42">
        <v>0</v>
      </c>
      <c r="M8" s="33">
        <v>0</v>
      </c>
      <c r="N8" s="87">
        <v>0</v>
      </c>
      <c r="O8" s="42">
        <v>0</v>
      </c>
      <c r="P8" s="42">
        <v>0</v>
      </c>
      <c r="Q8" s="72">
        <v>0</v>
      </c>
      <c r="R8" s="87">
        <v>0</v>
      </c>
      <c r="S8" s="42">
        <v>0</v>
      </c>
      <c r="T8" s="42">
        <v>0</v>
      </c>
      <c r="U8" s="33">
        <v>0</v>
      </c>
      <c r="V8" s="128">
        <v>0</v>
      </c>
      <c r="W8" s="42">
        <v>0</v>
      </c>
      <c r="X8" s="42">
        <v>0</v>
      </c>
      <c r="Y8" s="33">
        <v>0</v>
      </c>
      <c r="AA8" s="63" t="s">
        <v>20</v>
      </c>
      <c r="AB8" s="104" t="str">
        <f t="shared" ref="AB8:AB17" si="0">_xlfn.CONCAT(AF8:AK8)</f>
        <v>000000</v>
      </c>
      <c r="AC8" s="109" t="s">
        <v>62</v>
      </c>
      <c r="AD8" s="110" t="s">
        <v>20</v>
      </c>
      <c r="AE8" s="129"/>
      <c r="AF8" s="130" t="str">
        <f t="shared" ref="AF8:AK8" si="1">BIN2HEX(AM8)</f>
        <v>0</v>
      </c>
      <c r="AG8" s="130" t="str">
        <f t="shared" si="1"/>
        <v>0</v>
      </c>
      <c r="AH8" s="130" t="str">
        <f t="shared" si="1"/>
        <v>0</v>
      </c>
      <c r="AI8" s="130" t="str">
        <f t="shared" si="1"/>
        <v>0</v>
      </c>
      <c r="AJ8" s="130" t="str">
        <f t="shared" si="1"/>
        <v>0</v>
      </c>
      <c r="AK8" s="130" t="str">
        <f t="shared" si="1"/>
        <v>0</v>
      </c>
      <c r="AM8" s="131" t="str">
        <f t="shared" ref="AM8:AM17" si="2">_xlfn.CONCAT(B8:E8)</f>
        <v>0000</v>
      </c>
      <c r="AN8" s="131" t="str">
        <f t="shared" ref="AN8:AN17" si="3">_xlfn.CONCAT(F8:I8)</f>
        <v>0000</v>
      </c>
      <c r="AO8" s="131" t="str">
        <f t="shared" ref="AO8:AO17" si="4">_xlfn.CONCAT(J8:M8)</f>
        <v>0000</v>
      </c>
      <c r="AP8" s="131" t="str">
        <f t="shared" ref="AP8:AP17" si="5">_xlfn.CONCAT(N8:Q8)</f>
        <v>0000</v>
      </c>
      <c r="AQ8" s="131" t="str">
        <f t="shared" ref="AQ8:AQ17" si="6">_xlfn.CONCAT(R8:U8)</f>
        <v>0000</v>
      </c>
      <c r="AR8" s="131" t="str">
        <f t="shared" ref="AR8:AR17" si="7">_xlfn.CONCAT(V8:Y8)</f>
        <v>0000</v>
      </c>
    </row>
    <row r="9" spans="1:44" ht="15.75">
      <c r="A9" s="64" t="s">
        <v>21</v>
      </c>
      <c r="B9" s="13">
        <v>0</v>
      </c>
      <c r="C9" s="13">
        <v>0</v>
      </c>
      <c r="D9" s="14">
        <v>0</v>
      </c>
      <c r="E9" s="35">
        <v>0</v>
      </c>
      <c r="F9" s="23">
        <v>0</v>
      </c>
      <c r="G9" s="14">
        <v>0</v>
      </c>
      <c r="H9" s="13">
        <v>0</v>
      </c>
      <c r="I9" s="27">
        <f>I7</f>
        <v>0</v>
      </c>
      <c r="J9" s="30">
        <f>INT(J7/8)</f>
        <v>0</v>
      </c>
      <c r="K9" s="15">
        <f>INT((J7-(J9*8))/4)</f>
        <v>0</v>
      </c>
      <c r="L9" s="15">
        <f>INT((J7-(J9*8)-(K9*4))/2)</f>
        <v>0</v>
      </c>
      <c r="M9" s="132">
        <f>J7-(J9*8)-(K9*4)-(L9*2)</f>
        <v>0</v>
      </c>
      <c r="N9" s="28">
        <f>INT(N7/8)</f>
        <v>0</v>
      </c>
      <c r="O9" s="16">
        <f>INT((N7-(N9*8))/4)</f>
        <v>1</v>
      </c>
      <c r="P9" s="16">
        <f>INT((N7-(N9*8)-(O9*4))/2)</f>
        <v>0</v>
      </c>
      <c r="Q9" s="133">
        <f>N7-(N9*8)-(O9*4)-(P9*2)</f>
        <v>1</v>
      </c>
      <c r="R9" s="26">
        <f>INT(R6/8)</f>
        <v>0</v>
      </c>
      <c r="S9" s="19">
        <f>INT((R6-(R9*8))/4)</f>
        <v>0</v>
      </c>
      <c r="T9" s="19">
        <f>INT((R6-(R9*8)-(S9*4))/2)</f>
        <v>1</v>
      </c>
      <c r="U9" s="78">
        <f>R6-(R9*8)-(S9*4)-(T9*2)</f>
        <v>1</v>
      </c>
      <c r="V9" s="22">
        <f>INT(V6/8)</f>
        <v>0</v>
      </c>
      <c r="W9" s="18">
        <f>INT((V6-(V9*8))/4)</f>
        <v>0</v>
      </c>
      <c r="X9" s="18">
        <f>INT((V6-(V9*8)-(W9*4))/2)</f>
        <v>1</v>
      </c>
      <c r="Y9" s="24">
        <f>V6-(V9*8)-(W9*4)-(X9*2)</f>
        <v>0</v>
      </c>
      <c r="AA9" s="64" t="s">
        <v>21</v>
      </c>
      <c r="AB9" s="106" t="str">
        <f t="shared" si="0"/>
        <v>000532</v>
      </c>
      <c r="AC9" s="111" t="s">
        <v>62</v>
      </c>
      <c r="AD9" s="112" t="str">
        <f>"ADD r"&amp;$V$6&amp;", r"&amp;$R$6&amp;", "&amp;IF((J$7=0), "r"&amp;N$7, IF(I$7=1,"(r"&amp;N$7&amp;" &gt;&gt;  "&amp;J$7&amp;")", "(r"&amp;N$7&amp;" &lt;&lt;  "&amp;J$7&amp;")"))</f>
        <v>ADD r2, r3, r5</v>
      </c>
      <c r="AE9" s="129"/>
      <c r="AF9" s="130" t="str">
        <f t="shared" ref="AF9:AG17" si="8">BIN2HEX(AM9)</f>
        <v>0</v>
      </c>
      <c r="AG9" s="130" t="str">
        <f t="shared" si="8"/>
        <v>0</v>
      </c>
      <c r="AH9" s="130" t="str">
        <f t="shared" ref="AH9:AI17" si="9">BIN2HEX(AO9)</f>
        <v>0</v>
      </c>
      <c r="AI9" s="130" t="str">
        <f t="shared" si="9"/>
        <v>5</v>
      </c>
      <c r="AJ9" s="130" t="str">
        <f t="shared" ref="AJ9:AK17" si="10">BIN2HEX(AQ9)</f>
        <v>3</v>
      </c>
      <c r="AK9" s="130" t="str">
        <f t="shared" si="10"/>
        <v>2</v>
      </c>
      <c r="AM9" s="131" t="str">
        <f t="shared" si="2"/>
        <v>0000</v>
      </c>
      <c r="AN9" s="131" t="str">
        <f t="shared" si="3"/>
        <v>0000</v>
      </c>
      <c r="AO9" s="131" t="str">
        <f t="shared" si="4"/>
        <v>0000</v>
      </c>
      <c r="AP9" s="131" t="str">
        <f t="shared" si="5"/>
        <v>0101</v>
      </c>
      <c r="AQ9" s="131" t="str">
        <f t="shared" si="6"/>
        <v>0011</v>
      </c>
      <c r="AR9" s="131" t="str">
        <f t="shared" si="7"/>
        <v>0010</v>
      </c>
    </row>
    <row r="10" spans="1:44" ht="15.75">
      <c r="A10" s="64" t="s">
        <v>22</v>
      </c>
      <c r="B10" s="13">
        <v>0</v>
      </c>
      <c r="C10" s="13">
        <v>0</v>
      </c>
      <c r="D10" s="14">
        <v>0</v>
      </c>
      <c r="E10" s="35">
        <v>0</v>
      </c>
      <c r="F10" s="23">
        <v>0</v>
      </c>
      <c r="G10" s="14">
        <v>0</v>
      </c>
      <c r="H10" s="13">
        <v>1</v>
      </c>
      <c r="I10" s="134">
        <f>INT(I6/256)</f>
        <v>0</v>
      </c>
      <c r="J10" s="84">
        <f>INT((I6-(256*I10))/128)</f>
        <v>0</v>
      </c>
      <c r="K10" s="54">
        <f>INT((I6-(256*I10)-(J10*128))/64)</f>
        <v>0</v>
      </c>
      <c r="L10" s="54">
        <f>INT((I6-(256*I10)-(J10*128)-(K10*64))/32)</f>
        <v>0</v>
      </c>
      <c r="M10" s="60">
        <f>INT((I6-(256*I10)-(J10*128)-(K10*64)-(L10*32))/16)</f>
        <v>0</v>
      </c>
      <c r="N10" s="84">
        <f>INT((I6-(256*I10)-(J10*128)-(K10*64)-(L10*32)-(M10*16))/8)</f>
        <v>0</v>
      </c>
      <c r="O10" s="54">
        <f>INT((I6-(256*I10)-(128*J10)-(64*K10)-(32*L10)-(16*M10)-(8*N10))/4)</f>
        <v>0</v>
      </c>
      <c r="P10" s="54">
        <f>INT((I6-(256*I10)-(128*J10)-(64*K10)-(32*L10)-(16*M10)-(8*N10)-(4*O10))/2)</f>
        <v>0</v>
      </c>
      <c r="Q10" s="96">
        <f>(I6-(256*I10)-(128*J10)-(64*K10)-(32*L10)-(16*M10)-(8*N10)-(4*O10)-(2*P10))</f>
        <v>0</v>
      </c>
      <c r="R10" s="26">
        <f>$R$9</f>
        <v>0</v>
      </c>
      <c r="S10" s="19">
        <f>$S$9</f>
        <v>0</v>
      </c>
      <c r="T10" s="19">
        <f>$T$9</f>
        <v>1</v>
      </c>
      <c r="U10" s="78">
        <f>$U$9</f>
        <v>1</v>
      </c>
      <c r="V10" s="135">
        <f>$V$9</f>
        <v>0</v>
      </c>
      <c r="W10" s="18">
        <f>$W$9</f>
        <v>0</v>
      </c>
      <c r="X10" s="18">
        <f>$X$9</f>
        <v>1</v>
      </c>
      <c r="Y10" s="24">
        <f>$Y$9</f>
        <v>0</v>
      </c>
      <c r="AA10" s="64" t="s">
        <v>22</v>
      </c>
      <c r="AB10" s="106" t="str">
        <f t="shared" si="0"/>
        <v>020032</v>
      </c>
      <c r="AC10" s="111" t="s">
        <v>62</v>
      </c>
      <c r="AD10" s="112" t="str">
        <f>"ADD r"&amp;$V$6&amp;", r"&amp;$R$6&amp;", "&amp;$I$6</f>
        <v>ADD r2, r3, 0</v>
      </c>
      <c r="AE10" s="129"/>
      <c r="AF10" s="130" t="str">
        <f t="shared" si="8"/>
        <v>0</v>
      </c>
      <c r="AG10" s="130" t="str">
        <f t="shared" si="8"/>
        <v>2</v>
      </c>
      <c r="AH10" s="130" t="str">
        <f t="shared" si="9"/>
        <v>0</v>
      </c>
      <c r="AI10" s="130" t="str">
        <f t="shared" si="9"/>
        <v>0</v>
      </c>
      <c r="AJ10" s="130" t="str">
        <f t="shared" si="10"/>
        <v>3</v>
      </c>
      <c r="AK10" s="130" t="str">
        <f t="shared" si="10"/>
        <v>2</v>
      </c>
      <c r="AM10" s="131" t="str">
        <f t="shared" si="2"/>
        <v>0000</v>
      </c>
      <c r="AN10" s="131" t="str">
        <f t="shared" si="3"/>
        <v>0010</v>
      </c>
      <c r="AO10" s="131" t="str">
        <f t="shared" si="4"/>
        <v>0000</v>
      </c>
      <c r="AP10" s="131" t="str">
        <f t="shared" si="5"/>
        <v>0000</v>
      </c>
      <c r="AQ10" s="131" t="str">
        <f t="shared" si="6"/>
        <v>0011</v>
      </c>
      <c r="AR10" s="131" t="str">
        <f t="shared" si="7"/>
        <v>0010</v>
      </c>
    </row>
    <row r="11" spans="1:44" ht="15.75">
      <c r="A11" s="64" t="s">
        <v>39</v>
      </c>
      <c r="B11" s="13">
        <v>0</v>
      </c>
      <c r="C11" s="13">
        <v>0</v>
      </c>
      <c r="D11" s="14">
        <v>0</v>
      </c>
      <c r="E11" s="35">
        <v>0</v>
      </c>
      <c r="F11" s="23">
        <v>0</v>
      </c>
      <c r="G11" s="14">
        <v>0</v>
      </c>
      <c r="H11" s="13">
        <v>1</v>
      </c>
      <c r="I11" s="134">
        <f>$I$10</f>
        <v>0</v>
      </c>
      <c r="J11" s="84">
        <f>$J$10</f>
        <v>0</v>
      </c>
      <c r="K11" s="54">
        <f t="shared" ref="K11:Q17" si="11">K$10</f>
        <v>0</v>
      </c>
      <c r="L11" s="54">
        <f t="shared" si="11"/>
        <v>0</v>
      </c>
      <c r="M11" s="60">
        <f t="shared" si="11"/>
        <v>0</v>
      </c>
      <c r="N11" s="84">
        <f t="shared" si="11"/>
        <v>0</v>
      </c>
      <c r="O11" s="54">
        <f t="shared" si="11"/>
        <v>0</v>
      </c>
      <c r="P11" s="54">
        <f t="shared" si="11"/>
        <v>0</v>
      </c>
      <c r="Q11" s="96">
        <f t="shared" si="11"/>
        <v>0</v>
      </c>
      <c r="R11" s="23">
        <v>0</v>
      </c>
      <c r="S11" s="14">
        <v>0</v>
      </c>
      <c r="T11" s="14">
        <v>0</v>
      </c>
      <c r="U11" s="29">
        <v>0</v>
      </c>
      <c r="V11" s="135">
        <f t="shared" ref="V11:V17" si="12">$V$9</f>
        <v>0</v>
      </c>
      <c r="W11" s="18">
        <f t="shared" ref="W11:W17" si="13">$W$9</f>
        <v>0</v>
      </c>
      <c r="X11" s="18">
        <f t="shared" ref="X11:X17" si="14">$X$9</f>
        <v>1</v>
      </c>
      <c r="Y11" s="24">
        <f t="shared" ref="Y11:Y17" si="15">$Y$9</f>
        <v>0</v>
      </c>
      <c r="AA11" s="64" t="s">
        <v>39</v>
      </c>
      <c r="AB11" s="106" t="str">
        <f t="shared" si="0"/>
        <v>020002</v>
      </c>
      <c r="AC11" s="111" t="s">
        <v>62</v>
      </c>
      <c r="AD11" s="112" t="str">
        <f>"ADD r"&amp;$V$6&amp;", r0, "&amp;$I$6</f>
        <v>ADD r2, r0, 0</v>
      </c>
      <c r="AE11" s="129"/>
      <c r="AF11" s="130" t="str">
        <f t="shared" si="8"/>
        <v>0</v>
      </c>
      <c r="AG11" s="130" t="str">
        <f t="shared" si="8"/>
        <v>2</v>
      </c>
      <c r="AH11" s="130" t="str">
        <f t="shared" si="9"/>
        <v>0</v>
      </c>
      <c r="AI11" s="130" t="str">
        <f t="shared" si="9"/>
        <v>0</v>
      </c>
      <c r="AJ11" s="130" t="str">
        <f t="shared" si="10"/>
        <v>0</v>
      </c>
      <c r="AK11" s="130" t="str">
        <f t="shared" si="10"/>
        <v>2</v>
      </c>
      <c r="AM11" s="131" t="str">
        <f t="shared" si="2"/>
        <v>0000</v>
      </c>
      <c r="AN11" s="131" t="str">
        <f t="shared" si="3"/>
        <v>0010</v>
      </c>
      <c r="AO11" s="131" t="str">
        <f t="shared" si="4"/>
        <v>0000</v>
      </c>
      <c r="AP11" s="131" t="str">
        <f t="shared" si="5"/>
        <v>0000</v>
      </c>
      <c r="AQ11" s="131" t="str">
        <f t="shared" si="6"/>
        <v>0000</v>
      </c>
      <c r="AR11" s="131" t="str">
        <f t="shared" si="7"/>
        <v>0010</v>
      </c>
    </row>
    <row r="12" spans="1:44" ht="15.75">
      <c r="A12" s="64" t="s">
        <v>23</v>
      </c>
      <c r="B12" s="13">
        <v>0</v>
      </c>
      <c r="C12" s="13">
        <v>0</v>
      </c>
      <c r="D12" s="14">
        <v>0</v>
      </c>
      <c r="E12" s="35">
        <v>1</v>
      </c>
      <c r="F12" s="23">
        <v>0</v>
      </c>
      <c r="G12" s="14">
        <v>0</v>
      </c>
      <c r="H12" s="13">
        <v>0</v>
      </c>
      <c r="I12" s="136">
        <f>I$9</f>
        <v>0</v>
      </c>
      <c r="J12" s="137">
        <f t="shared" ref="J12:M12" si="16">J$9</f>
        <v>0</v>
      </c>
      <c r="K12" s="136">
        <f t="shared" si="16"/>
        <v>0</v>
      </c>
      <c r="L12" s="136">
        <f t="shared" si="16"/>
        <v>0</v>
      </c>
      <c r="M12" s="138">
        <f t="shared" si="16"/>
        <v>0</v>
      </c>
      <c r="N12" s="28">
        <f t="shared" ref="N12:N16" si="17">N$9</f>
        <v>0</v>
      </c>
      <c r="O12" s="16">
        <f t="shared" ref="O12:Q16" si="18">O$9</f>
        <v>1</v>
      </c>
      <c r="P12" s="16">
        <f t="shared" si="18"/>
        <v>0</v>
      </c>
      <c r="Q12" s="133">
        <f t="shared" si="18"/>
        <v>1</v>
      </c>
      <c r="R12" s="26">
        <f t="shared" ref="R12:R17" si="19">$R$9</f>
        <v>0</v>
      </c>
      <c r="S12" s="19">
        <f t="shared" ref="S12:S17" si="20">$S$9</f>
        <v>0</v>
      </c>
      <c r="T12" s="19">
        <f t="shared" ref="T12:T17" si="21">$T$9</f>
        <v>1</v>
      </c>
      <c r="U12" s="78">
        <f t="shared" ref="U12:U17" si="22">$U$9</f>
        <v>1</v>
      </c>
      <c r="V12" s="135">
        <f t="shared" si="12"/>
        <v>0</v>
      </c>
      <c r="W12" s="18">
        <f t="shared" si="13"/>
        <v>0</v>
      </c>
      <c r="X12" s="18">
        <f t="shared" si="14"/>
        <v>1</v>
      </c>
      <c r="Y12" s="24">
        <f t="shared" si="15"/>
        <v>0</v>
      </c>
      <c r="AA12" s="64" t="s">
        <v>23</v>
      </c>
      <c r="AB12" s="106" t="str">
        <f t="shared" si="0"/>
        <v>100532</v>
      </c>
      <c r="AC12" s="111" t="s">
        <v>62</v>
      </c>
      <c r="AD12" s="112" t="str">
        <f>"SUB r"&amp;$V$6&amp;", r"&amp;$R$6&amp;", "&amp;IF((J$7=0), "r"&amp;N$7, IF(I$7=1,"(r"&amp;N$7&amp;" &gt;&gt;  "&amp;J$7&amp;")", "(r"&amp;N$7&amp;" &lt;&lt;  "&amp;J$7&amp;")"))</f>
        <v>SUB r2, r3, r5</v>
      </c>
      <c r="AE12" s="129"/>
      <c r="AF12" s="130" t="str">
        <f t="shared" si="8"/>
        <v>1</v>
      </c>
      <c r="AG12" s="130" t="str">
        <f t="shared" si="8"/>
        <v>0</v>
      </c>
      <c r="AH12" s="130" t="str">
        <f t="shared" si="9"/>
        <v>0</v>
      </c>
      <c r="AI12" s="130" t="str">
        <f t="shared" si="9"/>
        <v>5</v>
      </c>
      <c r="AJ12" s="130" t="str">
        <f t="shared" si="10"/>
        <v>3</v>
      </c>
      <c r="AK12" s="130" t="str">
        <f t="shared" si="10"/>
        <v>2</v>
      </c>
      <c r="AM12" s="131" t="str">
        <f t="shared" si="2"/>
        <v>0001</v>
      </c>
      <c r="AN12" s="131" t="str">
        <f t="shared" si="3"/>
        <v>0000</v>
      </c>
      <c r="AO12" s="131" t="str">
        <f t="shared" si="4"/>
        <v>0000</v>
      </c>
      <c r="AP12" s="131" t="str">
        <f t="shared" si="5"/>
        <v>0101</v>
      </c>
      <c r="AQ12" s="131" t="str">
        <f t="shared" si="6"/>
        <v>0011</v>
      </c>
      <c r="AR12" s="131" t="str">
        <f t="shared" si="7"/>
        <v>0010</v>
      </c>
    </row>
    <row r="13" spans="1:44" ht="15.75">
      <c r="A13" s="64" t="s">
        <v>24</v>
      </c>
      <c r="B13" s="13">
        <v>0</v>
      </c>
      <c r="C13" s="13">
        <v>0</v>
      </c>
      <c r="D13" s="14">
        <v>0</v>
      </c>
      <c r="E13" s="35">
        <v>1</v>
      </c>
      <c r="F13" s="23">
        <v>0</v>
      </c>
      <c r="G13" s="14">
        <v>0</v>
      </c>
      <c r="H13" s="13">
        <v>1</v>
      </c>
      <c r="I13" s="134">
        <f>$I$10</f>
        <v>0</v>
      </c>
      <c r="J13" s="84">
        <f>$J$10</f>
        <v>0</v>
      </c>
      <c r="K13" s="54">
        <f t="shared" si="11"/>
        <v>0</v>
      </c>
      <c r="L13" s="54">
        <f t="shared" si="11"/>
        <v>0</v>
      </c>
      <c r="M13" s="60">
        <f t="shared" si="11"/>
        <v>0</v>
      </c>
      <c r="N13" s="84">
        <f t="shared" si="11"/>
        <v>0</v>
      </c>
      <c r="O13" s="54">
        <f t="shared" si="11"/>
        <v>0</v>
      </c>
      <c r="P13" s="54">
        <f t="shared" si="11"/>
        <v>0</v>
      </c>
      <c r="Q13" s="96">
        <f t="shared" si="11"/>
        <v>0</v>
      </c>
      <c r="R13" s="26">
        <f t="shared" si="19"/>
        <v>0</v>
      </c>
      <c r="S13" s="19">
        <f t="shared" si="20"/>
        <v>0</v>
      </c>
      <c r="T13" s="19">
        <f t="shared" si="21"/>
        <v>1</v>
      </c>
      <c r="U13" s="78">
        <f t="shared" si="22"/>
        <v>1</v>
      </c>
      <c r="V13" s="135">
        <f t="shared" si="12"/>
        <v>0</v>
      </c>
      <c r="W13" s="18">
        <f t="shared" si="13"/>
        <v>0</v>
      </c>
      <c r="X13" s="18">
        <f t="shared" si="14"/>
        <v>1</v>
      </c>
      <c r="Y13" s="24">
        <f t="shared" si="15"/>
        <v>0</v>
      </c>
      <c r="AA13" s="64" t="s">
        <v>24</v>
      </c>
      <c r="AB13" s="106" t="str">
        <f t="shared" si="0"/>
        <v>120032</v>
      </c>
      <c r="AC13" s="111" t="s">
        <v>62</v>
      </c>
      <c r="AD13" s="112" t="str">
        <f>"SUB r"&amp;$V$6&amp;", r"&amp;$R$6&amp;", "&amp;$I$6</f>
        <v>SUB r2, r3, 0</v>
      </c>
      <c r="AE13" s="129"/>
      <c r="AF13" s="130" t="str">
        <f t="shared" si="8"/>
        <v>1</v>
      </c>
      <c r="AG13" s="130" t="str">
        <f t="shared" si="8"/>
        <v>2</v>
      </c>
      <c r="AH13" s="130" t="str">
        <f t="shared" si="9"/>
        <v>0</v>
      </c>
      <c r="AI13" s="130" t="str">
        <f t="shared" si="9"/>
        <v>0</v>
      </c>
      <c r="AJ13" s="130" t="str">
        <f t="shared" si="10"/>
        <v>3</v>
      </c>
      <c r="AK13" s="130" t="str">
        <f t="shared" si="10"/>
        <v>2</v>
      </c>
      <c r="AM13" s="131" t="str">
        <f t="shared" si="2"/>
        <v>0001</v>
      </c>
      <c r="AN13" s="131" t="str">
        <f t="shared" si="3"/>
        <v>0010</v>
      </c>
      <c r="AO13" s="131" t="str">
        <f t="shared" si="4"/>
        <v>0000</v>
      </c>
      <c r="AP13" s="131" t="str">
        <f t="shared" si="5"/>
        <v>0000</v>
      </c>
      <c r="AQ13" s="131" t="str">
        <f t="shared" si="6"/>
        <v>0011</v>
      </c>
      <c r="AR13" s="131" t="str">
        <f t="shared" si="7"/>
        <v>0010</v>
      </c>
    </row>
    <row r="14" spans="1:44" ht="15.75">
      <c r="A14" s="64" t="s">
        <v>25</v>
      </c>
      <c r="B14" s="13">
        <v>0</v>
      </c>
      <c r="C14" s="13">
        <v>0</v>
      </c>
      <c r="D14" s="14">
        <v>0</v>
      </c>
      <c r="E14" s="35">
        <v>1</v>
      </c>
      <c r="F14" s="23">
        <v>0</v>
      </c>
      <c r="G14" s="14">
        <v>0</v>
      </c>
      <c r="H14" s="13">
        <v>0</v>
      </c>
      <c r="I14" s="136">
        <f t="shared" ref="I14:M14" si="23">I$9</f>
        <v>0</v>
      </c>
      <c r="J14" s="137">
        <f t="shared" si="23"/>
        <v>0</v>
      </c>
      <c r="K14" s="136">
        <f t="shared" si="23"/>
        <v>0</v>
      </c>
      <c r="L14" s="136">
        <f t="shared" si="23"/>
        <v>0</v>
      </c>
      <c r="M14" s="138">
        <f t="shared" si="23"/>
        <v>0</v>
      </c>
      <c r="N14" s="28">
        <f t="shared" si="17"/>
        <v>0</v>
      </c>
      <c r="O14" s="16">
        <f t="shared" si="18"/>
        <v>1</v>
      </c>
      <c r="P14" s="16">
        <f t="shared" si="18"/>
        <v>0</v>
      </c>
      <c r="Q14" s="133">
        <f t="shared" si="18"/>
        <v>1</v>
      </c>
      <c r="R14" s="26">
        <f t="shared" si="19"/>
        <v>0</v>
      </c>
      <c r="S14" s="19">
        <f t="shared" si="20"/>
        <v>0</v>
      </c>
      <c r="T14" s="19">
        <f t="shared" si="21"/>
        <v>1</v>
      </c>
      <c r="U14" s="78">
        <f t="shared" si="22"/>
        <v>1</v>
      </c>
      <c r="V14" s="191">
        <v>0</v>
      </c>
      <c r="W14" s="14">
        <v>0</v>
      </c>
      <c r="X14" s="14">
        <v>0</v>
      </c>
      <c r="Y14" s="29">
        <v>0</v>
      </c>
      <c r="AA14" s="64" t="s">
        <v>25</v>
      </c>
      <c r="AB14" s="106" t="str">
        <f t="shared" si="0"/>
        <v>100530</v>
      </c>
      <c r="AC14" s="111" t="s">
        <v>62</v>
      </c>
      <c r="AD14" s="112" t="str">
        <f>"COMP r"&amp;$R$6&amp;", "&amp;IF((J$7=0), "r"&amp;N$7, IF(I$7=1,"(r"&amp;N$7&amp;" &gt;&gt;  "&amp;J$7&amp;")", "(r"&amp;N$7&amp;" &lt;&lt;  "&amp;J$7&amp;")"))</f>
        <v>COMP r3, r5</v>
      </c>
      <c r="AE14" s="129"/>
      <c r="AF14" s="130" t="str">
        <f t="shared" si="8"/>
        <v>1</v>
      </c>
      <c r="AG14" s="130" t="str">
        <f t="shared" si="8"/>
        <v>0</v>
      </c>
      <c r="AH14" s="130" t="str">
        <f t="shared" si="9"/>
        <v>0</v>
      </c>
      <c r="AI14" s="130" t="str">
        <f t="shared" si="9"/>
        <v>5</v>
      </c>
      <c r="AJ14" s="130" t="str">
        <f t="shared" si="10"/>
        <v>3</v>
      </c>
      <c r="AK14" s="130" t="str">
        <f t="shared" si="10"/>
        <v>0</v>
      </c>
      <c r="AM14" s="131" t="str">
        <f t="shared" si="2"/>
        <v>0001</v>
      </c>
      <c r="AN14" s="131" t="str">
        <f t="shared" si="3"/>
        <v>0000</v>
      </c>
      <c r="AO14" s="131" t="str">
        <f t="shared" si="4"/>
        <v>0000</v>
      </c>
      <c r="AP14" s="131" t="str">
        <f t="shared" si="5"/>
        <v>0101</v>
      </c>
      <c r="AQ14" s="131" t="str">
        <f t="shared" si="6"/>
        <v>0011</v>
      </c>
      <c r="AR14" s="131" t="str">
        <f t="shared" si="7"/>
        <v>0000</v>
      </c>
    </row>
    <row r="15" spans="1:44" ht="15.75">
      <c r="A15" s="64" t="s">
        <v>26</v>
      </c>
      <c r="B15" s="13">
        <v>0</v>
      </c>
      <c r="C15" s="13">
        <v>0</v>
      </c>
      <c r="D15" s="14">
        <v>0</v>
      </c>
      <c r="E15" s="35">
        <v>1</v>
      </c>
      <c r="F15" s="23">
        <v>0</v>
      </c>
      <c r="G15" s="14">
        <v>0</v>
      </c>
      <c r="H15" s="13">
        <v>1</v>
      </c>
      <c r="I15" s="134">
        <f>$I$10</f>
        <v>0</v>
      </c>
      <c r="J15" s="84">
        <f>$J$10</f>
        <v>0</v>
      </c>
      <c r="K15" s="54">
        <f t="shared" si="11"/>
        <v>0</v>
      </c>
      <c r="L15" s="54">
        <f t="shared" si="11"/>
        <v>0</v>
      </c>
      <c r="M15" s="60">
        <f t="shared" si="11"/>
        <v>0</v>
      </c>
      <c r="N15" s="84">
        <f t="shared" si="11"/>
        <v>0</v>
      </c>
      <c r="O15" s="54">
        <f t="shared" si="11"/>
        <v>0</v>
      </c>
      <c r="P15" s="54">
        <f t="shared" si="11"/>
        <v>0</v>
      </c>
      <c r="Q15" s="96">
        <f t="shared" si="11"/>
        <v>0</v>
      </c>
      <c r="R15" s="26">
        <f t="shared" si="19"/>
        <v>0</v>
      </c>
      <c r="S15" s="19">
        <f t="shared" si="20"/>
        <v>0</v>
      </c>
      <c r="T15" s="19">
        <f t="shared" si="21"/>
        <v>1</v>
      </c>
      <c r="U15" s="78">
        <f t="shared" si="22"/>
        <v>1</v>
      </c>
      <c r="V15" s="191">
        <v>0</v>
      </c>
      <c r="W15" s="14">
        <v>0</v>
      </c>
      <c r="X15" s="14">
        <v>0</v>
      </c>
      <c r="Y15" s="29">
        <v>0</v>
      </c>
      <c r="AA15" s="64" t="s">
        <v>26</v>
      </c>
      <c r="AB15" s="106" t="str">
        <f t="shared" si="0"/>
        <v>120030</v>
      </c>
      <c r="AC15" s="111" t="s">
        <v>62</v>
      </c>
      <c r="AD15" s="112" t="str">
        <f>"COMP r"&amp;$R$6&amp;", "&amp;$I$6</f>
        <v>COMP r3, 0</v>
      </c>
      <c r="AE15" s="129"/>
      <c r="AF15" s="130" t="str">
        <f t="shared" si="8"/>
        <v>1</v>
      </c>
      <c r="AG15" s="130" t="str">
        <f t="shared" si="8"/>
        <v>2</v>
      </c>
      <c r="AH15" s="130" t="str">
        <f t="shared" si="9"/>
        <v>0</v>
      </c>
      <c r="AI15" s="130" t="str">
        <f t="shared" si="9"/>
        <v>0</v>
      </c>
      <c r="AJ15" s="130" t="str">
        <f t="shared" si="10"/>
        <v>3</v>
      </c>
      <c r="AK15" s="130" t="str">
        <f t="shared" si="10"/>
        <v>0</v>
      </c>
      <c r="AM15" s="131" t="str">
        <f t="shared" si="2"/>
        <v>0001</v>
      </c>
      <c r="AN15" s="131" t="str">
        <f t="shared" si="3"/>
        <v>0010</v>
      </c>
      <c r="AO15" s="131" t="str">
        <f t="shared" si="4"/>
        <v>0000</v>
      </c>
      <c r="AP15" s="131" t="str">
        <f t="shared" si="5"/>
        <v>0000</v>
      </c>
      <c r="AQ15" s="131" t="str">
        <f t="shared" si="6"/>
        <v>0011</v>
      </c>
      <c r="AR15" s="131" t="str">
        <f t="shared" si="7"/>
        <v>0000</v>
      </c>
    </row>
    <row r="16" spans="1:44" ht="15.75">
      <c r="A16" s="64" t="s">
        <v>27</v>
      </c>
      <c r="B16" s="13">
        <v>0</v>
      </c>
      <c r="C16" s="13">
        <v>0</v>
      </c>
      <c r="D16" s="13">
        <v>0</v>
      </c>
      <c r="E16" s="21">
        <v>0</v>
      </c>
      <c r="F16" s="23">
        <v>0</v>
      </c>
      <c r="G16" s="14">
        <v>1</v>
      </c>
      <c r="H16" s="13">
        <v>0</v>
      </c>
      <c r="I16" s="136">
        <f t="shared" ref="I16:M16" si="24">I$9</f>
        <v>0</v>
      </c>
      <c r="J16" s="137">
        <f t="shared" si="24"/>
        <v>0</v>
      </c>
      <c r="K16" s="136">
        <f t="shared" si="24"/>
        <v>0</v>
      </c>
      <c r="L16" s="136">
        <f t="shared" si="24"/>
        <v>0</v>
      </c>
      <c r="M16" s="138">
        <f t="shared" si="24"/>
        <v>0</v>
      </c>
      <c r="N16" s="28">
        <f t="shared" si="17"/>
        <v>0</v>
      </c>
      <c r="O16" s="16">
        <f t="shared" si="18"/>
        <v>1</v>
      </c>
      <c r="P16" s="16">
        <f t="shared" si="18"/>
        <v>0</v>
      </c>
      <c r="Q16" s="133">
        <f t="shared" si="18"/>
        <v>1</v>
      </c>
      <c r="R16" s="26">
        <f t="shared" si="19"/>
        <v>0</v>
      </c>
      <c r="S16" s="19">
        <f t="shared" si="20"/>
        <v>0</v>
      </c>
      <c r="T16" s="19">
        <f t="shared" si="21"/>
        <v>1</v>
      </c>
      <c r="U16" s="78">
        <f t="shared" si="22"/>
        <v>1</v>
      </c>
      <c r="V16" s="135">
        <f t="shared" si="12"/>
        <v>0</v>
      </c>
      <c r="W16" s="18">
        <f t="shared" si="13"/>
        <v>0</v>
      </c>
      <c r="X16" s="18">
        <f t="shared" si="14"/>
        <v>1</v>
      </c>
      <c r="Y16" s="24">
        <f t="shared" si="15"/>
        <v>0</v>
      </c>
      <c r="AA16" s="64" t="s">
        <v>27</v>
      </c>
      <c r="AB16" s="108" t="str">
        <f t="shared" si="0"/>
        <v>040532</v>
      </c>
      <c r="AC16" s="111" t="s">
        <v>62</v>
      </c>
      <c r="AD16" s="112" t="str">
        <f>"AND r"&amp;$V$6&amp;", r"&amp;$R$6&amp;", "&amp;IF((J$7=0), "r"&amp;N$7, IF(I$7=1,"(r"&amp;N$7&amp;" &gt;&gt;  "&amp;J$7&amp;")", "(r"&amp;N$7&amp;" &lt;&lt;  "&amp;J$7&amp;")"))</f>
        <v>AND r2, r3, r5</v>
      </c>
      <c r="AE16" s="129"/>
      <c r="AF16" s="130" t="str">
        <f t="shared" si="8"/>
        <v>0</v>
      </c>
      <c r="AG16" s="130" t="str">
        <f t="shared" si="8"/>
        <v>4</v>
      </c>
      <c r="AH16" s="130" t="str">
        <f t="shared" si="9"/>
        <v>0</v>
      </c>
      <c r="AI16" s="130" t="str">
        <f t="shared" si="9"/>
        <v>5</v>
      </c>
      <c r="AJ16" s="130" t="str">
        <f t="shared" si="10"/>
        <v>3</v>
      </c>
      <c r="AK16" s="130" t="str">
        <f t="shared" si="10"/>
        <v>2</v>
      </c>
      <c r="AM16" s="131" t="str">
        <f t="shared" si="2"/>
        <v>0000</v>
      </c>
      <c r="AN16" s="131" t="str">
        <f t="shared" si="3"/>
        <v>0100</v>
      </c>
      <c r="AO16" s="131" t="str">
        <f t="shared" si="4"/>
        <v>0000</v>
      </c>
      <c r="AP16" s="131" t="str">
        <f t="shared" si="5"/>
        <v>0101</v>
      </c>
      <c r="AQ16" s="131" t="str">
        <f t="shared" si="6"/>
        <v>0011</v>
      </c>
      <c r="AR16" s="131" t="str">
        <f t="shared" si="7"/>
        <v>0010</v>
      </c>
    </row>
    <row r="17" spans="1:44" ht="16.5" thickBot="1">
      <c r="A17" s="65" t="s">
        <v>28</v>
      </c>
      <c r="B17" s="139">
        <v>0</v>
      </c>
      <c r="C17" s="139">
        <v>0</v>
      </c>
      <c r="D17" s="139">
        <v>0</v>
      </c>
      <c r="E17" s="140">
        <v>0</v>
      </c>
      <c r="F17" s="88">
        <v>0</v>
      </c>
      <c r="G17" s="45">
        <v>1</v>
      </c>
      <c r="H17" s="44">
        <v>1</v>
      </c>
      <c r="I17" s="141">
        <f>$I$10</f>
        <v>0</v>
      </c>
      <c r="J17" s="85">
        <f>$J$10</f>
        <v>0</v>
      </c>
      <c r="K17" s="62">
        <f t="shared" si="11"/>
        <v>0</v>
      </c>
      <c r="L17" s="62">
        <f t="shared" si="11"/>
        <v>0</v>
      </c>
      <c r="M17" s="86">
        <f t="shared" si="11"/>
        <v>0</v>
      </c>
      <c r="N17" s="142">
        <f t="shared" si="11"/>
        <v>0</v>
      </c>
      <c r="O17" s="143">
        <f t="shared" si="11"/>
        <v>0</v>
      </c>
      <c r="P17" s="143">
        <f t="shared" si="11"/>
        <v>0</v>
      </c>
      <c r="Q17" s="144">
        <f t="shared" si="11"/>
        <v>0</v>
      </c>
      <c r="R17" s="145">
        <f t="shared" si="19"/>
        <v>0</v>
      </c>
      <c r="S17" s="146">
        <f t="shared" si="20"/>
        <v>0</v>
      </c>
      <c r="T17" s="146">
        <f t="shared" si="21"/>
        <v>1</v>
      </c>
      <c r="U17" s="147">
        <f t="shared" si="22"/>
        <v>1</v>
      </c>
      <c r="V17" s="148">
        <f t="shared" si="12"/>
        <v>0</v>
      </c>
      <c r="W17" s="149">
        <f t="shared" si="13"/>
        <v>0</v>
      </c>
      <c r="X17" s="149">
        <f t="shared" si="14"/>
        <v>1</v>
      </c>
      <c r="Y17" s="150">
        <f t="shared" si="15"/>
        <v>0</v>
      </c>
      <c r="AA17" s="65" t="s">
        <v>28</v>
      </c>
      <c r="AB17" s="107" t="str">
        <f t="shared" si="0"/>
        <v>060032</v>
      </c>
      <c r="AC17" s="115" t="s">
        <v>62</v>
      </c>
      <c r="AD17" s="116" t="str">
        <f>"AND r"&amp;$V$6&amp;", r"&amp;$R$6&amp;", "&amp;$I$6</f>
        <v>AND r2, r3, 0</v>
      </c>
      <c r="AE17" s="129"/>
      <c r="AF17" s="130" t="str">
        <f t="shared" si="8"/>
        <v>0</v>
      </c>
      <c r="AG17" s="130" t="str">
        <f t="shared" si="8"/>
        <v>6</v>
      </c>
      <c r="AH17" s="130" t="str">
        <f t="shared" si="9"/>
        <v>0</v>
      </c>
      <c r="AI17" s="130" t="str">
        <f t="shared" si="9"/>
        <v>0</v>
      </c>
      <c r="AJ17" s="130" t="str">
        <f t="shared" si="10"/>
        <v>3</v>
      </c>
      <c r="AK17" s="130" t="str">
        <f t="shared" si="10"/>
        <v>2</v>
      </c>
      <c r="AM17" s="131" t="str">
        <f t="shared" si="2"/>
        <v>0000</v>
      </c>
      <c r="AN17" s="131" t="str">
        <f t="shared" si="3"/>
        <v>0110</v>
      </c>
      <c r="AO17" s="131" t="str">
        <f t="shared" si="4"/>
        <v>0000</v>
      </c>
      <c r="AP17" s="131" t="str">
        <f t="shared" si="5"/>
        <v>0000</v>
      </c>
      <c r="AQ17" s="131" t="str">
        <f t="shared" si="6"/>
        <v>0011</v>
      </c>
      <c r="AR17" s="131" t="str">
        <f t="shared" si="7"/>
        <v>0010</v>
      </c>
    </row>
    <row r="18" spans="1:44" ht="16.5" thickBot="1">
      <c r="A18" s="4"/>
      <c r="B18" s="411" t="s">
        <v>13</v>
      </c>
      <c r="C18" s="412"/>
      <c r="D18" s="300" t="s">
        <v>9</v>
      </c>
      <c r="E18" s="300"/>
      <c r="F18" s="300"/>
      <c r="G18" s="300"/>
      <c r="H18" s="151" t="s">
        <v>41</v>
      </c>
      <c r="I18" s="391" t="s">
        <v>7</v>
      </c>
      <c r="J18" s="392"/>
      <c r="K18" s="392"/>
      <c r="L18" s="392"/>
      <c r="M18" s="392"/>
      <c r="N18" s="355" t="s">
        <v>5</v>
      </c>
      <c r="O18" s="356"/>
      <c r="P18" s="356"/>
      <c r="Q18" s="356"/>
      <c r="R18" s="152"/>
      <c r="S18" s="301" t="s">
        <v>16</v>
      </c>
      <c r="T18" s="301"/>
      <c r="U18" s="302"/>
      <c r="V18" s="292" t="s">
        <v>15</v>
      </c>
      <c r="W18" s="292"/>
      <c r="X18" s="292"/>
      <c r="Y18" s="293"/>
      <c r="AA18" s="153"/>
      <c r="AB18" s="154"/>
      <c r="AC18" s="102"/>
      <c r="AD18" s="103"/>
      <c r="AE18" s="129"/>
      <c r="AF18" s="130"/>
      <c r="AG18" s="130"/>
      <c r="AH18" s="130"/>
      <c r="AI18" s="130"/>
      <c r="AJ18" s="130"/>
      <c r="AK18" s="130"/>
      <c r="AM18" s="131"/>
      <c r="AN18" s="131"/>
      <c r="AO18" s="131"/>
      <c r="AP18" s="131"/>
      <c r="AQ18" s="131"/>
      <c r="AR18" s="131"/>
    </row>
    <row r="19" spans="1:44" ht="15.75">
      <c r="A19" s="63" t="s">
        <v>29</v>
      </c>
      <c r="B19" s="125">
        <v>0</v>
      </c>
      <c r="C19" s="125">
        <v>0</v>
      </c>
      <c r="D19" s="125">
        <v>0</v>
      </c>
      <c r="E19" s="155">
        <v>0</v>
      </c>
      <c r="F19" s="87">
        <v>1</v>
      </c>
      <c r="G19" s="42">
        <v>0</v>
      </c>
      <c r="H19" s="32">
        <v>0</v>
      </c>
      <c r="I19" s="136">
        <f t="shared" ref="I19:M19" si="25">I$9</f>
        <v>0</v>
      </c>
      <c r="J19" s="156">
        <f t="shared" si="25"/>
        <v>0</v>
      </c>
      <c r="K19" s="157">
        <f t="shared" si="25"/>
        <v>0</v>
      </c>
      <c r="L19" s="157">
        <f t="shared" si="25"/>
        <v>0</v>
      </c>
      <c r="M19" s="158">
        <f t="shared" si="25"/>
        <v>0</v>
      </c>
      <c r="N19" s="159">
        <f t="shared" ref="N19:Q19" si="26">N$9</f>
        <v>0</v>
      </c>
      <c r="O19" s="160">
        <f t="shared" si="26"/>
        <v>1</v>
      </c>
      <c r="P19" s="160">
        <f t="shared" si="26"/>
        <v>0</v>
      </c>
      <c r="Q19" s="161">
        <f t="shared" si="26"/>
        <v>1</v>
      </c>
      <c r="R19" s="162">
        <f t="shared" ref="R19:R27" si="27">$R$9</f>
        <v>0</v>
      </c>
      <c r="S19" s="163">
        <f t="shared" ref="S19:S27" si="28">$S$9</f>
        <v>0</v>
      </c>
      <c r="T19" s="163">
        <f t="shared" ref="T19:T27" si="29">$T$9</f>
        <v>1</v>
      </c>
      <c r="U19" s="164">
        <f t="shared" ref="U19:U27" si="30">$U$9</f>
        <v>1</v>
      </c>
      <c r="V19" s="165">
        <f t="shared" ref="V19:V28" si="31">$V$9</f>
        <v>0</v>
      </c>
      <c r="W19" s="166">
        <f t="shared" ref="W19:W28" si="32">$W$9</f>
        <v>0</v>
      </c>
      <c r="X19" s="166">
        <f t="shared" ref="X19:X28" si="33">$X$9</f>
        <v>1</v>
      </c>
      <c r="Y19" s="167">
        <f t="shared" ref="Y19:Y28" si="34">$Y$9</f>
        <v>0</v>
      </c>
      <c r="AA19" s="63" t="s">
        <v>29</v>
      </c>
      <c r="AB19" s="104" t="str">
        <f t="shared" ref="AB19:AB28" si="35">_xlfn.CONCAT(AF19:AK19)</f>
        <v>080532</v>
      </c>
      <c r="AC19" s="117" t="s">
        <v>62</v>
      </c>
      <c r="AD19" s="118" t="str">
        <f>"OR r"&amp;$V$6&amp;", r"&amp;$R$6&amp;", "&amp;IF((J$7=0), "r"&amp;N$7, IF(I$7=1,"(r"&amp;N$7&amp;" &gt;&gt;  "&amp;J$7&amp;")", "(r"&amp;N$7&amp;" &lt;&lt;  "&amp;J$7&amp;")"))</f>
        <v>OR r2, r3, r5</v>
      </c>
      <c r="AE19" s="129"/>
      <c r="AF19" s="130" t="str">
        <f t="shared" ref="AF19:AK19" si="36">BIN2HEX(AM19)</f>
        <v>0</v>
      </c>
      <c r="AG19" s="130" t="str">
        <f t="shared" si="36"/>
        <v>8</v>
      </c>
      <c r="AH19" s="130" t="str">
        <f t="shared" si="36"/>
        <v>0</v>
      </c>
      <c r="AI19" s="130" t="str">
        <f t="shared" si="36"/>
        <v>5</v>
      </c>
      <c r="AJ19" s="130" t="str">
        <f t="shared" si="36"/>
        <v>3</v>
      </c>
      <c r="AK19" s="130" t="str">
        <f t="shared" si="36"/>
        <v>2</v>
      </c>
      <c r="AM19" s="131" t="str">
        <f t="shared" ref="AM19:AM28" si="37">_xlfn.CONCAT(B19:E19)</f>
        <v>0000</v>
      </c>
      <c r="AN19" s="131" t="str">
        <f t="shared" ref="AN19:AN28" si="38">_xlfn.CONCAT(F19:I19)</f>
        <v>1000</v>
      </c>
      <c r="AO19" s="131" t="str">
        <f t="shared" ref="AO19:AO28" si="39">_xlfn.CONCAT(J19:M19)</f>
        <v>0000</v>
      </c>
      <c r="AP19" s="131" t="str">
        <f t="shared" ref="AP19:AP28" si="40">_xlfn.CONCAT(N19:Q19)</f>
        <v>0101</v>
      </c>
      <c r="AQ19" s="131" t="str">
        <f t="shared" ref="AQ19:AQ28" si="41">_xlfn.CONCAT(R19:U19)</f>
        <v>0011</v>
      </c>
      <c r="AR19" s="131" t="str">
        <f t="shared" ref="AR19:AR28" si="42">_xlfn.CONCAT(V19:Y19)</f>
        <v>0010</v>
      </c>
    </row>
    <row r="20" spans="1:44" ht="15.75">
      <c r="A20" s="64" t="s">
        <v>30</v>
      </c>
      <c r="B20" s="13">
        <v>0</v>
      </c>
      <c r="C20" s="13">
        <v>0</v>
      </c>
      <c r="D20" s="13">
        <v>0</v>
      </c>
      <c r="E20" s="21">
        <v>0</v>
      </c>
      <c r="F20" s="23">
        <v>1</v>
      </c>
      <c r="G20" s="14">
        <v>0</v>
      </c>
      <c r="H20" s="13">
        <v>1</v>
      </c>
      <c r="I20" s="134">
        <f>$I$10</f>
        <v>0</v>
      </c>
      <c r="J20" s="84">
        <f>$J$10</f>
        <v>0</v>
      </c>
      <c r="K20" s="54">
        <f t="shared" ref="K20:Q20" si="43">K$10</f>
        <v>0</v>
      </c>
      <c r="L20" s="54">
        <f t="shared" si="43"/>
        <v>0</v>
      </c>
      <c r="M20" s="60">
        <f t="shared" si="43"/>
        <v>0</v>
      </c>
      <c r="N20" s="84">
        <f t="shared" si="43"/>
        <v>0</v>
      </c>
      <c r="O20" s="54">
        <f t="shared" si="43"/>
        <v>0</v>
      </c>
      <c r="P20" s="54">
        <f t="shared" si="43"/>
        <v>0</v>
      </c>
      <c r="Q20" s="96">
        <f t="shared" si="43"/>
        <v>0</v>
      </c>
      <c r="R20" s="26">
        <f t="shared" si="27"/>
        <v>0</v>
      </c>
      <c r="S20" s="19">
        <f t="shared" si="28"/>
        <v>0</v>
      </c>
      <c r="T20" s="19">
        <f t="shared" si="29"/>
        <v>1</v>
      </c>
      <c r="U20" s="78">
        <f t="shared" si="30"/>
        <v>1</v>
      </c>
      <c r="V20" s="135">
        <f t="shared" si="31"/>
        <v>0</v>
      </c>
      <c r="W20" s="18">
        <f t="shared" si="32"/>
        <v>0</v>
      </c>
      <c r="X20" s="18">
        <f t="shared" si="33"/>
        <v>1</v>
      </c>
      <c r="Y20" s="24">
        <f t="shared" si="34"/>
        <v>0</v>
      </c>
      <c r="AA20" s="64" t="s">
        <v>30</v>
      </c>
      <c r="AB20" s="105" t="str">
        <f t="shared" si="35"/>
        <v>0A0032</v>
      </c>
      <c r="AC20" s="111" t="s">
        <v>62</v>
      </c>
      <c r="AD20" s="112" t="str">
        <f>"OR r"&amp;$V$6&amp;", r"&amp;$R$6&amp;", "&amp;$I$6</f>
        <v>OR r2, r3, 0</v>
      </c>
      <c r="AE20" s="129"/>
      <c r="AF20" s="130" t="str">
        <f t="shared" ref="AF20:AG28" si="44">BIN2HEX(AM20)</f>
        <v>0</v>
      </c>
      <c r="AG20" s="130" t="str">
        <f t="shared" si="44"/>
        <v>A</v>
      </c>
      <c r="AH20" s="130" t="str">
        <f t="shared" ref="AH20:AI28" si="45">BIN2HEX(AO20)</f>
        <v>0</v>
      </c>
      <c r="AI20" s="130" t="str">
        <f t="shared" si="45"/>
        <v>0</v>
      </c>
      <c r="AJ20" s="130" t="str">
        <f t="shared" ref="AJ20:AK28" si="46">BIN2HEX(AQ20)</f>
        <v>3</v>
      </c>
      <c r="AK20" s="130" t="str">
        <f t="shared" si="46"/>
        <v>2</v>
      </c>
      <c r="AM20" s="131" t="str">
        <f t="shared" si="37"/>
        <v>0000</v>
      </c>
      <c r="AN20" s="131" t="str">
        <f t="shared" si="38"/>
        <v>1010</v>
      </c>
      <c r="AO20" s="131" t="str">
        <f t="shared" si="39"/>
        <v>0000</v>
      </c>
      <c r="AP20" s="131" t="str">
        <f t="shared" si="40"/>
        <v>0000</v>
      </c>
      <c r="AQ20" s="131" t="str">
        <f t="shared" si="41"/>
        <v>0011</v>
      </c>
      <c r="AR20" s="131" t="str">
        <f t="shared" si="42"/>
        <v>0010</v>
      </c>
    </row>
    <row r="21" spans="1:44" ht="15.75">
      <c r="A21" s="64" t="s">
        <v>31</v>
      </c>
      <c r="B21" s="13">
        <v>0</v>
      </c>
      <c r="C21" s="13">
        <v>0</v>
      </c>
      <c r="D21" s="13">
        <v>0</v>
      </c>
      <c r="E21" s="21">
        <v>0</v>
      </c>
      <c r="F21" s="23">
        <v>1</v>
      </c>
      <c r="G21" s="14">
        <v>1</v>
      </c>
      <c r="H21" s="13">
        <v>0</v>
      </c>
      <c r="I21" s="136">
        <f t="shared" ref="I21:M21" si="47">I$9</f>
        <v>0</v>
      </c>
      <c r="J21" s="137">
        <f t="shared" si="47"/>
        <v>0</v>
      </c>
      <c r="K21" s="136">
        <f t="shared" si="47"/>
        <v>0</v>
      </c>
      <c r="L21" s="136">
        <f t="shared" si="47"/>
        <v>0</v>
      </c>
      <c r="M21" s="138">
        <f t="shared" si="47"/>
        <v>0</v>
      </c>
      <c r="N21" s="28">
        <f t="shared" ref="N21:Q21" si="48">N$9</f>
        <v>0</v>
      </c>
      <c r="O21" s="16">
        <f t="shared" si="48"/>
        <v>1</v>
      </c>
      <c r="P21" s="16">
        <f t="shared" si="48"/>
        <v>0</v>
      </c>
      <c r="Q21" s="133">
        <f t="shared" si="48"/>
        <v>1</v>
      </c>
      <c r="R21" s="26">
        <f t="shared" si="27"/>
        <v>0</v>
      </c>
      <c r="S21" s="19">
        <f t="shared" si="28"/>
        <v>0</v>
      </c>
      <c r="T21" s="19">
        <f t="shared" si="29"/>
        <v>1</v>
      </c>
      <c r="U21" s="78">
        <f t="shared" si="30"/>
        <v>1</v>
      </c>
      <c r="V21" s="135">
        <f t="shared" si="31"/>
        <v>0</v>
      </c>
      <c r="W21" s="18">
        <f t="shared" si="32"/>
        <v>0</v>
      </c>
      <c r="X21" s="18">
        <f t="shared" si="33"/>
        <v>1</v>
      </c>
      <c r="Y21" s="24">
        <f t="shared" si="34"/>
        <v>0</v>
      </c>
      <c r="AA21" s="64" t="s">
        <v>31</v>
      </c>
      <c r="AB21" s="106" t="str">
        <f t="shared" si="35"/>
        <v>0C0532</v>
      </c>
      <c r="AC21" s="111" t="s">
        <v>62</v>
      </c>
      <c r="AD21" s="112" t="str">
        <f>"XOR r"&amp;$V$6&amp;", r"&amp;$R$6&amp;", "&amp;IF((J$7=0), "r"&amp;N$7, IF(I$7=1,"(r"&amp;N$7&amp;" &gt;&gt;  "&amp;J$7&amp;")", "(r"&amp;N$7&amp;" &lt;&lt;  "&amp;J$7&amp;")"))</f>
        <v>XOR r2, r3, r5</v>
      </c>
      <c r="AE21" s="129"/>
      <c r="AF21" s="130" t="str">
        <f t="shared" si="44"/>
        <v>0</v>
      </c>
      <c r="AG21" s="130" t="str">
        <f t="shared" si="44"/>
        <v>C</v>
      </c>
      <c r="AH21" s="130" t="str">
        <f t="shared" si="45"/>
        <v>0</v>
      </c>
      <c r="AI21" s="130" t="str">
        <f t="shared" si="45"/>
        <v>5</v>
      </c>
      <c r="AJ21" s="130" t="str">
        <f t="shared" si="46"/>
        <v>3</v>
      </c>
      <c r="AK21" s="130" t="str">
        <f t="shared" si="46"/>
        <v>2</v>
      </c>
      <c r="AM21" s="131" t="str">
        <f t="shared" si="37"/>
        <v>0000</v>
      </c>
      <c r="AN21" s="131" t="str">
        <f t="shared" si="38"/>
        <v>1100</v>
      </c>
      <c r="AO21" s="131" t="str">
        <f t="shared" si="39"/>
        <v>0000</v>
      </c>
      <c r="AP21" s="131" t="str">
        <f t="shared" si="40"/>
        <v>0101</v>
      </c>
      <c r="AQ21" s="131" t="str">
        <f t="shared" si="41"/>
        <v>0011</v>
      </c>
      <c r="AR21" s="131" t="str">
        <f t="shared" si="42"/>
        <v>0010</v>
      </c>
    </row>
    <row r="22" spans="1:44" ht="15.75">
      <c r="A22" s="64" t="s">
        <v>32</v>
      </c>
      <c r="B22" s="13">
        <v>0</v>
      </c>
      <c r="C22" s="13">
        <v>0</v>
      </c>
      <c r="D22" s="14">
        <v>0</v>
      </c>
      <c r="E22" s="35">
        <v>0</v>
      </c>
      <c r="F22" s="23">
        <v>1</v>
      </c>
      <c r="G22" s="14">
        <v>1</v>
      </c>
      <c r="H22" s="13">
        <v>1</v>
      </c>
      <c r="I22" s="134">
        <f>$I$10</f>
        <v>0</v>
      </c>
      <c r="J22" s="84">
        <f>$J$10</f>
        <v>0</v>
      </c>
      <c r="K22" s="54">
        <f t="shared" ref="K22:Q22" si="49">K$10</f>
        <v>0</v>
      </c>
      <c r="L22" s="54">
        <f t="shared" si="49"/>
        <v>0</v>
      </c>
      <c r="M22" s="60">
        <f t="shared" si="49"/>
        <v>0</v>
      </c>
      <c r="N22" s="84">
        <f t="shared" si="49"/>
        <v>0</v>
      </c>
      <c r="O22" s="54">
        <f t="shared" si="49"/>
        <v>0</v>
      </c>
      <c r="P22" s="54">
        <f t="shared" si="49"/>
        <v>0</v>
      </c>
      <c r="Q22" s="96">
        <f t="shared" si="49"/>
        <v>0</v>
      </c>
      <c r="R22" s="26">
        <f t="shared" si="27"/>
        <v>0</v>
      </c>
      <c r="S22" s="19">
        <f t="shared" si="28"/>
        <v>0</v>
      </c>
      <c r="T22" s="19">
        <f t="shared" si="29"/>
        <v>1</v>
      </c>
      <c r="U22" s="78">
        <f t="shared" si="30"/>
        <v>1</v>
      </c>
      <c r="V22" s="135">
        <f t="shared" si="31"/>
        <v>0</v>
      </c>
      <c r="W22" s="18">
        <f t="shared" si="32"/>
        <v>0</v>
      </c>
      <c r="X22" s="18">
        <f t="shared" si="33"/>
        <v>1</v>
      </c>
      <c r="Y22" s="24">
        <f t="shared" si="34"/>
        <v>0</v>
      </c>
      <c r="AA22" s="64" t="s">
        <v>32</v>
      </c>
      <c r="AB22" s="106" t="str">
        <f t="shared" si="35"/>
        <v>0E0032</v>
      </c>
      <c r="AC22" s="111" t="s">
        <v>62</v>
      </c>
      <c r="AD22" s="112" t="str">
        <f>"XOR r"&amp;$V$6&amp;", r"&amp;$R$6&amp;", "&amp;$I$6</f>
        <v>XOR r2, r3, 0</v>
      </c>
      <c r="AE22" s="129"/>
      <c r="AF22" s="130" t="str">
        <f t="shared" si="44"/>
        <v>0</v>
      </c>
      <c r="AG22" s="130" t="str">
        <f t="shared" si="44"/>
        <v>E</v>
      </c>
      <c r="AH22" s="130" t="str">
        <f t="shared" si="45"/>
        <v>0</v>
      </c>
      <c r="AI22" s="130" t="str">
        <f t="shared" si="45"/>
        <v>0</v>
      </c>
      <c r="AJ22" s="130" t="str">
        <f t="shared" si="46"/>
        <v>3</v>
      </c>
      <c r="AK22" s="130" t="str">
        <f t="shared" si="46"/>
        <v>2</v>
      </c>
      <c r="AM22" s="131" t="str">
        <f t="shared" si="37"/>
        <v>0000</v>
      </c>
      <c r="AN22" s="131" t="str">
        <f t="shared" si="38"/>
        <v>1110</v>
      </c>
      <c r="AO22" s="131" t="str">
        <f t="shared" si="39"/>
        <v>0000</v>
      </c>
      <c r="AP22" s="131" t="str">
        <f t="shared" si="40"/>
        <v>0000</v>
      </c>
      <c r="AQ22" s="131" t="str">
        <f t="shared" si="41"/>
        <v>0011</v>
      </c>
      <c r="AR22" s="131" t="str">
        <f t="shared" si="42"/>
        <v>0010</v>
      </c>
    </row>
    <row r="23" spans="1:44" ht="15.75">
      <c r="A23" s="64" t="s">
        <v>33</v>
      </c>
      <c r="B23" s="13">
        <v>0</v>
      </c>
      <c r="C23" s="13">
        <v>0</v>
      </c>
      <c r="D23" s="14">
        <v>1</v>
      </c>
      <c r="E23" s="35">
        <v>1</v>
      </c>
      <c r="F23" s="23">
        <v>1</v>
      </c>
      <c r="G23" s="14">
        <v>0</v>
      </c>
      <c r="H23" s="13">
        <v>0</v>
      </c>
      <c r="I23" s="136">
        <f t="shared" ref="I23:M23" si="50">I$9</f>
        <v>0</v>
      </c>
      <c r="J23" s="137">
        <f t="shared" si="50"/>
        <v>0</v>
      </c>
      <c r="K23" s="136">
        <f t="shared" si="50"/>
        <v>0</v>
      </c>
      <c r="L23" s="136">
        <f t="shared" si="50"/>
        <v>0</v>
      </c>
      <c r="M23" s="138">
        <f t="shared" si="50"/>
        <v>0</v>
      </c>
      <c r="N23" s="28">
        <f t="shared" ref="N23:Q23" si="51">N$9</f>
        <v>0</v>
      </c>
      <c r="O23" s="16">
        <f t="shared" si="51"/>
        <v>1</v>
      </c>
      <c r="P23" s="16">
        <f t="shared" si="51"/>
        <v>0</v>
      </c>
      <c r="Q23" s="133">
        <f t="shared" si="51"/>
        <v>1</v>
      </c>
      <c r="R23" s="26">
        <f t="shared" si="27"/>
        <v>0</v>
      </c>
      <c r="S23" s="19">
        <f t="shared" si="28"/>
        <v>0</v>
      </c>
      <c r="T23" s="19">
        <f t="shared" si="29"/>
        <v>1</v>
      </c>
      <c r="U23" s="78">
        <f t="shared" si="30"/>
        <v>1</v>
      </c>
      <c r="V23" s="135">
        <f t="shared" si="31"/>
        <v>0</v>
      </c>
      <c r="W23" s="18">
        <f t="shared" si="32"/>
        <v>0</v>
      </c>
      <c r="X23" s="18">
        <f t="shared" si="33"/>
        <v>1</v>
      </c>
      <c r="Y23" s="24">
        <f t="shared" si="34"/>
        <v>0</v>
      </c>
      <c r="AA23" s="64" t="s">
        <v>33</v>
      </c>
      <c r="AB23" s="106" t="str">
        <f t="shared" si="35"/>
        <v>380532</v>
      </c>
      <c r="AC23" s="111" t="s">
        <v>62</v>
      </c>
      <c r="AD23" s="112" t="str">
        <f>"NAND r"&amp;$V$6&amp;", r"&amp;$R$6&amp;", "&amp;IF((J$7=0), "r"&amp;N$7, IF(I$7=1,"(r"&amp;N$7&amp;" &gt;&gt;  "&amp;J$7&amp;")", "(r"&amp;N$7&amp;" &lt;&lt;  "&amp;J$7&amp;")"))</f>
        <v>NAND r2, r3, r5</v>
      </c>
      <c r="AE23" s="129"/>
      <c r="AF23" s="130" t="str">
        <f t="shared" si="44"/>
        <v>3</v>
      </c>
      <c r="AG23" s="130" t="str">
        <f t="shared" si="44"/>
        <v>8</v>
      </c>
      <c r="AH23" s="130" t="str">
        <f t="shared" si="45"/>
        <v>0</v>
      </c>
      <c r="AI23" s="130" t="str">
        <f t="shared" si="45"/>
        <v>5</v>
      </c>
      <c r="AJ23" s="130" t="str">
        <f t="shared" si="46"/>
        <v>3</v>
      </c>
      <c r="AK23" s="130" t="str">
        <f t="shared" si="46"/>
        <v>2</v>
      </c>
      <c r="AM23" s="131" t="str">
        <f t="shared" si="37"/>
        <v>0011</v>
      </c>
      <c r="AN23" s="131" t="str">
        <f t="shared" si="38"/>
        <v>1000</v>
      </c>
      <c r="AO23" s="131" t="str">
        <f t="shared" si="39"/>
        <v>0000</v>
      </c>
      <c r="AP23" s="131" t="str">
        <f t="shared" si="40"/>
        <v>0101</v>
      </c>
      <c r="AQ23" s="131" t="str">
        <f t="shared" si="41"/>
        <v>0011</v>
      </c>
      <c r="AR23" s="131" t="str">
        <f t="shared" si="42"/>
        <v>0010</v>
      </c>
    </row>
    <row r="24" spans="1:44" ht="15.75">
      <c r="A24" s="64" t="s">
        <v>34</v>
      </c>
      <c r="B24" s="13">
        <v>0</v>
      </c>
      <c r="C24" s="13">
        <v>0</v>
      </c>
      <c r="D24" s="14">
        <v>1</v>
      </c>
      <c r="E24" s="35">
        <v>1</v>
      </c>
      <c r="F24" s="23">
        <v>1</v>
      </c>
      <c r="G24" s="14">
        <v>0</v>
      </c>
      <c r="H24" s="13">
        <v>1</v>
      </c>
      <c r="I24" s="134">
        <f>$I$10</f>
        <v>0</v>
      </c>
      <c r="J24" s="84">
        <f>$J$10</f>
        <v>0</v>
      </c>
      <c r="K24" s="54">
        <f t="shared" ref="K24:Q24" si="52">K$10</f>
        <v>0</v>
      </c>
      <c r="L24" s="54">
        <f t="shared" si="52"/>
        <v>0</v>
      </c>
      <c r="M24" s="60">
        <f t="shared" si="52"/>
        <v>0</v>
      </c>
      <c r="N24" s="84">
        <f t="shared" si="52"/>
        <v>0</v>
      </c>
      <c r="O24" s="54">
        <f t="shared" si="52"/>
        <v>0</v>
      </c>
      <c r="P24" s="54">
        <f t="shared" si="52"/>
        <v>0</v>
      </c>
      <c r="Q24" s="96">
        <f t="shared" si="52"/>
        <v>0</v>
      </c>
      <c r="R24" s="26">
        <f t="shared" si="27"/>
        <v>0</v>
      </c>
      <c r="S24" s="19">
        <f t="shared" si="28"/>
        <v>0</v>
      </c>
      <c r="T24" s="19">
        <f t="shared" si="29"/>
        <v>1</v>
      </c>
      <c r="U24" s="78">
        <f t="shared" si="30"/>
        <v>1</v>
      </c>
      <c r="V24" s="135">
        <f t="shared" si="31"/>
        <v>0</v>
      </c>
      <c r="W24" s="18">
        <f t="shared" si="32"/>
        <v>0</v>
      </c>
      <c r="X24" s="18">
        <f t="shared" si="33"/>
        <v>1</v>
      </c>
      <c r="Y24" s="24">
        <f t="shared" si="34"/>
        <v>0</v>
      </c>
      <c r="AA24" s="64" t="s">
        <v>34</v>
      </c>
      <c r="AB24" s="106" t="str">
        <f t="shared" si="35"/>
        <v>3A0032</v>
      </c>
      <c r="AC24" s="111" t="s">
        <v>62</v>
      </c>
      <c r="AD24" s="112" t="str">
        <f>"NAND r"&amp;$V$6&amp;", r"&amp;$R$6&amp;", "&amp;$I$6</f>
        <v>NAND r2, r3, 0</v>
      </c>
      <c r="AE24" s="129"/>
      <c r="AF24" s="130" t="str">
        <f t="shared" si="44"/>
        <v>3</v>
      </c>
      <c r="AG24" s="130" t="str">
        <f t="shared" si="44"/>
        <v>A</v>
      </c>
      <c r="AH24" s="130" t="str">
        <f t="shared" si="45"/>
        <v>0</v>
      </c>
      <c r="AI24" s="130" t="str">
        <f t="shared" si="45"/>
        <v>0</v>
      </c>
      <c r="AJ24" s="130" t="str">
        <f t="shared" si="46"/>
        <v>3</v>
      </c>
      <c r="AK24" s="130" t="str">
        <f t="shared" si="46"/>
        <v>2</v>
      </c>
      <c r="AM24" s="131" t="str">
        <f t="shared" si="37"/>
        <v>0011</v>
      </c>
      <c r="AN24" s="131" t="str">
        <f t="shared" si="38"/>
        <v>1010</v>
      </c>
      <c r="AO24" s="131" t="str">
        <f t="shared" si="39"/>
        <v>0000</v>
      </c>
      <c r="AP24" s="131" t="str">
        <f t="shared" si="40"/>
        <v>0000</v>
      </c>
      <c r="AQ24" s="131" t="str">
        <f t="shared" si="41"/>
        <v>0011</v>
      </c>
      <c r="AR24" s="131" t="str">
        <f t="shared" si="42"/>
        <v>0010</v>
      </c>
    </row>
    <row r="25" spans="1:44" ht="15.75">
      <c r="A25" s="64" t="s">
        <v>35</v>
      </c>
      <c r="B25" s="13">
        <v>0</v>
      </c>
      <c r="C25" s="13">
        <v>0</v>
      </c>
      <c r="D25" s="14">
        <v>1</v>
      </c>
      <c r="E25" s="35">
        <v>1</v>
      </c>
      <c r="F25" s="23">
        <v>0</v>
      </c>
      <c r="G25" s="14">
        <v>1</v>
      </c>
      <c r="H25" s="13">
        <v>0</v>
      </c>
      <c r="I25" s="136">
        <f t="shared" ref="I25" si="53">I$9</f>
        <v>0</v>
      </c>
      <c r="J25" s="137">
        <f t="shared" ref="J25:M25" si="54">J$9</f>
        <v>0</v>
      </c>
      <c r="K25" s="136">
        <f t="shared" si="54"/>
        <v>0</v>
      </c>
      <c r="L25" s="136">
        <f t="shared" si="54"/>
        <v>0</v>
      </c>
      <c r="M25" s="138">
        <f t="shared" si="54"/>
        <v>0</v>
      </c>
      <c r="N25" s="28">
        <f t="shared" ref="N25:Q25" si="55">N$9</f>
        <v>0</v>
      </c>
      <c r="O25" s="16">
        <f t="shared" si="55"/>
        <v>1</v>
      </c>
      <c r="P25" s="16">
        <f t="shared" si="55"/>
        <v>0</v>
      </c>
      <c r="Q25" s="133">
        <f t="shared" si="55"/>
        <v>1</v>
      </c>
      <c r="R25" s="26">
        <f t="shared" si="27"/>
        <v>0</v>
      </c>
      <c r="S25" s="19">
        <f t="shared" si="28"/>
        <v>0</v>
      </c>
      <c r="T25" s="19">
        <f t="shared" si="29"/>
        <v>1</v>
      </c>
      <c r="U25" s="78">
        <f t="shared" si="30"/>
        <v>1</v>
      </c>
      <c r="V25" s="135">
        <f t="shared" si="31"/>
        <v>0</v>
      </c>
      <c r="W25" s="18">
        <f t="shared" si="32"/>
        <v>0</v>
      </c>
      <c r="X25" s="18">
        <f t="shared" si="33"/>
        <v>1</v>
      </c>
      <c r="Y25" s="24">
        <f t="shared" si="34"/>
        <v>0</v>
      </c>
      <c r="AA25" s="64" t="s">
        <v>35</v>
      </c>
      <c r="AB25" s="106" t="str">
        <f t="shared" si="35"/>
        <v>340532</v>
      </c>
      <c r="AC25" s="111" t="s">
        <v>62</v>
      </c>
      <c r="AD25" s="112" t="str">
        <f>"NOR r"&amp;$V$6&amp;", r"&amp;$R$6&amp;", "&amp;IF((J$7=0), "r"&amp;N$7, IF(I$7=1,"(r"&amp;N$7&amp;" &gt;&gt;  "&amp;J$7&amp;")", "(r"&amp;N$7&amp;" &lt;&lt;  "&amp;J$7&amp;")"))</f>
        <v>NOR r2, r3, r5</v>
      </c>
      <c r="AE25" s="129"/>
      <c r="AF25" s="130" t="str">
        <f t="shared" si="44"/>
        <v>3</v>
      </c>
      <c r="AG25" s="130" t="str">
        <f t="shared" si="44"/>
        <v>4</v>
      </c>
      <c r="AH25" s="130" t="str">
        <f t="shared" si="45"/>
        <v>0</v>
      </c>
      <c r="AI25" s="130" t="str">
        <f t="shared" si="45"/>
        <v>5</v>
      </c>
      <c r="AJ25" s="130" t="str">
        <f t="shared" si="46"/>
        <v>3</v>
      </c>
      <c r="AK25" s="130" t="str">
        <f t="shared" si="46"/>
        <v>2</v>
      </c>
      <c r="AM25" s="131" t="str">
        <f t="shared" si="37"/>
        <v>0011</v>
      </c>
      <c r="AN25" s="131" t="str">
        <f t="shared" si="38"/>
        <v>0100</v>
      </c>
      <c r="AO25" s="131" t="str">
        <f t="shared" si="39"/>
        <v>0000</v>
      </c>
      <c r="AP25" s="131" t="str">
        <f t="shared" si="40"/>
        <v>0101</v>
      </c>
      <c r="AQ25" s="131" t="str">
        <f t="shared" si="41"/>
        <v>0011</v>
      </c>
      <c r="AR25" s="131" t="str">
        <f t="shared" si="42"/>
        <v>0010</v>
      </c>
    </row>
    <row r="26" spans="1:44" ht="15.75">
      <c r="A26" s="64" t="s">
        <v>36</v>
      </c>
      <c r="B26" s="13">
        <v>0</v>
      </c>
      <c r="C26" s="13">
        <v>0</v>
      </c>
      <c r="D26" s="14">
        <v>1</v>
      </c>
      <c r="E26" s="35">
        <v>1</v>
      </c>
      <c r="F26" s="23">
        <v>0</v>
      </c>
      <c r="G26" s="14">
        <v>1</v>
      </c>
      <c r="H26" s="13">
        <v>1</v>
      </c>
      <c r="I26" s="134">
        <f>$I$10</f>
        <v>0</v>
      </c>
      <c r="J26" s="84">
        <f>$J$10</f>
        <v>0</v>
      </c>
      <c r="K26" s="54">
        <f t="shared" ref="K26:Q26" si="56">K$10</f>
        <v>0</v>
      </c>
      <c r="L26" s="54">
        <f t="shared" si="56"/>
        <v>0</v>
      </c>
      <c r="M26" s="60">
        <f t="shared" si="56"/>
        <v>0</v>
      </c>
      <c r="N26" s="84">
        <f t="shared" si="56"/>
        <v>0</v>
      </c>
      <c r="O26" s="54">
        <f t="shared" si="56"/>
        <v>0</v>
      </c>
      <c r="P26" s="54">
        <f t="shared" si="56"/>
        <v>0</v>
      </c>
      <c r="Q26" s="96">
        <f t="shared" si="56"/>
        <v>0</v>
      </c>
      <c r="R26" s="26">
        <f t="shared" si="27"/>
        <v>0</v>
      </c>
      <c r="S26" s="19">
        <f t="shared" si="28"/>
        <v>0</v>
      </c>
      <c r="T26" s="19">
        <f t="shared" si="29"/>
        <v>1</v>
      </c>
      <c r="U26" s="78">
        <f t="shared" si="30"/>
        <v>1</v>
      </c>
      <c r="V26" s="135">
        <f t="shared" si="31"/>
        <v>0</v>
      </c>
      <c r="W26" s="18">
        <f t="shared" si="32"/>
        <v>0</v>
      </c>
      <c r="X26" s="18">
        <f t="shared" si="33"/>
        <v>1</v>
      </c>
      <c r="Y26" s="24">
        <f t="shared" si="34"/>
        <v>0</v>
      </c>
      <c r="AA26" s="64" t="s">
        <v>36</v>
      </c>
      <c r="AB26" s="106" t="str">
        <f t="shared" si="35"/>
        <v>360032</v>
      </c>
      <c r="AC26" s="111" t="s">
        <v>62</v>
      </c>
      <c r="AD26" s="112" t="str">
        <f>"NOR r"&amp;$V$6&amp;", r"&amp;$R$6&amp;", "&amp;$I$6</f>
        <v>NOR r2, r3, 0</v>
      </c>
      <c r="AE26" s="129"/>
      <c r="AF26" s="130" t="str">
        <f t="shared" si="44"/>
        <v>3</v>
      </c>
      <c r="AG26" s="130" t="str">
        <f t="shared" si="44"/>
        <v>6</v>
      </c>
      <c r="AH26" s="130" t="str">
        <f t="shared" si="45"/>
        <v>0</v>
      </c>
      <c r="AI26" s="130" t="str">
        <f t="shared" si="45"/>
        <v>0</v>
      </c>
      <c r="AJ26" s="130" t="str">
        <f t="shared" si="46"/>
        <v>3</v>
      </c>
      <c r="AK26" s="130" t="str">
        <f t="shared" si="46"/>
        <v>2</v>
      </c>
      <c r="AM26" s="131" t="str">
        <f t="shared" si="37"/>
        <v>0011</v>
      </c>
      <c r="AN26" s="131" t="str">
        <f t="shared" si="38"/>
        <v>0110</v>
      </c>
      <c r="AO26" s="131" t="str">
        <f t="shared" si="39"/>
        <v>0000</v>
      </c>
      <c r="AP26" s="131" t="str">
        <f t="shared" si="40"/>
        <v>0000</v>
      </c>
      <c r="AQ26" s="131" t="str">
        <f t="shared" si="41"/>
        <v>0011</v>
      </c>
      <c r="AR26" s="131" t="str">
        <f t="shared" si="42"/>
        <v>0010</v>
      </c>
    </row>
    <row r="27" spans="1:44" ht="15.75">
      <c r="A27" s="64" t="s">
        <v>38</v>
      </c>
      <c r="B27" s="13">
        <v>1</v>
      </c>
      <c r="C27" s="13">
        <v>0</v>
      </c>
      <c r="D27" s="14">
        <v>0</v>
      </c>
      <c r="E27" s="35">
        <v>1</v>
      </c>
      <c r="F27" s="23">
        <v>0</v>
      </c>
      <c r="G27" s="14">
        <v>0</v>
      </c>
      <c r="H27" s="13">
        <v>0</v>
      </c>
      <c r="I27" s="136">
        <f t="shared" ref="I27:M28" si="57">I$9</f>
        <v>0</v>
      </c>
      <c r="J27" s="25">
        <v>0</v>
      </c>
      <c r="K27" s="13">
        <v>0</v>
      </c>
      <c r="L27" s="13">
        <v>0</v>
      </c>
      <c r="M27" s="168">
        <v>0</v>
      </c>
      <c r="N27" s="28">
        <f t="shared" ref="N27:Q28" si="58">N$9</f>
        <v>0</v>
      </c>
      <c r="O27" s="16">
        <f t="shared" si="58"/>
        <v>1</v>
      </c>
      <c r="P27" s="16">
        <f t="shared" si="58"/>
        <v>0</v>
      </c>
      <c r="Q27" s="133">
        <f t="shared" si="58"/>
        <v>1</v>
      </c>
      <c r="R27" s="26">
        <f t="shared" si="27"/>
        <v>0</v>
      </c>
      <c r="S27" s="19">
        <f t="shared" si="28"/>
        <v>0</v>
      </c>
      <c r="T27" s="19">
        <f t="shared" si="29"/>
        <v>1</v>
      </c>
      <c r="U27" s="78">
        <f t="shared" si="30"/>
        <v>1</v>
      </c>
      <c r="V27" s="135">
        <f t="shared" si="31"/>
        <v>0</v>
      </c>
      <c r="W27" s="18">
        <f t="shared" si="32"/>
        <v>0</v>
      </c>
      <c r="X27" s="18">
        <f t="shared" si="33"/>
        <v>1</v>
      </c>
      <c r="Y27" s="24">
        <f t="shared" si="34"/>
        <v>0</v>
      </c>
      <c r="AA27" s="64" t="s">
        <v>38</v>
      </c>
      <c r="AB27" s="106" t="str">
        <f t="shared" si="35"/>
        <v>900532</v>
      </c>
      <c r="AC27" s="111" t="s">
        <v>62</v>
      </c>
      <c r="AD27" s="112" t="str">
        <f>"ADD r"&amp;$V$6&amp;", r0, "&amp;IF(I$7=1,"(r"&amp;N$7&amp;" &gt;&gt;  r"&amp;R6&amp;"[4:0])", "(r"&amp;N$7&amp;" &lt;&lt; r"&amp;R6&amp;"[4:0])")</f>
        <v>ADD r2, r0, (r5 &lt;&lt; r3[4:0])</v>
      </c>
      <c r="AE27" s="129"/>
      <c r="AF27" s="130" t="str">
        <f t="shared" si="44"/>
        <v>9</v>
      </c>
      <c r="AG27" s="130" t="str">
        <f t="shared" si="44"/>
        <v>0</v>
      </c>
      <c r="AH27" s="130" t="str">
        <f t="shared" si="45"/>
        <v>0</v>
      </c>
      <c r="AI27" s="130" t="str">
        <f t="shared" si="45"/>
        <v>5</v>
      </c>
      <c r="AJ27" s="130" t="str">
        <f t="shared" si="46"/>
        <v>3</v>
      </c>
      <c r="AK27" s="130" t="str">
        <f t="shared" si="46"/>
        <v>2</v>
      </c>
      <c r="AM27" s="131" t="str">
        <f t="shared" si="37"/>
        <v>1001</v>
      </c>
      <c r="AN27" s="131" t="str">
        <f t="shared" si="38"/>
        <v>0000</v>
      </c>
      <c r="AO27" s="131" t="str">
        <f t="shared" si="39"/>
        <v>0000</v>
      </c>
      <c r="AP27" s="131" t="str">
        <f t="shared" si="40"/>
        <v>0101</v>
      </c>
      <c r="AQ27" s="131" t="str">
        <f t="shared" si="41"/>
        <v>0011</v>
      </c>
      <c r="AR27" s="131" t="str">
        <f t="shared" si="42"/>
        <v>0010</v>
      </c>
    </row>
    <row r="28" spans="1:44" ht="16.5" thickBot="1">
      <c r="A28" s="65" t="s">
        <v>37</v>
      </c>
      <c r="B28" s="139">
        <v>0</v>
      </c>
      <c r="C28" s="139">
        <v>0</v>
      </c>
      <c r="D28" s="169">
        <v>0</v>
      </c>
      <c r="E28" s="170">
        <v>0</v>
      </c>
      <c r="F28" s="88">
        <v>0</v>
      </c>
      <c r="G28" s="45">
        <v>0</v>
      </c>
      <c r="H28" s="44">
        <v>0</v>
      </c>
      <c r="I28" s="136">
        <f t="shared" si="57"/>
        <v>0</v>
      </c>
      <c r="J28" s="171">
        <f t="shared" si="57"/>
        <v>0</v>
      </c>
      <c r="K28" s="172">
        <f t="shared" si="57"/>
        <v>0</v>
      </c>
      <c r="L28" s="172">
        <f t="shared" si="57"/>
        <v>0</v>
      </c>
      <c r="M28" s="173">
        <f t="shared" si="57"/>
        <v>0</v>
      </c>
      <c r="N28" s="99">
        <f t="shared" si="58"/>
        <v>0</v>
      </c>
      <c r="O28" s="53">
        <f t="shared" si="58"/>
        <v>1</v>
      </c>
      <c r="P28" s="53">
        <f t="shared" si="58"/>
        <v>0</v>
      </c>
      <c r="Q28" s="174">
        <f t="shared" si="58"/>
        <v>1</v>
      </c>
      <c r="R28" s="88">
        <v>0</v>
      </c>
      <c r="S28" s="44">
        <v>0</v>
      </c>
      <c r="T28" s="44">
        <v>0</v>
      </c>
      <c r="U28" s="175">
        <v>0</v>
      </c>
      <c r="V28" s="176">
        <f t="shared" si="31"/>
        <v>0</v>
      </c>
      <c r="W28" s="46">
        <f t="shared" si="32"/>
        <v>0</v>
      </c>
      <c r="X28" s="46">
        <f t="shared" si="33"/>
        <v>1</v>
      </c>
      <c r="Y28" s="77">
        <f t="shared" si="34"/>
        <v>0</v>
      </c>
      <c r="AA28" s="65" t="s">
        <v>37</v>
      </c>
      <c r="AB28" s="107" t="str">
        <f t="shared" si="35"/>
        <v>000502</v>
      </c>
      <c r="AC28" s="113" t="s">
        <v>62</v>
      </c>
      <c r="AD28" s="114" t="str">
        <f>"ADD r"&amp;$V$6&amp;", r0, "&amp;IF((J$7=0), "r"&amp;N$7, IF(I$7=1,"(r"&amp;N$7&amp;" &gt;&gt;  "&amp;J$7&amp;")", "(r"&amp;N$7&amp;" &lt;&lt;  "&amp;J$7&amp;")"))</f>
        <v>ADD r2, r0, r5</v>
      </c>
      <c r="AE28" s="129"/>
      <c r="AF28" s="130" t="str">
        <f t="shared" si="44"/>
        <v>0</v>
      </c>
      <c r="AG28" s="130" t="str">
        <f t="shared" si="44"/>
        <v>0</v>
      </c>
      <c r="AH28" s="130" t="str">
        <f t="shared" si="45"/>
        <v>0</v>
      </c>
      <c r="AI28" s="130" t="str">
        <f t="shared" si="45"/>
        <v>5</v>
      </c>
      <c r="AJ28" s="130" t="str">
        <f t="shared" si="46"/>
        <v>0</v>
      </c>
      <c r="AK28" s="130" t="str">
        <f t="shared" si="46"/>
        <v>2</v>
      </c>
      <c r="AM28" s="131" t="str">
        <f t="shared" si="37"/>
        <v>0000</v>
      </c>
      <c r="AN28" s="131" t="str">
        <f t="shared" si="38"/>
        <v>0000</v>
      </c>
      <c r="AO28" s="131" t="str">
        <f t="shared" si="39"/>
        <v>0000</v>
      </c>
      <c r="AP28" s="131" t="str">
        <f t="shared" si="40"/>
        <v>0101</v>
      </c>
      <c r="AQ28" s="131" t="str">
        <f t="shared" si="41"/>
        <v>0000</v>
      </c>
      <c r="AR28" s="131" t="str">
        <f t="shared" si="42"/>
        <v>0010</v>
      </c>
    </row>
    <row r="29" spans="1:44" ht="16.5" thickBot="1">
      <c r="A29" s="4"/>
      <c r="B29" s="382" t="s">
        <v>13</v>
      </c>
      <c r="C29" s="383"/>
      <c r="D29" s="277" t="s">
        <v>9</v>
      </c>
      <c r="E29" s="277"/>
      <c r="F29" s="277"/>
      <c r="G29" s="278"/>
      <c r="H29" s="281" t="s">
        <v>3</v>
      </c>
      <c r="I29" s="288" t="s">
        <v>19</v>
      </c>
      <c r="J29" s="289"/>
      <c r="K29" s="289"/>
      <c r="L29" s="289"/>
      <c r="M29" s="289"/>
      <c r="N29" s="289"/>
      <c r="O29" s="289"/>
      <c r="P29" s="289"/>
      <c r="Q29" s="290"/>
      <c r="R29" s="370" t="s">
        <v>16</v>
      </c>
      <c r="S29" s="371"/>
      <c r="T29" s="371"/>
      <c r="U29" s="372"/>
      <c r="V29" s="405" t="s">
        <v>15</v>
      </c>
      <c r="W29" s="406"/>
      <c r="X29" s="406"/>
      <c r="Y29" s="407"/>
      <c r="AA29" s="4"/>
      <c r="AB29" s="20"/>
      <c r="AC29" s="100"/>
      <c r="AD29" s="129"/>
      <c r="AE29" s="129"/>
      <c r="AF29" s="130"/>
      <c r="AG29" s="130"/>
      <c r="AH29" s="130"/>
      <c r="AI29" s="130"/>
      <c r="AJ29" s="130"/>
      <c r="AK29" s="130"/>
      <c r="AM29" s="131"/>
      <c r="AN29" s="131"/>
      <c r="AO29" s="131"/>
      <c r="AP29" s="131"/>
      <c r="AQ29" s="131"/>
      <c r="AR29" s="131"/>
    </row>
    <row r="30" spans="1:44" ht="16.5" thickBot="1">
      <c r="A30" s="17"/>
      <c r="B30" s="384"/>
      <c r="C30" s="385"/>
      <c r="D30" s="279"/>
      <c r="E30" s="279"/>
      <c r="F30" s="279"/>
      <c r="G30" s="280"/>
      <c r="H30" s="282"/>
      <c r="I30" s="283" t="s">
        <v>17</v>
      </c>
      <c r="J30" s="284"/>
      <c r="K30" s="284"/>
      <c r="L30" s="284"/>
      <c r="M30" s="284"/>
      <c r="N30" s="285" t="s">
        <v>18</v>
      </c>
      <c r="O30" s="286"/>
      <c r="P30" s="286"/>
      <c r="Q30" s="287"/>
      <c r="R30" s="373"/>
      <c r="S30" s="374"/>
      <c r="T30" s="374"/>
      <c r="U30" s="375"/>
      <c r="V30" s="408"/>
      <c r="W30" s="409"/>
      <c r="X30" s="409"/>
      <c r="Y30" s="410"/>
      <c r="AB30" s="20"/>
      <c r="AC30" s="100"/>
      <c r="AF30" s="130"/>
      <c r="AG30" s="130"/>
      <c r="AH30" s="130"/>
      <c r="AI30" s="130"/>
      <c r="AJ30" s="130"/>
      <c r="AK30" s="130"/>
      <c r="AM30" s="131"/>
      <c r="AN30" s="131"/>
      <c r="AO30" s="131"/>
      <c r="AP30" s="131"/>
      <c r="AQ30" s="131"/>
      <c r="AR30" s="131"/>
    </row>
    <row r="31" spans="1:44" ht="16.5" thickBot="1">
      <c r="A31" s="2"/>
      <c r="B31" s="8">
        <v>23</v>
      </c>
      <c r="C31" s="9">
        <v>22</v>
      </c>
      <c r="D31" s="9">
        <v>21</v>
      </c>
      <c r="E31" s="10">
        <v>20</v>
      </c>
      <c r="F31" s="119">
        <v>19</v>
      </c>
      <c r="G31" s="6">
        <v>18</v>
      </c>
      <c r="H31" s="6">
        <v>17</v>
      </c>
      <c r="I31" s="7">
        <v>16</v>
      </c>
      <c r="J31" s="12">
        <v>15</v>
      </c>
      <c r="K31" s="9">
        <v>14</v>
      </c>
      <c r="L31" s="9">
        <v>13</v>
      </c>
      <c r="M31" s="11">
        <v>12</v>
      </c>
      <c r="N31" s="5">
        <v>11</v>
      </c>
      <c r="O31" s="6">
        <v>10</v>
      </c>
      <c r="P31" s="6">
        <v>9</v>
      </c>
      <c r="Q31" s="7">
        <v>8</v>
      </c>
      <c r="R31" s="12">
        <v>7</v>
      </c>
      <c r="S31" s="9">
        <v>6</v>
      </c>
      <c r="T31" s="9">
        <v>5</v>
      </c>
      <c r="U31" s="10">
        <v>4</v>
      </c>
      <c r="V31" s="5">
        <v>3</v>
      </c>
      <c r="W31" s="6">
        <v>2</v>
      </c>
      <c r="X31" s="6">
        <v>1</v>
      </c>
      <c r="Y31" s="7">
        <v>0</v>
      </c>
      <c r="Z31" s="20"/>
      <c r="AA31" s="100"/>
      <c r="AH31" s="1"/>
      <c r="AK31" s="131"/>
      <c r="AL31" s="131"/>
      <c r="AM31" s="131"/>
      <c r="AN31" s="131"/>
      <c r="AO31" s="131"/>
      <c r="AP31" s="131"/>
    </row>
    <row r="32" spans="1:44" ht="15.75">
      <c r="A32" s="2"/>
      <c r="B32" s="310" t="s">
        <v>44</v>
      </c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2"/>
      <c r="Z32" s="20"/>
      <c r="AA32" s="100"/>
      <c r="AH32" s="1"/>
      <c r="AK32" s="131"/>
      <c r="AL32" s="131"/>
      <c r="AM32" s="131"/>
      <c r="AN32" s="131"/>
      <c r="AO32" s="131"/>
      <c r="AP32" s="131"/>
    </row>
    <row r="33" spans="1:44" ht="15.75">
      <c r="B33" s="424" t="s">
        <v>45</v>
      </c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2"/>
      <c r="Z33" s="20"/>
      <c r="AA33" s="100"/>
      <c r="AH33" s="1"/>
      <c r="AK33" s="131"/>
      <c r="AL33" s="131"/>
      <c r="AM33" s="131"/>
      <c r="AN33" s="131"/>
      <c r="AO33" s="131"/>
      <c r="AP33" s="131"/>
    </row>
    <row r="34" spans="1:44" ht="15.75">
      <c r="A34" s="2"/>
      <c r="B34" s="310" t="s">
        <v>46</v>
      </c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2"/>
      <c r="Z34" s="20"/>
      <c r="AA34" s="100"/>
      <c r="AH34" s="1"/>
      <c r="AK34" s="131"/>
      <c r="AL34" s="131"/>
      <c r="AM34" s="131"/>
      <c r="AN34" s="131"/>
      <c r="AO34" s="131"/>
      <c r="AP34" s="131"/>
    </row>
    <row r="35" spans="1:44" ht="16.5" thickBot="1">
      <c r="A35" s="2"/>
      <c r="B35" s="425" t="s">
        <v>6</v>
      </c>
      <c r="C35" s="426"/>
      <c r="D35" s="426"/>
      <c r="E35" s="426"/>
      <c r="F35" s="426"/>
      <c r="G35" s="426"/>
      <c r="H35" s="426"/>
      <c r="I35" s="426"/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  <c r="Y35" s="427"/>
      <c r="Z35" s="20"/>
      <c r="AA35" s="100"/>
      <c r="AH35" s="1"/>
      <c r="AK35" s="131"/>
      <c r="AL35" s="131"/>
      <c r="AM35" s="131"/>
      <c r="AN35" s="131"/>
      <c r="AO35" s="131"/>
      <c r="AP35" s="131"/>
    </row>
    <row r="36" spans="1:44" ht="16.5" thickBo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100"/>
      <c r="AH36" s="1"/>
      <c r="AK36" s="131"/>
      <c r="AL36" s="131"/>
      <c r="AM36" s="131"/>
      <c r="AN36" s="131"/>
      <c r="AO36" s="131"/>
      <c r="AP36" s="131"/>
    </row>
    <row r="37" spans="1:44" ht="16.5" thickBot="1">
      <c r="A37" s="2"/>
      <c r="B37" s="352" t="s">
        <v>2</v>
      </c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4"/>
      <c r="Z37" s="20"/>
      <c r="AA37" s="100"/>
      <c r="AH37" s="1"/>
      <c r="AK37" s="131"/>
      <c r="AL37" s="131"/>
      <c r="AM37" s="131"/>
      <c r="AN37" s="131"/>
      <c r="AO37" s="131"/>
      <c r="AP37" s="131"/>
    </row>
    <row r="38" spans="1:44" ht="16.5" thickBot="1">
      <c r="A38" s="2"/>
      <c r="B38" s="8">
        <v>23</v>
      </c>
      <c r="C38" s="9">
        <v>22</v>
      </c>
      <c r="D38" s="9">
        <v>21</v>
      </c>
      <c r="E38" s="10">
        <v>20</v>
      </c>
      <c r="F38" s="119">
        <v>19</v>
      </c>
      <c r="G38" s="6">
        <v>18</v>
      </c>
      <c r="H38" s="6">
        <v>17</v>
      </c>
      <c r="I38" s="7">
        <v>16</v>
      </c>
      <c r="J38" s="12">
        <v>15</v>
      </c>
      <c r="K38" s="9">
        <v>14</v>
      </c>
      <c r="L38" s="9">
        <v>13</v>
      </c>
      <c r="M38" s="11">
        <v>12</v>
      </c>
      <c r="N38" s="5">
        <v>11</v>
      </c>
      <c r="O38" s="6">
        <v>10</v>
      </c>
      <c r="P38" s="6">
        <v>9</v>
      </c>
      <c r="Q38" s="7">
        <v>8</v>
      </c>
      <c r="R38" s="12">
        <v>7</v>
      </c>
      <c r="S38" s="9">
        <v>6</v>
      </c>
      <c r="T38" s="9">
        <v>5</v>
      </c>
      <c r="U38" s="10">
        <v>4</v>
      </c>
      <c r="V38" s="5">
        <v>3</v>
      </c>
      <c r="W38" s="6">
        <v>2</v>
      </c>
      <c r="X38" s="6">
        <v>1</v>
      </c>
      <c r="Y38" s="7">
        <v>0</v>
      </c>
      <c r="Z38" s="20"/>
      <c r="AA38" s="100"/>
      <c r="AH38" s="1"/>
      <c r="AK38" s="131"/>
      <c r="AL38" s="131"/>
      <c r="AM38" s="131"/>
      <c r="AN38" s="131"/>
      <c r="AO38" s="131"/>
      <c r="AP38" s="131"/>
    </row>
    <row r="39" spans="1:44" ht="15.75" thickBot="1">
      <c r="A39" s="2"/>
      <c r="B39" s="330" t="s">
        <v>14</v>
      </c>
      <c r="C39" s="320"/>
      <c r="D39" s="319" t="s">
        <v>0</v>
      </c>
      <c r="E39" s="319"/>
      <c r="F39" s="319"/>
      <c r="G39" s="320"/>
      <c r="H39" s="34" t="s">
        <v>3</v>
      </c>
      <c r="I39" s="294" t="s">
        <v>19</v>
      </c>
      <c r="J39" s="295"/>
      <c r="K39" s="295"/>
      <c r="L39" s="295"/>
      <c r="M39" s="296"/>
      <c r="N39" s="355" t="s">
        <v>18</v>
      </c>
      <c r="O39" s="356"/>
      <c r="P39" s="356"/>
      <c r="Q39" s="357"/>
      <c r="R39" s="361" t="s">
        <v>16</v>
      </c>
      <c r="S39" s="362"/>
      <c r="T39" s="362"/>
      <c r="U39" s="363"/>
      <c r="V39" s="291" t="s">
        <v>15</v>
      </c>
      <c r="W39" s="292"/>
      <c r="X39" s="292"/>
      <c r="Y39" s="293"/>
      <c r="AG39" s="131"/>
      <c r="AI39" s="131"/>
      <c r="AJ39" s="131"/>
    </row>
    <row r="40" spans="1:44" ht="32.25" customHeight="1" thickBot="1">
      <c r="A40" s="2"/>
      <c r="B40" s="56"/>
      <c r="C40" s="57"/>
      <c r="D40" s="58"/>
      <c r="E40" s="58"/>
      <c r="F40" s="58"/>
      <c r="G40" s="57"/>
      <c r="H40" s="55"/>
      <c r="I40" s="379">
        <v>12</v>
      </c>
      <c r="J40" s="380"/>
      <c r="K40" s="380"/>
      <c r="L40" s="380"/>
      <c r="M40" s="381"/>
      <c r="N40" s="297">
        <v>4</v>
      </c>
      <c r="O40" s="298"/>
      <c r="P40" s="298"/>
      <c r="Q40" s="299"/>
      <c r="R40" s="303">
        <v>3</v>
      </c>
      <c r="S40" s="304"/>
      <c r="T40" s="304"/>
      <c r="U40" s="305"/>
      <c r="V40" s="274">
        <v>8</v>
      </c>
      <c r="W40" s="275"/>
      <c r="X40" s="275"/>
      <c r="Y40" s="276"/>
      <c r="AG40" s="131"/>
      <c r="AI40" s="131"/>
      <c r="AJ40" s="131"/>
    </row>
    <row r="41" spans="1:44" ht="16.5" customHeight="1" thickBot="1">
      <c r="A41" s="67"/>
      <c r="B41" s="31">
        <v>1</v>
      </c>
      <c r="C41" s="32">
        <v>0</v>
      </c>
      <c r="D41" s="42">
        <v>0</v>
      </c>
      <c r="E41" s="33">
        <v>0</v>
      </c>
      <c r="F41" s="87">
        <v>0</v>
      </c>
      <c r="G41" s="42">
        <v>0</v>
      </c>
      <c r="H41" s="32">
        <v>1</v>
      </c>
      <c r="I41" s="82">
        <f>I$44</f>
        <v>0</v>
      </c>
      <c r="J41" s="81">
        <f t="shared" ref="J41:P43" si="59">J$44</f>
        <v>0</v>
      </c>
      <c r="K41" s="61">
        <f t="shared" si="59"/>
        <v>0</v>
      </c>
      <c r="L41" s="61">
        <f t="shared" si="59"/>
        <v>0</v>
      </c>
      <c r="M41" s="82">
        <f t="shared" si="59"/>
        <v>0</v>
      </c>
      <c r="N41" s="81">
        <f t="shared" si="59"/>
        <v>1</v>
      </c>
      <c r="O41" s="61">
        <f t="shared" si="59"/>
        <v>1</v>
      </c>
      <c r="P41" s="61">
        <f t="shared" si="59"/>
        <v>0</v>
      </c>
      <c r="Q41" s="98">
        <f>$Q$44</f>
        <v>0</v>
      </c>
      <c r="R41" s="199">
        <f t="shared" ref="R41:U42" si="60">R$43</f>
        <v>0</v>
      </c>
      <c r="S41" s="52">
        <f t="shared" si="60"/>
        <v>0</v>
      </c>
      <c r="T41" s="52">
        <f t="shared" si="60"/>
        <v>1</v>
      </c>
      <c r="U41" s="181">
        <f t="shared" si="60"/>
        <v>1</v>
      </c>
      <c r="V41" s="92">
        <f t="shared" ref="V41:V42" si="61">$V$43</f>
        <v>1</v>
      </c>
      <c r="W41" s="51">
        <f t="shared" ref="W41:W42" si="62">$W$43</f>
        <v>0</v>
      </c>
      <c r="X41" s="51">
        <f t="shared" ref="X41:X42" si="63">$X$43</f>
        <v>0</v>
      </c>
      <c r="Y41" s="75">
        <f t="shared" ref="Y41:Y42" si="64">$Y$43</f>
        <v>0</v>
      </c>
      <c r="Z41" s="122"/>
      <c r="AA41" s="201"/>
      <c r="AB41" s="205" t="str">
        <f>_xlfn.CONCAT(AF41:AK41)</f>
        <v>820C38</v>
      </c>
      <c r="AC41" s="109" t="s">
        <v>62</v>
      </c>
      <c r="AD41" s="110" t="str">
        <f>"LW r"&amp;$V$40&amp;", r0("&amp;$I$40&amp;")"</f>
        <v>LW r8, r0(12)</v>
      </c>
      <c r="AE41" s="130"/>
      <c r="AF41" s="130" t="str">
        <f t="shared" ref="AF41:AF44" si="65">BIN2HEX(AM41)</f>
        <v>8</v>
      </c>
      <c r="AG41" s="130" t="str">
        <f t="shared" ref="AG41:AG44" si="66">BIN2HEX(AN41)</f>
        <v>2</v>
      </c>
      <c r="AH41" s="130" t="str">
        <f t="shared" ref="AH41:AH44" si="67">BIN2HEX(AO41)</f>
        <v>0</v>
      </c>
      <c r="AI41" s="130" t="str">
        <f t="shared" ref="AI41:AI44" si="68">BIN2HEX(AP41)</f>
        <v>C</v>
      </c>
      <c r="AJ41" s="130" t="str">
        <f t="shared" ref="AJ41:AJ44" si="69">BIN2HEX(AQ41)</f>
        <v>3</v>
      </c>
      <c r="AK41" s="130" t="str">
        <f t="shared" ref="AK41:AK44" si="70">BIN2HEX(AR41)</f>
        <v>8</v>
      </c>
      <c r="AM41" s="131" t="str">
        <f>_xlfn.CONCAT(B41:E41)</f>
        <v>1000</v>
      </c>
      <c r="AN41" s="131" t="str">
        <f>_xlfn.CONCAT(F41:I41)</f>
        <v>0010</v>
      </c>
      <c r="AO41" s="131" t="str">
        <f>_xlfn.CONCAT(J41:M41)</f>
        <v>0000</v>
      </c>
      <c r="AP41" s="131" t="str">
        <f>_xlfn.CONCAT(N41:Q41)</f>
        <v>1100</v>
      </c>
      <c r="AQ41" s="131" t="str">
        <f>_xlfn.CONCAT(R41:U41)</f>
        <v>0011</v>
      </c>
      <c r="AR41" s="131" t="str">
        <f>_xlfn.CONCAT(V41:Y41)</f>
        <v>1000</v>
      </c>
    </row>
    <row r="42" spans="1:44" ht="16.5" thickBot="1">
      <c r="A42" s="68" t="s">
        <v>10</v>
      </c>
      <c r="B42" s="25">
        <v>1</v>
      </c>
      <c r="C42" s="13">
        <v>0</v>
      </c>
      <c r="D42" s="14">
        <v>0</v>
      </c>
      <c r="E42" s="29">
        <v>0</v>
      </c>
      <c r="F42" s="23">
        <v>0</v>
      </c>
      <c r="G42" s="14">
        <v>0</v>
      </c>
      <c r="H42" s="13">
        <v>0</v>
      </c>
      <c r="I42" s="168">
        <v>0</v>
      </c>
      <c r="J42" s="25">
        <v>0</v>
      </c>
      <c r="K42" s="13">
        <v>0</v>
      </c>
      <c r="L42" s="14">
        <v>0</v>
      </c>
      <c r="M42" s="29">
        <v>0</v>
      </c>
      <c r="N42" s="28">
        <f>INT(N40/8)</f>
        <v>0</v>
      </c>
      <c r="O42" s="16">
        <f>INT((N40-(N42*8))/4)</f>
        <v>1</v>
      </c>
      <c r="P42" s="16">
        <f>INT((N40-(N42*8)-(O42*4))/2)</f>
        <v>0</v>
      </c>
      <c r="Q42" s="133">
        <f>N40-(N42*8)-(O42*4)-(P42*2)</f>
        <v>0</v>
      </c>
      <c r="R42" s="26">
        <f t="shared" si="60"/>
        <v>0</v>
      </c>
      <c r="S42" s="19">
        <f t="shared" si="60"/>
        <v>0</v>
      </c>
      <c r="T42" s="19">
        <f t="shared" si="60"/>
        <v>1</v>
      </c>
      <c r="U42" s="78">
        <f t="shared" si="60"/>
        <v>1</v>
      </c>
      <c r="V42" s="22">
        <f t="shared" si="61"/>
        <v>1</v>
      </c>
      <c r="W42" s="18">
        <f t="shared" si="62"/>
        <v>0</v>
      </c>
      <c r="X42" s="18">
        <f t="shared" si="63"/>
        <v>0</v>
      </c>
      <c r="Y42" s="24">
        <f t="shared" si="64"/>
        <v>0</v>
      </c>
      <c r="Z42" s="1"/>
      <c r="AA42" s="202" t="s">
        <v>10</v>
      </c>
      <c r="AB42" s="205" t="str">
        <f>_xlfn.CONCAT(AF42:AK42)</f>
        <v>800438</v>
      </c>
      <c r="AC42" s="111" t="s">
        <v>62</v>
      </c>
      <c r="AD42" s="112" t="str">
        <f>"LW r"&amp;$V$40&amp;", r"&amp;$R$40&amp;"(r"&amp;$N$40&amp;")"</f>
        <v>LW r8, r3(r4)</v>
      </c>
      <c r="AE42" s="130"/>
      <c r="AF42" s="130" t="str">
        <f t="shared" si="65"/>
        <v>8</v>
      </c>
      <c r="AG42" s="130" t="str">
        <f t="shared" si="66"/>
        <v>0</v>
      </c>
      <c r="AH42" s="130" t="str">
        <f t="shared" si="67"/>
        <v>0</v>
      </c>
      <c r="AI42" s="130" t="str">
        <f t="shared" si="68"/>
        <v>4</v>
      </c>
      <c r="AJ42" s="130" t="str">
        <f t="shared" si="69"/>
        <v>3</v>
      </c>
      <c r="AK42" s="130" t="str">
        <f t="shared" si="70"/>
        <v>8</v>
      </c>
      <c r="AM42" s="131" t="str">
        <f>_xlfn.CONCAT(B42:E42)</f>
        <v>1000</v>
      </c>
      <c r="AN42" s="131" t="str">
        <f>_xlfn.CONCAT(F42:I42)</f>
        <v>0000</v>
      </c>
      <c r="AO42" s="131" t="str">
        <f>_xlfn.CONCAT(J42:M42)</f>
        <v>0000</v>
      </c>
      <c r="AP42" s="131" t="str">
        <f>_xlfn.CONCAT(N42:Q42)</f>
        <v>0100</v>
      </c>
      <c r="AQ42" s="131" t="str">
        <f>_xlfn.CONCAT(R42:U42)</f>
        <v>0011</v>
      </c>
      <c r="AR42" s="131" t="str">
        <f>_xlfn.CONCAT(V42:Y42)</f>
        <v>1000</v>
      </c>
    </row>
    <row r="43" spans="1:44" ht="16.5" thickBot="1">
      <c r="A43" s="69"/>
      <c r="B43" s="25">
        <v>1</v>
      </c>
      <c r="C43" s="13">
        <v>0</v>
      </c>
      <c r="D43" s="14">
        <v>0</v>
      </c>
      <c r="E43" s="29">
        <v>0</v>
      </c>
      <c r="F43" s="23">
        <v>0</v>
      </c>
      <c r="G43" s="14">
        <v>0</v>
      </c>
      <c r="H43" s="13">
        <v>1</v>
      </c>
      <c r="I43" s="60">
        <f>I$44</f>
        <v>0</v>
      </c>
      <c r="J43" s="84">
        <f t="shared" si="59"/>
        <v>0</v>
      </c>
      <c r="K43" s="54">
        <f t="shared" si="59"/>
        <v>0</v>
      </c>
      <c r="L43" s="54">
        <f t="shared" si="59"/>
        <v>0</v>
      </c>
      <c r="M43" s="60">
        <f t="shared" si="59"/>
        <v>0</v>
      </c>
      <c r="N43" s="84">
        <f t="shared" si="59"/>
        <v>1</v>
      </c>
      <c r="O43" s="54">
        <f t="shared" si="59"/>
        <v>1</v>
      </c>
      <c r="P43" s="54">
        <f t="shared" si="59"/>
        <v>0</v>
      </c>
      <c r="Q43" s="96">
        <f>$Q$44</f>
        <v>0</v>
      </c>
      <c r="R43" s="26">
        <f>INT(R40/8)</f>
        <v>0</v>
      </c>
      <c r="S43" s="19">
        <f>INT((R40-(R43*8))/4)</f>
        <v>0</v>
      </c>
      <c r="T43" s="19">
        <f>INT((R40-(R43*8)-(S43*4))/2)</f>
        <v>1</v>
      </c>
      <c r="U43" s="78">
        <f>R40-(R43*8)-(S43*4)-(T43*2)</f>
        <v>1</v>
      </c>
      <c r="V43" s="22">
        <f>INT(V40/8)</f>
        <v>1</v>
      </c>
      <c r="W43" s="18">
        <f>INT((V40-(V43*8))/4)</f>
        <v>0</v>
      </c>
      <c r="X43" s="18">
        <f>INT((V40-(V43*8)-(W43*4))/2)</f>
        <v>0</v>
      </c>
      <c r="Y43" s="24">
        <f>V40-(V43*8)-(W43*4)-(X43*2)</f>
        <v>0</v>
      </c>
      <c r="Z43" s="1"/>
      <c r="AA43" s="203"/>
      <c r="AB43" s="205" t="str">
        <f>_xlfn.CONCAT(AF43:AK43)</f>
        <v>820C38</v>
      </c>
      <c r="AC43" s="111" t="s">
        <v>62</v>
      </c>
      <c r="AD43" s="112" t="str">
        <f>"LW r"&amp;$V$40&amp;", r"&amp;R40&amp;"("&amp;$I$40&amp;")"</f>
        <v>LW r8, r3(12)</v>
      </c>
      <c r="AE43" s="130"/>
      <c r="AF43" s="130" t="str">
        <f t="shared" si="65"/>
        <v>8</v>
      </c>
      <c r="AG43" s="130" t="str">
        <f t="shared" si="66"/>
        <v>2</v>
      </c>
      <c r="AH43" s="130" t="str">
        <f t="shared" si="67"/>
        <v>0</v>
      </c>
      <c r="AI43" s="130" t="str">
        <f t="shared" si="68"/>
        <v>C</v>
      </c>
      <c r="AJ43" s="130" t="str">
        <f t="shared" si="69"/>
        <v>3</v>
      </c>
      <c r="AK43" s="130" t="str">
        <f t="shared" si="70"/>
        <v>8</v>
      </c>
      <c r="AM43" s="131" t="str">
        <f>_xlfn.CONCAT(B43:E43)</f>
        <v>1000</v>
      </c>
      <c r="AN43" s="131" t="str">
        <f>_xlfn.CONCAT(F43:I43)</f>
        <v>0010</v>
      </c>
      <c r="AO43" s="131" t="str">
        <f>_xlfn.CONCAT(J43:M43)</f>
        <v>0000</v>
      </c>
      <c r="AP43" s="131" t="str">
        <f>_xlfn.CONCAT(N43:Q43)</f>
        <v>1100</v>
      </c>
      <c r="AQ43" s="131" t="str">
        <f>_xlfn.CONCAT(R43:U43)</f>
        <v>0011</v>
      </c>
      <c r="AR43" s="131" t="str">
        <f>_xlfn.CONCAT(V43:Y43)</f>
        <v>1000</v>
      </c>
    </row>
    <row r="44" spans="1:44" ht="16.5" thickBot="1">
      <c r="A44" s="69" t="s">
        <v>11</v>
      </c>
      <c r="B44" s="193">
        <v>1</v>
      </c>
      <c r="C44" s="139">
        <v>0</v>
      </c>
      <c r="D44" s="169">
        <v>0</v>
      </c>
      <c r="E44" s="197">
        <v>0</v>
      </c>
      <c r="F44" s="194">
        <v>0</v>
      </c>
      <c r="G44" s="169">
        <v>1</v>
      </c>
      <c r="H44" s="139">
        <v>0</v>
      </c>
      <c r="I44" s="195">
        <f>INT(I40/256)</f>
        <v>0</v>
      </c>
      <c r="J44" s="142">
        <f>INT((I40-(256*I44))/128)</f>
        <v>0</v>
      </c>
      <c r="K44" s="143">
        <f>INT((I40-(256*I44)-(J44*128))/64)</f>
        <v>0</v>
      </c>
      <c r="L44" s="143">
        <f>INT((I40-(256*I44)-(J44*128)-(K44*64))/32)</f>
        <v>0</v>
      </c>
      <c r="M44" s="196">
        <f>INT((I40-(256*I44)-(J44*128)-(K44*64)-(L44*32))/16)</f>
        <v>0</v>
      </c>
      <c r="N44" s="142">
        <f>INT((I40-(256*I44)-(J44*128)-(K44*64)-(L44*32)-(M44*16))/8)</f>
        <v>1</v>
      </c>
      <c r="O44" s="143">
        <f>INT((I40-(256*I44)-(128*J44)-(64*K44)-(32*L44)-(16*M44)-(8*N44))/4)</f>
        <v>1</v>
      </c>
      <c r="P44" s="143">
        <f>INT((I40-(256*I44)-(128*J44)-(64*K44)-(32*L44)-(16*M44)-(8*N44)-(4*O44))/2)</f>
        <v>0</v>
      </c>
      <c r="Q44" s="144">
        <f>(I40-(256*I44)-(128*J44)-(64*K44)-(32*L44)-(16*M44)-(8*N44)-(4*O44)-(2*P44))</f>
        <v>0</v>
      </c>
      <c r="R44" s="145">
        <f>R$43</f>
        <v>0</v>
      </c>
      <c r="S44" s="146">
        <f t="shared" ref="S44:U45" si="71">S$43</f>
        <v>0</v>
      </c>
      <c r="T44" s="146">
        <f t="shared" si="71"/>
        <v>1</v>
      </c>
      <c r="U44" s="147">
        <f t="shared" si="71"/>
        <v>1</v>
      </c>
      <c r="V44" s="198">
        <f>$V$43</f>
        <v>1</v>
      </c>
      <c r="W44" s="149">
        <f>$W$43</f>
        <v>0</v>
      </c>
      <c r="X44" s="149">
        <f>$X$43</f>
        <v>0</v>
      </c>
      <c r="Y44" s="150">
        <f>$Y$43</f>
        <v>0</v>
      </c>
      <c r="Z44" s="124"/>
      <c r="AA44" s="202" t="s">
        <v>11</v>
      </c>
      <c r="AB44" s="206" t="str">
        <f>_xlfn.CONCAT(AF44:AK44)</f>
        <v>840C38</v>
      </c>
      <c r="AC44" s="111" t="s">
        <v>62</v>
      </c>
      <c r="AD44" s="112" t="str">
        <f>"SW r"&amp;$V$40&amp;", r"&amp;R40&amp;"("&amp;$I$40&amp;")"</f>
        <v>SW r8, r3(12)</v>
      </c>
      <c r="AE44" s="130"/>
      <c r="AF44" s="130" t="str">
        <f t="shared" si="65"/>
        <v>8</v>
      </c>
      <c r="AG44" s="130" t="str">
        <f t="shared" si="66"/>
        <v>4</v>
      </c>
      <c r="AH44" s="130" t="str">
        <f t="shared" si="67"/>
        <v>0</v>
      </c>
      <c r="AI44" s="130" t="str">
        <f t="shared" si="68"/>
        <v>C</v>
      </c>
      <c r="AJ44" s="130" t="str">
        <f t="shared" si="69"/>
        <v>3</v>
      </c>
      <c r="AK44" s="130" t="str">
        <f t="shared" si="70"/>
        <v>8</v>
      </c>
      <c r="AM44" s="131" t="str">
        <f>_xlfn.CONCAT(B44:E44)</f>
        <v>1000</v>
      </c>
      <c r="AN44" s="131" t="str">
        <f>_xlfn.CONCAT(F44:I44)</f>
        <v>0100</v>
      </c>
      <c r="AO44" s="131" t="str">
        <f>_xlfn.CONCAT(J44:M44)</f>
        <v>0000</v>
      </c>
      <c r="AP44" s="131" t="str">
        <f>_xlfn.CONCAT(N44:Q44)</f>
        <v>1100</v>
      </c>
      <c r="AQ44" s="131" t="str">
        <f>_xlfn.CONCAT(R44:U44)</f>
        <v>0011</v>
      </c>
      <c r="AR44" s="131" t="str">
        <f>_xlfn.CONCAT(V44:Y44)</f>
        <v>1000</v>
      </c>
    </row>
    <row r="45" spans="1:44" ht="16.5" thickBot="1">
      <c r="A45" s="192" t="s">
        <v>79</v>
      </c>
      <c r="B45" s="25">
        <v>1</v>
      </c>
      <c r="C45" s="13">
        <v>0</v>
      </c>
      <c r="D45" s="14">
        <v>0</v>
      </c>
      <c r="E45" s="168">
        <v>0</v>
      </c>
      <c r="F45" s="23">
        <v>1</v>
      </c>
      <c r="G45" s="14">
        <v>1</v>
      </c>
      <c r="H45" s="13">
        <v>0</v>
      </c>
      <c r="I45" s="168">
        <v>0</v>
      </c>
      <c r="J45" s="23">
        <v>0</v>
      </c>
      <c r="K45" s="14">
        <v>0</v>
      </c>
      <c r="L45" s="14">
        <v>0</v>
      </c>
      <c r="M45" s="29">
        <v>0</v>
      </c>
      <c r="N45" s="23">
        <v>1</v>
      </c>
      <c r="O45" s="14">
        <v>1</v>
      </c>
      <c r="P45" s="14">
        <v>1</v>
      </c>
      <c r="Q45" s="35">
        <v>0</v>
      </c>
      <c r="R45" s="145">
        <f>R$43</f>
        <v>0</v>
      </c>
      <c r="S45" s="146">
        <f t="shared" si="71"/>
        <v>0</v>
      </c>
      <c r="T45" s="146">
        <f t="shared" si="71"/>
        <v>1</v>
      </c>
      <c r="U45" s="147">
        <f t="shared" si="71"/>
        <v>1</v>
      </c>
      <c r="V45" s="36">
        <v>1</v>
      </c>
      <c r="W45" s="14">
        <v>1</v>
      </c>
      <c r="X45" s="14">
        <v>1</v>
      </c>
      <c r="Y45" s="29">
        <v>0</v>
      </c>
      <c r="Z45" s="1"/>
      <c r="AA45" s="204" t="s">
        <v>79</v>
      </c>
      <c r="AB45" s="206" t="str">
        <f t="shared" ref="AB45:AB47" si="72">_xlfn.CONCAT(AF45:AK45)</f>
        <v>8C0E3E</v>
      </c>
      <c r="AC45" s="111" t="s">
        <v>62</v>
      </c>
      <c r="AD45" s="112" t="str">
        <f>"PUSH r"&amp;R40</f>
        <v>PUSH r3</v>
      </c>
      <c r="AE45" s="130"/>
      <c r="AF45" s="130" t="str">
        <f t="shared" ref="AF45:AF47" si="73">BIN2HEX(AM45)</f>
        <v>8</v>
      </c>
      <c r="AG45" s="130" t="str">
        <f t="shared" ref="AG45:AG47" si="74">BIN2HEX(AN45)</f>
        <v>C</v>
      </c>
      <c r="AH45" s="130" t="str">
        <f t="shared" ref="AH45:AH47" si="75">BIN2HEX(AO45)</f>
        <v>0</v>
      </c>
      <c r="AI45" s="130" t="str">
        <f t="shared" ref="AI45:AI47" si="76">BIN2HEX(AP45)</f>
        <v>E</v>
      </c>
      <c r="AJ45" s="130" t="str">
        <f t="shared" ref="AJ45:AJ47" si="77">BIN2HEX(AQ45)</f>
        <v>3</v>
      </c>
      <c r="AK45" s="130" t="str">
        <f t="shared" ref="AK45:AK47" si="78">BIN2HEX(AR45)</f>
        <v>E</v>
      </c>
      <c r="AM45" s="131" t="str">
        <f t="shared" ref="AM45:AM47" si="79">_xlfn.CONCAT(B45:E45)</f>
        <v>1000</v>
      </c>
      <c r="AN45" s="131" t="str">
        <f t="shared" ref="AN45:AN47" si="80">_xlfn.CONCAT(F45:I45)</f>
        <v>1100</v>
      </c>
      <c r="AO45" s="131" t="str">
        <f t="shared" ref="AO45:AO47" si="81">_xlfn.CONCAT(J45:M45)</f>
        <v>0000</v>
      </c>
      <c r="AP45" s="131" t="str">
        <f t="shared" ref="AP45:AP47" si="82">_xlfn.CONCAT(N45:Q45)</f>
        <v>1110</v>
      </c>
      <c r="AQ45" s="131" t="str">
        <f t="shared" ref="AQ45:AQ47" si="83">_xlfn.CONCAT(R45:U45)</f>
        <v>0011</v>
      </c>
      <c r="AR45" s="131" t="str">
        <f t="shared" ref="AR45:AR47" si="84">_xlfn.CONCAT(V45:Y45)</f>
        <v>1110</v>
      </c>
    </row>
    <row r="46" spans="1:44" ht="15.75">
      <c r="A46" s="413" t="s">
        <v>80</v>
      </c>
      <c r="B46" s="25">
        <v>0</v>
      </c>
      <c r="C46" s="13">
        <v>0</v>
      </c>
      <c r="D46" s="14">
        <v>0</v>
      </c>
      <c r="E46" s="168">
        <v>0</v>
      </c>
      <c r="F46" s="23">
        <v>0</v>
      </c>
      <c r="G46" s="14">
        <v>0</v>
      </c>
      <c r="H46" s="13">
        <v>1</v>
      </c>
      <c r="I46" s="168">
        <v>0</v>
      </c>
      <c r="J46" s="23">
        <v>0</v>
      </c>
      <c r="K46" s="14">
        <v>0</v>
      </c>
      <c r="L46" s="14">
        <v>0</v>
      </c>
      <c r="M46" s="29">
        <v>0</v>
      </c>
      <c r="N46" s="23">
        <v>0</v>
      </c>
      <c r="O46" s="14">
        <v>0</v>
      </c>
      <c r="P46" s="14">
        <v>1</v>
      </c>
      <c r="Q46" s="35">
        <v>1</v>
      </c>
      <c r="R46" s="23">
        <v>1</v>
      </c>
      <c r="S46" s="14">
        <v>1</v>
      </c>
      <c r="T46" s="14">
        <v>1</v>
      </c>
      <c r="U46" s="29">
        <v>0</v>
      </c>
      <c r="V46" s="36">
        <v>1</v>
      </c>
      <c r="W46" s="14">
        <v>1</v>
      </c>
      <c r="X46" s="14">
        <v>1</v>
      </c>
      <c r="Y46" s="29">
        <v>0</v>
      </c>
      <c r="Z46" s="1"/>
      <c r="AA46" s="71"/>
      <c r="AB46" s="200" t="str">
        <f t="shared" si="72"/>
        <v>0203EE</v>
      </c>
      <c r="AC46" s="111" t="s">
        <v>62</v>
      </c>
      <c r="AD46" s="112" t="s">
        <v>81</v>
      </c>
      <c r="AE46" s="130"/>
      <c r="AF46" s="130" t="str">
        <f t="shared" si="73"/>
        <v>0</v>
      </c>
      <c r="AG46" s="130" t="str">
        <f t="shared" si="74"/>
        <v>2</v>
      </c>
      <c r="AH46" s="130" t="str">
        <f t="shared" si="75"/>
        <v>0</v>
      </c>
      <c r="AI46" s="130" t="str">
        <f t="shared" si="76"/>
        <v>3</v>
      </c>
      <c r="AJ46" s="130" t="str">
        <f t="shared" si="77"/>
        <v>E</v>
      </c>
      <c r="AK46" s="130" t="str">
        <f t="shared" si="78"/>
        <v>E</v>
      </c>
      <c r="AM46" s="131" t="str">
        <f t="shared" si="79"/>
        <v>0000</v>
      </c>
      <c r="AN46" s="131" t="str">
        <f t="shared" si="80"/>
        <v>0010</v>
      </c>
      <c r="AO46" s="131" t="str">
        <f t="shared" si="81"/>
        <v>0000</v>
      </c>
      <c r="AP46" s="131" t="str">
        <f t="shared" si="82"/>
        <v>0011</v>
      </c>
      <c r="AQ46" s="131" t="str">
        <f t="shared" si="83"/>
        <v>1110</v>
      </c>
      <c r="AR46" s="131" t="str">
        <f t="shared" si="84"/>
        <v>1110</v>
      </c>
    </row>
    <row r="47" spans="1:44" ht="16.5" thickBot="1">
      <c r="A47" s="414"/>
      <c r="B47" s="43">
        <v>1</v>
      </c>
      <c r="C47" s="44">
        <v>0</v>
      </c>
      <c r="D47" s="45">
        <v>0</v>
      </c>
      <c r="E47" s="175">
        <v>0</v>
      </c>
      <c r="F47" s="88">
        <v>1</v>
      </c>
      <c r="G47" s="45">
        <v>0</v>
      </c>
      <c r="H47" s="44">
        <v>0</v>
      </c>
      <c r="I47" s="175">
        <v>0</v>
      </c>
      <c r="J47" s="88">
        <v>0</v>
      </c>
      <c r="K47" s="45">
        <v>0</v>
      </c>
      <c r="L47" s="45">
        <v>0</v>
      </c>
      <c r="M47" s="49">
        <v>0</v>
      </c>
      <c r="N47" s="88">
        <v>0</v>
      </c>
      <c r="O47" s="45">
        <v>0</v>
      </c>
      <c r="P47" s="45">
        <v>0</v>
      </c>
      <c r="Q47" s="73">
        <v>0</v>
      </c>
      <c r="R47" s="88">
        <v>1</v>
      </c>
      <c r="S47" s="45">
        <v>1</v>
      </c>
      <c r="T47" s="45">
        <v>1</v>
      </c>
      <c r="U47" s="49">
        <v>0</v>
      </c>
      <c r="V47" s="93">
        <f>$V$43</f>
        <v>1</v>
      </c>
      <c r="W47" s="46">
        <f>$W$43</f>
        <v>0</v>
      </c>
      <c r="X47" s="46">
        <f>$X$43</f>
        <v>0</v>
      </c>
      <c r="Y47" s="77">
        <f>$Y$43</f>
        <v>0</v>
      </c>
      <c r="Z47" s="1"/>
      <c r="AA47" s="69" t="s">
        <v>80</v>
      </c>
      <c r="AB47" s="207" t="str">
        <f t="shared" si="72"/>
        <v>8800E8</v>
      </c>
      <c r="AC47" s="111" t="s">
        <v>62</v>
      </c>
      <c r="AD47" s="114" t="str">
        <f>"POP r"&amp;V40</f>
        <v>POP r8</v>
      </c>
      <c r="AE47" s="130"/>
      <c r="AF47" s="130" t="str">
        <f t="shared" si="73"/>
        <v>8</v>
      </c>
      <c r="AG47" s="130" t="str">
        <f t="shared" si="74"/>
        <v>8</v>
      </c>
      <c r="AH47" s="130" t="str">
        <f t="shared" si="75"/>
        <v>0</v>
      </c>
      <c r="AI47" s="130" t="str">
        <f t="shared" si="76"/>
        <v>0</v>
      </c>
      <c r="AJ47" s="130" t="str">
        <f t="shared" si="77"/>
        <v>E</v>
      </c>
      <c r="AK47" s="130" t="str">
        <f t="shared" si="78"/>
        <v>8</v>
      </c>
      <c r="AM47" s="131" t="str">
        <f t="shared" si="79"/>
        <v>1000</v>
      </c>
      <c r="AN47" s="131" t="str">
        <f t="shared" si="80"/>
        <v>1000</v>
      </c>
      <c r="AO47" s="131" t="str">
        <f t="shared" si="81"/>
        <v>0000</v>
      </c>
      <c r="AP47" s="131" t="str">
        <f t="shared" si="82"/>
        <v>0000</v>
      </c>
      <c r="AQ47" s="131" t="str">
        <f t="shared" si="83"/>
        <v>1110</v>
      </c>
      <c r="AR47" s="131" t="str">
        <f t="shared" si="84"/>
        <v>1000</v>
      </c>
    </row>
    <row r="48" spans="1:44" ht="15.75" thickBot="1">
      <c r="A48" s="17"/>
      <c r="B48" s="415" t="s">
        <v>14</v>
      </c>
      <c r="C48" s="416"/>
      <c r="D48" s="417" t="s">
        <v>0</v>
      </c>
      <c r="E48" s="417"/>
      <c r="F48" s="417"/>
      <c r="G48" s="416"/>
      <c r="H48" s="50" t="s">
        <v>3</v>
      </c>
      <c r="I48" s="421" t="s">
        <v>19</v>
      </c>
      <c r="J48" s="422"/>
      <c r="K48" s="422"/>
      <c r="L48" s="422"/>
      <c r="M48" s="423"/>
      <c r="N48" s="376" t="s">
        <v>18</v>
      </c>
      <c r="O48" s="377"/>
      <c r="P48" s="377"/>
      <c r="Q48" s="378"/>
      <c r="R48" s="367" t="s">
        <v>16</v>
      </c>
      <c r="S48" s="368"/>
      <c r="T48" s="368"/>
      <c r="U48" s="369"/>
      <c r="V48" s="418" t="s">
        <v>15</v>
      </c>
      <c r="W48" s="419"/>
      <c r="X48" s="419"/>
      <c r="Y48" s="420"/>
      <c r="Z48" s="130"/>
      <c r="AA48" s="130"/>
      <c r="AB48" s="130"/>
      <c r="AC48" s="130"/>
      <c r="AD48" s="130"/>
      <c r="AF48" s="131"/>
      <c r="AG48" s="131"/>
      <c r="AI48" s="131"/>
    </row>
    <row r="49" spans="1:44" ht="16.5" thickBot="1">
      <c r="A49" s="17"/>
      <c r="B49" s="8">
        <v>23</v>
      </c>
      <c r="C49" s="9">
        <v>22</v>
      </c>
      <c r="D49" s="9">
        <v>21</v>
      </c>
      <c r="E49" s="10">
        <v>20</v>
      </c>
      <c r="F49" s="119">
        <v>19</v>
      </c>
      <c r="G49" s="6">
        <v>18</v>
      </c>
      <c r="H49" s="6">
        <v>17</v>
      </c>
      <c r="I49" s="7">
        <v>16</v>
      </c>
      <c r="J49" s="12">
        <v>15</v>
      </c>
      <c r="K49" s="9">
        <v>14</v>
      </c>
      <c r="L49" s="9">
        <v>13</v>
      </c>
      <c r="M49" s="11">
        <v>12</v>
      </c>
      <c r="N49" s="5">
        <v>11</v>
      </c>
      <c r="O49" s="6">
        <v>10</v>
      </c>
      <c r="P49" s="6">
        <v>9</v>
      </c>
      <c r="Q49" s="7">
        <v>8</v>
      </c>
      <c r="R49" s="12">
        <v>7</v>
      </c>
      <c r="S49" s="9">
        <v>6</v>
      </c>
      <c r="T49" s="9">
        <v>5</v>
      </c>
      <c r="U49" s="10">
        <v>4</v>
      </c>
      <c r="V49" s="5">
        <v>3</v>
      </c>
      <c r="W49" s="6">
        <v>2</v>
      </c>
      <c r="X49" s="6">
        <v>1</v>
      </c>
      <c r="Y49" s="7">
        <v>0</v>
      </c>
      <c r="Z49" s="20"/>
      <c r="AA49" s="100"/>
      <c r="AH49" s="1"/>
      <c r="AJ49" s="131"/>
      <c r="AK49" s="131"/>
      <c r="AL49" s="131"/>
      <c r="AM49" s="131"/>
      <c r="AN49" s="131"/>
      <c r="AO49" s="131"/>
    </row>
    <row r="50" spans="1:44" ht="15.75">
      <c r="A50" s="17"/>
      <c r="B50" s="310" t="s">
        <v>47</v>
      </c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2"/>
      <c r="Z50" s="20"/>
      <c r="AA50" s="100"/>
      <c r="AH50" s="1"/>
      <c r="AJ50" s="131"/>
      <c r="AK50" s="131"/>
      <c r="AL50" s="131"/>
      <c r="AM50" s="131"/>
      <c r="AN50" s="131"/>
      <c r="AO50" s="131"/>
    </row>
    <row r="51" spans="1:44" ht="15.75">
      <c r="A51" s="17"/>
      <c r="B51" s="343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5"/>
      <c r="Z51" s="20"/>
      <c r="AA51" s="100"/>
      <c r="AH51" s="1"/>
      <c r="AJ51" s="131"/>
      <c r="AK51" s="131"/>
      <c r="AL51" s="131"/>
      <c r="AM51" s="131"/>
      <c r="AN51" s="131"/>
      <c r="AO51" s="131"/>
    </row>
    <row r="52" spans="1:44" ht="15.75" thickBot="1">
      <c r="B52" s="346" t="s">
        <v>48</v>
      </c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8"/>
      <c r="AA52" s="101"/>
      <c r="AH52" s="1"/>
    </row>
    <row r="53" spans="1:44" ht="16.5" thickBot="1">
      <c r="A53" s="1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0"/>
      <c r="AA53" s="100"/>
      <c r="AH53" s="1"/>
      <c r="AJ53" s="131"/>
      <c r="AK53" s="131"/>
      <c r="AL53" s="131"/>
      <c r="AM53" s="131"/>
      <c r="AN53" s="131"/>
      <c r="AO53" s="131"/>
    </row>
    <row r="54" spans="1:44" ht="16.5" thickBot="1">
      <c r="A54" s="17"/>
      <c r="B54" s="352" t="s">
        <v>8</v>
      </c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4"/>
      <c r="Z54" s="20"/>
      <c r="AA54" s="100"/>
      <c r="AH54" s="1"/>
      <c r="AJ54" s="131"/>
      <c r="AK54" s="131"/>
      <c r="AL54" s="131"/>
      <c r="AM54" s="131"/>
      <c r="AN54" s="131"/>
      <c r="AO54" s="131"/>
    </row>
    <row r="55" spans="1:44" ht="16.5" thickBot="1">
      <c r="A55" s="17"/>
      <c r="B55" s="8">
        <v>23</v>
      </c>
      <c r="C55" s="9">
        <v>22</v>
      </c>
      <c r="D55" s="9">
        <v>21</v>
      </c>
      <c r="E55" s="10">
        <v>20</v>
      </c>
      <c r="F55" s="119">
        <v>19</v>
      </c>
      <c r="G55" s="6">
        <v>18</v>
      </c>
      <c r="H55" s="6">
        <v>17</v>
      </c>
      <c r="I55" s="7">
        <v>16</v>
      </c>
      <c r="J55" s="12">
        <v>15</v>
      </c>
      <c r="K55" s="9">
        <v>14</v>
      </c>
      <c r="L55" s="9">
        <v>13</v>
      </c>
      <c r="M55" s="11">
        <v>12</v>
      </c>
      <c r="N55" s="5">
        <v>11</v>
      </c>
      <c r="O55" s="6">
        <v>10</v>
      </c>
      <c r="P55" s="6">
        <v>9</v>
      </c>
      <c r="Q55" s="7">
        <v>8</v>
      </c>
      <c r="R55" s="12">
        <v>7</v>
      </c>
      <c r="S55" s="9">
        <v>6</v>
      </c>
      <c r="T55" s="9">
        <v>5</v>
      </c>
      <c r="U55" s="10">
        <v>4</v>
      </c>
      <c r="V55" s="5">
        <v>3</v>
      </c>
      <c r="W55" s="6">
        <v>2</v>
      </c>
      <c r="X55" s="6">
        <v>1</v>
      </c>
      <c r="Y55" s="7">
        <v>0</v>
      </c>
      <c r="Z55" s="20"/>
      <c r="AA55" s="100"/>
      <c r="AH55" s="1"/>
      <c r="AJ55" s="131"/>
      <c r="AK55" s="131"/>
      <c r="AL55" s="131"/>
      <c r="AM55" s="131"/>
      <c r="AN55" s="131"/>
      <c r="AO55" s="131"/>
    </row>
    <row r="56" spans="1:44" ht="16.5" thickBot="1">
      <c r="A56" s="17"/>
      <c r="B56" s="330" t="s">
        <v>14</v>
      </c>
      <c r="C56" s="331"/>
      <c r="D56" s="41" t="s">
        <v>42</v>
      </c>
      <c r="E56" s="318" t="s">
        <v>40</v>
      </c>
      <c r="F56" s="319"/>
      <c r="G56" s="320"/>
      <c r="H56" s="34" t="s">
        <v>3</v>
      </c>
      <c r="I56" s="294" t="s">
        <v>4</v>
      </c>
      <c r="J56" s="295"/>
      <c r="K56" s="295"/>
      <c r="L56" s="295"/>
      <c r="M56" s="296"/>
      <c r="N56" s="355" t="s">
        <v>18</v>
      </c>
      <c r="O56" s="356"/>
      <c r="P56" s="356"/>
      <c r="Q56" s="357"/>
      <c r="R56" s="361" t="s">
        <v>16</v>
      </c>
      <c r="S56" s="362"/>
      <c r="T56" s="362"/>
      <c r="U56" s="363"/>
      <c r="V56" s="291" t="s">
        <v>15</v>
      </c>
      <c r="W56" s="292"/>
      <c r="X56" s="292"/>
      <c r="Y56" s="293"/>
      <c r="AA56" s="20"/>
      <c r="AB56" s="100"/>
      <c r="AH56" s="1"/>
      <c r="AK56" s="131"/>
      <c r="AL56" s="131"/>
      <c r="AM56" s="131"/>
      <c r="AN56" s="131"/>
      <c r="AO56" s="131"/>
      <c r="AP56" s="131"/>
    </row>
    <row r="57" spans="1:44" ht="33.75" customHeight="1" thickBot="1">
      <c r="A57" s="17"/>
      <c r="B57" s="332"/>
      <c r="C57" s="333"/>
      <c r="D57" s="190">
        <v>1</v>
      </c>
      <c r="E57" s="321"/>
      <c r="F57" s="322"/>
      <c r="G57" s="323"/>
      <c r="H57" s="123"/>
      <c r="I57" s="327">
        <v>-2</v>
      </c>
      <c r="J57" s="328"/>
      <c r="K57" s="328"/>
      <c r="L57" s="328"/>
      <c r="M57" s="329"/>
      <c r="N57" s="334">
        <v>0</v>
      </c>
      <c r="O57" s="335"/>
      <c r="P57" s="335"/>
      <c r="Q57" s="336"/>
      <c r="R57" s="358">
        <v>0</v>
      </c>
      <c r="S57" s="359"/>
      <c r="T57" s="359"/>
      <c r="U57" s="360"/>
      <c r="V57" s="324">
        <v>0</v>
      </c>
      <c r="W57" s="325"/>
      <c r="X57" s="325"/>
      <c r="Y57" s="326"/>
      <c r="AA57" s="20"/>
      <c r="AB57" s="100"/>
      <c r="AH57" s="1"/>
      <c r="AK57" s="131"/>
      <c r="AL57" s="131"/>
      <c r="AM57" s="131"/>
      <c r="AN57" s="131"/>
      <c r="AO57" s="131"/>
      <c r="AP57" s="131"/>
    </row>
    <row r="58" spans="1:44" ht="18.75" customHeight="1" thickBot="1">
      <c r="A58" s="70" t="s">
        <v>43</v>
      </c>
      <c r="B58" s="31">
        <v>0</v>
      </c>
      <c r="C58" s="32">
        <v>1</v>
      </c>
      <c r="D58" s="42">
        <v>0</v>
      </c>
      <c r="E58" s="72">
        <v>0</v>
      </c>
      <c r="F58" s="87">
        <v>0</v>
      </c>
      <c r="G58" s="42">
        <v>0</v>
      </c>
      <c r="H58" s="42">
        <v>0</v>
      </c>
      <c r="I58" s="177">
        <v>0</v>
      </c>
      <c r="J58" s="178">
        <v>0</v>
      </c>
      <c r="K58" s="179">
        <v>0</v>
      </c>
      <c r="L58" s="179">
        <v>0</v>
      </c>
      <c r="M58" s="180">
        <v>0</v>
      </c>
      <c r="N58" s="128">
        <v>0</v>
      </c>
      <c r="O58" s="179">
        <v>0</v>
      </c>
      <c r="P58" s="179">
        <v>0</v>
      </c>
      <c r="Q58" s="180">
        <v>0</v>
      </c>
      <c r="R58" s="91">
        <f>R$60</f>
        <v>0</v>
      </c>
      <c r="S58" s="52">
        <f t="shared" ref="S58:Y59" si="85">S$60</f>
        <v>0</v>
      </c>
      <c r="T58" s="52">
        <f t="shared" si="85"/>
        <v>0</v>
      </c>
      <c r="U58" s="181">
        <f t="shared" si="85"/>
        <v>0</v>
      </c>
      <c r="V58" s="74">
        <f>V$60</f>
        <v>0</v>
      </c>
      <c r="W58" s="51">
        <f t="shared" si="85"/>
        <v>0</v>
      </c>
      <c r="X58" s="51">
        <f t="shared" si="85"/>
        <v>0</v>
      </c>
      <c r="Y58" s="75">
        <f t="shared" si="85"/>
        <v>0</v>
      </c>
      <c r="Z58" s="1"/>
      <c r="AA58" s="70" t="s">
        <v>43</v>
      </c>
      <c r="AB58" s="66" t="str">
        <f t="shared" ref="AB58:AB73" si="86">_xlfn.CONCAT(AF58:AK58)</f>
        <v>400000</v>
      </c>
      <c r="AC58" s="100" t="s">
        <v>62</v>
      </c>
      <c r="AD58" t="str">
        <f>"add r"&amp;V57&amp;", r0, [pcInc]"</f>
        <v>add r0, r0, [pcInc]</v>
      </c>
      <c r="AE58" s="130"/>
      <c r="AF58" s="130" t="str">
        <f t="shared" ref="AF58:AF72" si="87">BIN2HEX(AM58)</f>
        <v>4</v>
      </c>
      <c r="AG58" s="130" t="str">
        <f t="shared" ref="AG58:AG72" si="88">BIN2HEX(AN58)</f>
        <v>0</v>
      </c>
      <c r="AH58" s="130" t="str">
        <f t="shared" ref="AH58:AH72" si="89">BIN2HEX(AO58)</f>
        <v>0</v>
      </c>
      <c r="AI58" s="130" t="str">
        <f t="shared" ref="AI58:AI72" si="90">BIN2HEX(AP58)</f>
        <v>0</v>
      </c>
      <c r="AJ58" s="130" t="str">
        <f t="shared" ref="AJ58:AJ72" si="91">BIN2HEX(AQ58)</f>
        <v>0</v>
      </c>
      <c r="AK58" s="130" t="str">
        <f t="shared" ref="AK58:AK72" si="92">BIN2HEX(AR58)</f>
        <v>0</v>
      </c>
      <c r="AM58" s="131" t="str">
        <f t="shared" ref="AM58:AM72" si="93">_xlfn.CONCAT(B58:E58)</f>
        <v>0100</v>
      </c>
      <c r="AN58" s="131" t="str">
        <f t="shared" ref="AN58:AN72" si="94">_xlfn.CONCAT(F58:I58)</f>
        <v>0000</v>
      </c>
      <c r="AO58" s="131" t="str">
        <f t="shared" ref="AO58:AO72" si="95">_xlfn.CONCAT(J58:M58)</f>
        <v>0000</v>
      </c>
      <c r="AP58" s="131" t="str">
        <f t="shared" ref="AP58:AP72" si="96">_xlfn.CONCAT(N58:Q58)</f>
        <v>0000</v>
      </c>
      <c r="AQ58" s="131" t="str">
        <f t="shared" ref="AQ58:AQ72" si="97">_xlfn.CONCAT(R58:U58)</f>
        <v>0000</v>
      </c>
      <c r="AR58" s="131" t="str">
        <f t="shared" ref="AR58:AR72" si="98">_xlfn.CONCAT(V58:Y58)</f>
        <v>0000</v>
      </c>
    </row>
    <row r="59" spans="1:44" ht="18.75" customHeight="1" thickBot="1">
      <c r="A59" s="71" t="s">
        <v>55</v>
      </c>
      <c r="B59" s="25">
        <v>0</v>
      </c>
      <c r="C59" s="13">
        <v>1</v>
      </c>
      <c r="D59" s="15">
        <v>1</v>
      </c>
      <c r="E59" s="21">
        <v>0</v>
      </c>
      <c r="F59" s="23">
        <v>0</v>
      </c>
      <c r="G59" s="14">
        <v>1</v>
      </c>
      <c r="H59" s="14">
        <v>0</v>
      </c>
      <c r="I59" s="182">
        <v>0</v>
      </c>
      <c r="J59" s="183">
        <v>0</v>
      </c>
      <c r="K59" s="184">
        <v>0</v>
      </c>
      <c r="L59" s="184">
        <v>0</v>
      </c>
      <c r="M59" s="185">
        <v>0</v>
      </c>
      <c r="N59" s="186">
        <f>N$61</f>
        <v>0</v>
      </c>
      <c r="O59" s="187">
        <f t="shared" ref="O59:Q59" si="99">O$61</f>
        <v>0</v>
      </c>
      <c r="P59" s="187">
        <f t="shared" si="99"/>
        <v>0</v>
      </c>
      <c r="Q59" s="188">
        <f t="shared" si="99"/>
        <v>0</v>
      </c>
      <c r="R59" s="89">
        <f>R$60</f>
        <v>0</v>
      </c>
      <c r="S59" s="19">
        <f t="shared" si="85"/>
        <v>0</v>
      </c>
      <c r="T59" s="19">
        <f t="shared" si="85"/>
        <v>0</v>
      </c>
      <c r="U59" s="78">
        <f t="shared" si="85"/>
        <v>0</v>
      </c>
      <c r="V59" s="59">
        <f>V$60</f>
        <v>0</v>
      </c>
      <c r="W59" s="18">
        <f t="shared" si="85"/>
        <v>0</v>
      </c>
      <c r="X59" s="18">
        <f t="shared" si="85"/>
        <v>0</v>
      </c>
      <c r="Y59" s="24">
        <f t="shared" si="85"/>
        <v>0</v>
      </c>
      <c r="Z59" s="1"/>
      <c r="AA59" s="71" t="s">
        <v>55</v>
      </c>
      <c r="AB59" s="66" t="str">
        <f t="shared" si="86"/>
        <v>640000</v>
      </c>
      <c r="AC59" s="100" t="s">
        <v>62</v>
      </c>
      <c r="AD59" t="str">
        <f>"BREQ r"&amp;V$57&amp;", "&amp;IF(D59=1, "relative, r"&amp;N$57, "absolute (r"&amp;R$57&amp;" + r"&amp;N$57&amp;")")</f>
        <v>BREQ r0, relative, r0</v>
      </c>
      <c r="AE59" s="130"/>
      <c r="AF59" s="130" t="str">
        <f t="shared" si="87"/>
        <v>6</v>
      </c>
      <c r="AG59" s="130" t="str">
        <f t="shared" si="88"/>
        <v>4</v>
      </c>
      <c r="AH59" s="130" t="str">
        <f t="shared" si="89"/>
        <v>0</v>
      </c>
      <c r="AI59" s="130" t="str">
        <f t="shared" si="90"/>
        <v>0</v>
      </c>
      <c r="AJ59" s="130" t="str">
        <f t="shared" si="91"/>
        <v>0</v>
      </c>
      <c r="AK59" s="130" t="str">
        <f t="shared" si="92"/>
        <v>0</v>
      </c>
      <c r="AM59" s="131" t="str">
        <f t="shared" si="93"/>
        <v>0110</v>
      </c>
      <c r="AN59" s="131" t="str">
        <f t="shared" si="94"/>
        <v>0100</v>
      </c>
      <c r="AO59" s="131" t="str">
        <f t="shared" si="95"/>
        <v>0000</v>
      </c>
      <c r="AP59" s="131" t="str">
        <f t="shared" si="96"/>
        <v>0000</v>
      </c>
      <c r="AQ59" s="131" t="str">
        <f t="shared" si="97"/>
        <v>0000</v>
      </c>
      <c r="AR59" s="131" t="str">
        <f t="shared" si="98"/>
        <v>0000</v>
      </c>
    </row>
    <row r="60" spans="1:44" ht="16.5" thickBot="1">
      <c r="A60" s="69" t="s">
        <v>57</v>
      </c>
      <c r="B60" s="25">
        <v>0</v>
      </c>
      <c r="C60" s="13">
        <v>1</v>
      </c>
      <c r="D60" s="15">
        <f t="shared" ref="D60:D72" si="100">$D$57</f>
        <v>1</v>
      </c>
      <c r="E60" s="21">
        <v>0</v>
      </c>
      <c r="F60" s="23">
        <v>0</v>
      </c>
      <c r="G60" s="14">
        <v>1</v>
      </c>
      <c r="H60" s="14">
        <v>1</v>
      </c>
      <c r="I60" s="96">
        <f>I$62</f>
        <v>1</v>
      </c>
      <c r="J60" s="84">
        <f t="shared" ref="J60:Q60" si="101">J$62</f>
        <v>1</v>
      </c>
      <c r="K60" s="54">
        <f t="shared" si="101"/>
        <v>1</v>
      </c>
      <c r="L60" s="54">
        <f t="shared" si="101"/>
        <v>1</v>
      </c>
      <c r="M60" s="60">
        <f t="shared" si="101"/>
        <v>1</v>
      </c>
      <c r="N60" s="94">
        <f t="shared" si="101"/>
        <v>1</v>
      </c>
      <c r="O60" s="54">
        <f t="shared" si="101"/>
        <v>1</v>
      </c>
      <c r="P60" s="54">
        <f t="shared" si="101"/>
        <v>1</v>
      </c>
      <c r="Q60" s="60">
        <f t="shared" si="101"/>
        <v>0</v>
      </c>
      <c r="R60" s="89">
        <f>INT(R57/8)</f>
        <v>0</v>
      </c>
      <c r="S60" s="19">
        <f>INT((R57-(R60*8))/4)</f>
        <v>0</v>
      </c>
      <c r="T60" s="19">
        <f>INT((R57-(R60*8)-(S60*4))/2)</f>
        <v>0</v>
      </c>
      <c r="U60" s="78">
        <f>R57-(R60*8)-(S60*4)-(T60*2)</f>
        <v>0</v>
      </c>
      <c r="V60" s="59">
        <f>INT(V57/8)</f>
        <v>0</v>
      </c>
      <c r="W60" s="18">
        <f>INT((V57-(V60*8))/4)</f>
        <v>0</v>
      </c>
      <c r="X60" s="18">
        <f>INT((V57-(V60*8)-(W60*4))/2)</f>
        <v>0</v>
      </c>
      <c r="Y60" s="24">
        <f>V57-(V60*8)-(W60*4)-(X60*2)</f>
        <v>0</v>
      </c>
      <c r="Z60" s="1"/>
      <c r="AA60" s="69" t="s">
        <v>57</v>
      </c>
      <c r="AB60" s="66" t="str">
        <f t="shared" si="86"/>
        <v>67FE00</v>
      </c>
      <c r="AC60" s="100" t="s">
        <v>62</v>
      </c>
      <c r="AD60" t="str">
        <f>"BREQ r"&amp;V$57&amp;", "&amp;IF(D59=1, "relative, "&amp;I$57, "absolute (r"&amp;N$57&amp;" + "&amp;I$57&amp;")")</f>
        <v>BREQ r0, relative, -2</v>
      </c>
      <c r="AE60" s="130"/>
      <c r="AF60" s="130" t="str">
        <f t="shared" si="87"/>
        <v>6</v>
      </c>
      <c r="AG60" s="130" t="str">
        <f t="shared" si="88"/>
        <v>7</v>
      </c>
      <c r="AH60" s="130" t="str">
        <f t="shared" si="89"/>
        <v>F</v>
      </c>
      <c r="AI60" s="130" t="str">
        <f t="shared" si="90"/>
        <v>E</v>
      </c>
      <c r="AJ60" s="130" t="str">
        <f t="shared" si="91"/>
        <v>0</v>
      </c>
      <c r="AK60" s="130" t="str">
        <f t="shared" si="92"/>
        <v>0</v>
      </c>
      <c r="AM60" s="131" t="str">
        <f t="shared" si="93"/>
        <v>0110</v>
      </c>
      <c r="AN60" s="131" t="str">
        <f t="shared" si="94"/>
        <v>0111</v>
      </c>
      <c r="AO60" s="131" t="str">
        <f t="shared" si="95"/>
        <v>1111</v>
      </c>
      <c r="AP60" s="131" t="str">
        <f t="shared" si="96"/>
        <v>1110</v>
      </c>
      <c r="AQ60" s="131" t="str">
        <f t="shared" si="97"/>
        <v>0000</v>
      </c>
      <c r="AR60" s="131" t="str">
        <f t="shared" si="98"/>
        <v>0000</v>
      </c>
    </row>
    <row r="61" spans="1:44" ht="16.5" thickBot="1">
      <c r="A61" s="68" t="s">
        <v>55</v>
      </c>
      <c r="B61" s="25">
        <v>0</v>
      </c>
      <c r="C61" s="13">
        <v>1</v>
      </c>
      <c r="D61" s="15">
        <f t="shared" si="100"/>
        <v>1</v>
      </c>
      <c r="E61" s="35">
        <v>0</v>
      </c>
      <c r="F61" s="23">
        <v>1</v>
      </c>
      <c r="G61" s="14">
        <v>0</v>
      </c>
      <c r="H61" s="14">
        <v>0</v>
      </c>
      <c r="I61" s="21">
        <v>0</v>
      </c>
      <c r="J61" s="25">
        <v>0</v>
      </c>
      <c r="K61" s="13">
        <v>0</v>
      </c>
      <c r="L61" s="14">
        <v>0</v>
      </c>
      <c r="M61" s="29">
        <v>0</v>
      </c>
      <c r="N61" s="189">
        <f>INT(N57/8)</f>
        <v>0</v>
      </c>
      <c r="O61" s="16">
        <f>INT((N57-(N61*8))/4)</f>
        <v>0</v>
      </c>
      <c r="P61" s="16">
        <f>INT((N57-(N61*8)-(O61*4))/2)</f>
        <v>0</v>
      </c>
      <c r="Q61" s="83">
        <f>N57-(N61*8)-(O61*4)-(P61*2)</f>
        <v>0</v>
      </c>
      <c r="R61" s="89">
        <f t="shared" ref="R61:Y72" si="102">R$60</f>
        <v>0</v>
      </c>
      <c r="S61" s="19">
        <f t="shared" si="102"/>
        <v>0</v>
      </c>
      <c r="T61" s="19">
        <f t="shared" si="102"/>
        <v>0</v>
      </c>
      <c r="U61" s="78">
        <f t="shared" si="102"/>
        <v>0</v>
      </c>
      <c r="V61" s="59">
        <f t="shared" si="102"/>
        <v>0</v>
      </c>
      <c r="W61" s="18">
        <f t="shared" si="102"/>
        <v>0</v>
      </c>
      <c r="X61" s="18">
        <f t="shared" si="102"/>
        <v>0</v>
      </c>
      <c r="Y61" s="24">
        <f t="shared" si="102"/>
        <v>0</v>
      </c>
      <c r="Z61" s="1"/>
      <c r="AA61" s="68" t="s">
        <v>55</v>
      </c>
      <c r="AB61" s="66" t="str">
        <f t="shared" si="86"/>
        <v>680000</v>
      </c>
      <c r="AC61" s="100" t="s">
        <v>62</v>
      </c>
      <c r="AD61" t="str">
        <f>"BRLT r"&amp;V$57&amp;", "&amp;IF(D61=1, "relative, r"&amp;N$57, "absolute (r"&amp;R$57&amp;" + r"&amp;N$57&amp;")")</f>
        <v>BRLT r0, relative, r0</v>
      </c>
      <c r="AE61" s="130"/>
      <c r="AF61" s="130" t="str">
        <f t="shared" si="87"/>
        <v>6</v>
      </c>
      <c r="AG61" s="130" t="str">
        <f t="shared" si="88"/>
        <v>8</v>
      </c>
      <c r="AH61" s="130" t="str">
        <f t="shared" si="89"/>
        <v>0</v>
      </c>
      <c r="AI61" s="130" t="str">
        <f t="shared" si="90"/>
        <v>0</v>
      </c>
      <c r="AJ61" s="130" t="str">
        <f t="shared" si="91"/>
        <v>0</v>
      </c>
      <c r="AK61" s="130" t="str">
        <f t="shared" si="92"/>
        <v>0</v>
      </c>
      <c r="AM61" s="131" t="str">
        <f t="shared" si="93"/>
        <v>0110</v>
      </c>
      <c r="AN61" s="131" t="str">
        <f t="shared" si="94"/>
        <v>1000</v>
      </c>
      <c r="AO61" s="131" t="str">
        <f t="shared" si="95"/>
        <v>0000</v>
      </c>
      <c r="AP61" s="131" t="str">
        <f t="shared" si="96"/>
        <v>0000</v>
      </c>
      <c r="AQ61" s="131" t="str">
        <f t="shared" si="97"/>
        <v>0000</v>
      </c>
      <c r="AR61" s="131" t="str">
        <f t="shared" si="98"/>
        <v>0000</v>
      </c>
    </row>
    <row r="62" spans="1:44" ht="16.5" thickBot="1">
      <c r="A62" s="68" t="s">
        <v>58</v>
      </c>
      <c r="B62" s="25">
        <v>0</v>
      </c>
      <c r="C62" s="13">
        <v>1</v>
      </c>
      <c r="D62" s="15">
        <f t="shared" si="100"/>
        <v>1</v>
      </c>
      <c r="E62" s="35">
        <v>0</v>
      </c>
      <c r="F62" s="23">
        <v>1</v>
      </c>
      <c r="G62" s="14">
        <v>0</v>
      </c>
      <c r="H62" s="14">
        <v>1</v>
      </c>
      <c r="I62" s="134">
        <f>ABS((INT(I57/256)))</f>
        <v>1</v>
      </c>
      <c r="J62" s="84">
        <f>INT((I57-(256*(INT(I57/256))))/128)</f>
        <v>1</v>
      </c>
      <c r="K62" s="54">
        <f>INT((I57-(256*(INT(I57/256)))-(J62*128))/64)</f>
        <v>1</v>
      </c>
      <c r="L62" s="54">
        <f>INT((I57-(256*(INT(I57/256)))-(J62*128)-(K62*64))/32)</f>
        <v>1</v>
      </c>
      <c r="M62" s="60">
        <f>INT((I57-(256*(INT(I57/256)))-(J62*128)-(K62*64)-(L62*32))/16)</f>
        <v>1</v>
      </c>
      <c r="N62" s="94">
        <f>INT((I57-(256*(INT(I57/256)))-(J62*128)-(K62*64)-(L62*32)-(M62*16))/8)</f>
        <v>1</v>
      </c>
      <c r="O62" s="54">
        <f>INT((I57-(256*(INT(I57/256)))-(128*J62)-(64*K62)-(32*L62)-(16*M62)-(8*N62))/4)</f>
        <v>1</v>
      </c>
      <c r="P62" s="54">
        <f>INT((I57-(256*(INT(I57/256)))-(128*J62)-(64*K62)-(32*L62)-(16*M62)-(8*N62)-(4*O62))/2)</f>
        <v>1</v>
      </c>
      <c r="Q62" s="60">
        <f>(I57-(256*(INT(I57/256)))-(128*J62)-(64*K62)-(32*L62)-(16*M62)-(8*N62)-(4*O62)-(2*P62))</f>
        <v>0</v>
      </c>
      <c r="R62" s="89">
        <f t="shared" si="102"/>
        <v>0</v>
      </c>
      <c r="S62" s="19">
        <f t="shared" si="102"/>
        <v>0</v>
      </c>
      <c r="T62" s="19">
        <f t="shared" si="102"/>
        <v>0</v>
      </c>
      <c r="U62" s="78">
        <f t="shared" si="102"/>
        <v>0</v>
      </c>
      <c r="V62" s="59">
        <f t="shared" si="102"/>
        <v>0</v>
      </c>
      <c r="W62" s="18">
        <f t="shared" si="102"/>
        <v>0</v>
      </c>
      <c r="X62" s="18">
        <f t="shared" si="102"/>
        <v>0</v>
      </c>
      <c r="Y62" s="24">
        <f t="shared" si="102"/>
        <v>0</v>
      </c>
      <c r="Z62" s="1"/>
      <c r="AA62" s="68" t="s">
        <v>58</v>
      </c>
      <c r="AB62" s="66" t="str">
        <f t="shared" si="86"/>
        <v>6BFE00</v>
      </c>
      <c r="AC62" s="100" t="s">
        <v>62</v>
      </c>
      <c r="AD62" t="str">
        <f>"BRLT r"&amp;V$57&amp;", "&amp;IF(D61=1, "relative, "&amp;I$57, "absolute (r"&amp;N$57&amp;" + "&amp;I$57&amp;")")</f>
        <v>BRLT r0, relative, -2</v>
      </c>
      <c r="AE62" s="130"/>
      <c r="AF62" s="130" t="str">
        <f t="shared" si="87"/>
        <v>6</v>
      </c>
      <c r="AG62" s="130" t="str">
        <f t="shared" si="88"/>
        <v>B</v>
      </c>
      <c r="AH62" s="130" t="str">
        <f t="shared" si="89"/>
        <v>F</v>
      </c>
      <c r="AI62" s="130" t="str">
        <f t="shared" si="90"/>
        <v>E</v>
      </c>
      <c r="AJ62" s="130" t="str">
        <f t="shared" si="91"/>
        <v>0</v>
      </c>
      <c r="AK62" s="130" t="str">
        <f t="shared" si="92"/>
        <v>0</v>
      </c>
      <c r="AM62" s="131" t="str">
        <f t="shared" si="93"/>
        <v>0110</v>
      </c>
      <c r="AN62" s="131" t="str">
        <f t="shared" si="94"/>
        <v>1011</v>
      </c>
      <c r="AO62" s="131" t="str">
        <f t="shared" si="95"/>
        <v>1111</v>
      </c>
      <c r="AP62" s="131" t="str">
        <f t="shared" si="96"/>
        <v>1110</v>
      </c>
      <c r="AQ62" s="131" t="str">
        <f t="shared" si="97"/>
        <v>0000</v>
      </c>
      <c r="AR62" s="131" t="str">
        <f t="shared" si="98"/>
        <v>0000</v>
      </c>
    </row>
    <row r="63" spans="1:44" ht="16.5" thickBot="1">
      <c r="A63" s="71" t="s">
        <v>55</v>
      </c>
      <c r="B63" s="25">
        <v>0</v>
      </c>
      <c r="C63" s="13">
        <v>1</v>
      </c>
      <c r="D63" s="15">
        <f t="shared" si="100"/>
        <v>1</v>
      </c>
      <c r="E63" s="21">
        <v>0</v>
      </c>
      <c r="F63" s="23">
        <v>1</v>
      </c>
      <c r="G63" s="14">
        <v>1</v>
      </c>
      <c r="H63" s="14">
        <v>0</v>
      </c>
      <c r="I63" s="35">
        <v>0</v>
      </c>
      <c r="J63" s="23">
        <v>0</v>
      </c>
      <c r="K63" s="14">
        <v>0</v>
      </c>
      <c r="L63" s="14">
        <v>0</v>
      </c>
      <c r="M63" s="29">
        <v>0</v>
      </c>
      <c r="N63" s="186">
        <f t="shared" ref="N63:Q63" si="103">N$61</f>
        <v>0</v>
      </c>
      <c r="O63" s="187">
        <f t="shared" si="103"/>
        <v>0</v>
      </c>
      <c r="P63" s="187">
        <f t="shared" si="103"/>
        <v>0</v>
      </c>
      <c r="Q63" s="188">
        <f t="shared" si="103"/>
        <v>0</v>
      </c>
      <c r="R63" s="89">
        <f t="shared" si="102"/>
        <v>0</v>
      </c>
      <c r="S63" s="19">
        <f t="shared" si="102"/>
        <v>0</v>
      </c>
      <c r="T63" s="19">
        <f t="shared" si="102"/>
        <v>0</v>
      </c>
      <c r="U63" s="78">
        <f t="shared" si="102"/>
        <v>0</v>
      </c>
      <c r="V63" s="59">
        <f t="shared" si="102"/>
        <v>0</v>
      </c>
      <c r="W63" s="18">
        <f t="shared" si="102"/>
        <v>0</v>
      </c>
      <c r="X63" s="18">
        <f t="shared" si="102"/>
        <v>0</v>
      </c>
      <c r="Y63" s="24">
        <f t="shared" si="102"/>
        <v>0</v>
      </c>
      <c r="Z63" s="1"/>
      <c r="AA63" s="71" t="s">
        <v>55</v>
      </c>
      <c r="AB63" s="66" t="str">
        <f t="shared" si="86"/>
        <v>6C0000</v>
      </c>
      <c r="AC63" s="100" t="s">
        <v>62</v>
      </c>
      <c r="AD63" t="str">
        <f>"BRLE r"&amp;V$57&amp;", "&amp;IF(D63=1, "relative, r"&amp;N$57, "absolute (r"&amp;R$57&amp;" + r"&amp;N$57&amp;")")</f>
        <v>BRLE r0, relative, r0</v>
      </c>
      <c r="AE63" s="130"/>
      <c r="AF63" s="130" t="str">
        <f t="shared" si="87"/>
        <v>6</v>
      </c>
      <c r="AG63" s="130" t="str">
        <f t="shared" si="88"/>
        <v>C</v>
      </c>
      <c r="AH63" s="130" t="str">
        <f t="shared" si="89"/>
        <v>0</v>
      </c>
      <c r="AI63" s="130" t="str">
        <f t="shared" si="90"/>
        <v>0</v>
      </c>
      <c r="AJ63" s="130" t="str">
        <f t="shared" si="91"/>
        <v>0</v>
      </c>
      <c r="AK63" s="130" t="str">
        <f t="shared" si="92"/>
        <v>0</v>
      </c>
      <c r="AM63" s="131" t="str">
        <f t="shared" si="93"/>
        <v>0110</v>
      </c>
      <c r="AN63" s="131" t="str">
        <f t="shared" si="94"/>
        <v>1100</v>
      </c>
      <c r="AO63" s="131" t="str">
        <f t="shared" si="95"/>
        <v>0000</v>
      </c>
      <c r="AP63" s="131" t="str">
        <f t="shared" si="96"/>
        <v>0000</v>
      </c>
      <c r="AQ63" s="131" t="str">
        <f t="shared" si="97"/>
        <v>0000</v>
      </c>
      <c r="AR63" s="131" t="str">
        <f t="shared" si="98"/>
        <v>0000</v>
      </c>
    </row>
    <row r="64" spans="1:44" ht="16.5" thickBot="1">
      <c r="A64" s="69" t="s">
        <v>59</v>
      </c>
      <c r="B64" s="25">
        <v>0</v>
      </c>
      <c r="C64" s="13">
        <v>1</v>
      </c>
      <c r="D64" s="15">
        <f t="shared" si="100"/>
        <v>1</v>
      </c>
      <c r="E64" s="21">
        <v>0</v>
      </c>
      <c r="F64" s="23">
        <v>1</v>
      </c>
      <c r="G64" s="14">
        <v>1</v>
      </c>
      <c r="H64" s="14">
        <v>1</v>
      </c>
      <c r="I64" s="96">
        <f>I$62</f>
        <v>1</v>
      </c>
      <c r="J64" s="84">
        <f t="shared" ref="J64:Q64" si="104">J$62</f>
        <v>1</v>
      </c>
      <c r="K64" s="54">
        <f t="shared" si="104"/>
        <v>1</v>
      </c>
      <c r="L64" s="54">
        <f t="shared" si="104"/>
        <v>1</v>
      </c>
      <c r="M64" s="60">
        <f t="shared" si="104"/>
        <v>1</v>
      </c>
      <c r="N64" s="94">
        <f t="shared" si="104"/>
        <v>1</v>
      </c>
      <c r="O64" s="54">
        <f t="shared" si="104"/>
        <v>1</v>
      </c>
      <c r="P64" s="54">
        <f t="shared" si="104"/>
        <v>1</v>
      </c>
      <c r="Q64" s="60">
        <f t="shared" si="104"/>
        <v>0</v>
      </c>
      <c r="R64" s="89">
        <f t="shared" si="102"/>
        <v>0</v>
      </c>
      <c r="S64" s="19">
        <f t="shared" si="102"/>
        <v>0</v>
      </c>
      <c r="T64" s="19">
        <f t="shared" si="102"/>
        <v>0</v>
      </c>
      <c r="U64" s="78">
        <f t="shared" si="102"/>
        <v>0</v>
      </c>
      <c r="V64" s="59">
        <f t="shared" si="102"/>
        <v>0</v>
      </c>
      <c r="W64" s="18">
        <f t="shared" si="102"/>
        <v>0</v>
      </c>
      <c r="X64" s="18">
        <f t="shared" si="102"/>
        <v>0</v>
      </c>
      <c r="Y64" s="24">
        <f t="shared" si="102"/>
        <v>0</v>
      </c>
      <c r="Z64" s="1"/>
      <c r="AA64" s="69" t="s">
        <v>59</v>
      </c>
      <c r="AB64" s="66" t="str">
        <f t="shared" si="86"/>
        <v>6FFE00</v>
      </c>
      <c r="AC64" s="100" t="s">
        <v>62</v>
      </c>
      <c r="AD64" t="str">
        <f>"BRLE r"&amp;V$57&amp;", "&amp;IF(D63=1, "relative, "&amp;I$57, "absolute (r"&amp;N$57&amp;" + "&amp;I$57&amp;")")</f>
        <v>BRLE r0, relative, -2</v>
      </c>
      <c r="AE64" s="130"/>
      <c r="AF64" s="130" t="str">
        <f t="shared" si="87"/>
        <v>6</v>
      </c>
      <c r="AG64" s="130" t="str">
        <f t="shared" si="88"/>
        <v>F</v>
      </c>
      <c r="AH64" s="130" t="str">
        <f t="shared" si="89"/>
        <v>F</v>
      </c>
      <c r="AI64" s="130" t="str">
        <f t="shared" si="90"/>
        <v>E</v>
      </c>
      <c r="AJ64" s="130" t="str">
        <f t="shared" si="91"/>
        <v>0</v>
      </c>
      <c r="AK64" s="130" t="str">
        <f t="shared" si="92"/>
        <v>0</v>
      </c>
      <c r="AM64" s="131" t="str">
        <f t="shared" si="93"/>
        <v>0110</v>
      </c>
      <c r="AN64" s="131" t="str">
        <f t="shared" si="94"/>
        <v>1111</v>
      </c>
      <c r="AO64" s="131" t="str">
        <f t="shared" si="95"/>
        <v>1111</v>
      </c>
      <c r="AP64" s="131" t="str">
        <f t="shared" si="96"/>
        <v>1110</v>
      </c>
      <c r="AQ64" s="131" t="str">
        <f t="shared" si="97"/>
        <v>0000</v>
      </c>
      <c r="AR64" s="131" t="str">
        <f t="shared" si="98"/>
        <v>0000</v>
      </c>
    </row>
    <row r="65" spans="1:44" ht="16.5" thickBot="1">
      <c r="A65" s="68" t="s">
        <v>55</v>
      </c>
      <c r="B65" s="25">
        <v>0</v>
      </c>
      <c r="C65" s="13">
        <v>1</v>
      </c>
      <c r="D65" s="15">
        <f t="shared" si="100"/>
        <v>1</v>
      </c>
      <c r="E65" s="35">
        <v>1</v>
      </c>
      <c r="F65" s="23">
        <v>0</v>
      </c>
      <c r="G65" s="14">
        <v>0</v>
      </c>
      <c r="H65" s="14">
        <v>0</v>
      </c>
      <c r="I65" s="35">
        <v>0</v>
      </c>
      <c r="J65" s="23">
        <v>0</v>
      </c>
      <c r="K65" s="14">
        <v>0</v>
      </c>
      <c r="L65" s="14">
        <v>0</v>
      </c>
      <c r="M65" s="29">
        <v>0</v>
      </c>
      <c r="N65" s="186">
        <f t="shared" ref="N65:Q65" si="105">N$61</f>
        <v>0</v>
      </c>
      <c r="O65" s="187">
        <f t="shared" si="105"/>
        <v>0</v>
      </c>
      <c r="P65" s="187">
        <f t="shared" si="105"/>
        <v>0</v>
      </c>
      <c r="Q65" s="188">
        <f t="shared" si="105"/>
        <v>0</v>
      </c>
      <c r="R65" s="89">
        <f t="shared" si="102"/>
        <v>0</v>
      </c>
      <c r="S65" s="19">
        <f t="shared" si="102"/>
        <v>0</v>
      </c>
      <c r="T65" s="19">
        <f t="shared" si="102"/>
        <v>0</v>
      </c>
      <c r="U65" s="78">
        <f t="shared" si="102"/>
        <v>0</v>
      </c>
      <c r="V65" s="59">
        <f t="shared" si="102"/>
        <v>0</v>
      </c>
      <c r="W65" s="18">
        <f t="shared" si="102"/>
        <v>0</v>
      </c>
      <c r="X65" s="18">
        <f t="shared" si="102"/>
        <v>0</v>
      </c>
      <c r="Y65" s="24">
        <f t="shared" si="102"/>
        <v>0</v>
      </c>
      <c r="Z65" s="1"/>
      <c r="AA65" s="68" t="s">
        <v>55</v>
      </c>
      <c r="AB65" s="66" t="str">
        <f t="shared" si="86"/>
        <v>700000</v>
      </c>
      <c r="AC65" s="100" t="s">
        <v>62</v>
      </c>
      <c r="AD65" t="str">
        <f>"BRGT r"&amp;V$57&amp;", "&amp;IF(D65=1, "relative, r"&amp;N$57, "absolute (r"&amp;R$57&amp;" + r"&amp;N$57&amp;")")</f>
        <v>BRGT r0, relative, r0</v>
      </c>
      <c r="AE65" s="130"/>
      <c r="AF65" s="130" t="str">
        <f t="shared" si="87"/>
        <v>7</v>
      </c>
      <c r="AG65" s="130" t="str">
        <f t="shared" si="88"/>
        <v>0</v>
      </c>
      <c r="AH65" s="130" t="str">
        <f t="shared" si="89"/>
        <v>0</v>
      </c>
      <c r="AI65" s="130" t="str">
        <f t="shared" si="90"/>
        <v>0</v>
      </c>
      <c r="AJ65" s="130" t="str">
        <f t="shared" si="91"/>
        <v>0</v>
      </c>
      <c r="AK65" s="130" t="str">
        <f t="shared" si="92"/>
        <v>0</v>
      </c>
      <c r="AM65" s="131" t="str">
        <f t="shared" si="93"/>
        <v>0111</v>
      </c>
      <c r="AN65" s="131" t="str">
        <f t="shared" si="94"/>
        <v>0000</v>
      </c>
      <c r="AO65" s="131" t="str">
        <f t="shared" si="95"/>
        <v>0000</v>
      </c>
      <c r="AP65" s="131" t="str">
        <f t="shared" si="96"/>
        <v>0000</v>
      </c>
      <c r="AQ65" s="131" t="str">
        <f t="shared" si="97"/>
        <v>0000</v>
      </c>
      <c r="AR65" s="131" t="str">
        <f t="shared" si="98"/>
        <v>0000</v>
      </c>
    </row>
    <row r="66" spans="1:44" ht="16.5" thickBot="1">
      <c r="A66" s="68" t="s">
        <v>60</v>
      </c>
      <c r="B66" s="25">
        <v>0</v>
      </c>
      <c r="C66" s="13">
        <v>1</v>
      </c>
      <c r="D66" s="15">
        <f t="shared" si="100"/>
        <v>1</v>
      </c>
      <c r="E66" s="35">
        <v>1</v>
      </c>
      <c r="F66" s="23">
        <v>0</v>
      </c>
      <c r="G66" s="14">
        <v>0</v>
      </c>
      <c r="H66" s="14">
        <v>1</v>
      </c>
      <c r="I66" s="96">
        <f>I$62</f>
        <v>1</v>
      </c>
      <c r="J66" s="84">
        <f t="shared" ref="J66:Q66" si="106">J$62</f>
        <v>1</v>
      </c>
      <c r="K66" s="54">
        <f t="shared" si="106"/>
        <v>1</v>
      </c>
      <c r="L66" s="54">
        <f t="shared" si="106"/>
        <v>1</v>
      </c>
      <c r="M66" s="60">
        <f t="shared" si="106"/>
        <v>1</v>
      </c>
      <c r="N66" s="94">
        <f t="shared" si="106"/>
        <v>1</v>
      </c>
      <c r="O66" s="54">
        <f t="shared" si="106"/>
        <v>1</v>
      </c>
      <c r="P66" s="54">
        <f t="shared" si="106"/>
        <v>1</v>
      </c>
      <c r="Q66" s="60">
        <f t="shared" si="106"/>
        <v>0</v>
      </c>
      <c r="R66" s="89">
        <f t="shared" si="102"/>
        <v>0</v>
      </c>
      <c r="S66" s="19">
        <f t="shared" si="102"/>
        <v>0</v>
      </c>
      <c r="T66" s="19">
        <f t="shared" si="102"/>
        <v>0</v>
      </c>
      <c r="U66" s="78">
        <f t="shared" si="102"/>
        <v>0</v>
      </c>
      <c r="V66" s="59">
        <f t="shared" si="102"/>
        <v>0</v>
      </c>
      <c r="W66" s="18">
        <f t="shared" si="102"/>
        <v>0</v>
      </c>
      <c r="X66" s="18">
        <f t="shared" si="102"/>
        <v>0</v>
      </c>
      <c r="Y66" s="24">
        <f t="shared" si="102"/>
        <v>0</v>
      </c>
      <c r="Z66" s="1"/>
      <c r="AA66" s="68" t="s">
        <v>60</v>
      </c>
      <c r="AB66" s="66" t="str">
        <f t="shared" si="86"/>
        <v>73FE00</v>
      </c>
      <c r="AC66" s="100" t="s">
        <v>62</v>
      </c>
      <c r="AD66" t="str">
        <f>"BRGT r"&amp;V$57&amp;", "&amp;IF(D65=1, "relative, "&amp;I$57, "absolute (r"&amp;N$57&amp;" + "&amp;I$57&amp;")")</f>
        <v>BRGT r0, relative, -2</v>
      </c>
      <c r="AE66" s="130"/>
      <c r="AF66" s="130" t="str">
        <f t="shared" si="87"/>
        <v>7</v>
      </c>
      <c r="AG66" s="130" t="str">
        <f t="shared" si="88"/>
        <v>3</v>
      </c>
      <c r="AH66" s="130" t="str">
        <f t="shared" si="89"/>
        <v>F</v>
      </c>
      <c r="AI66" s="130" t="str">
        <f t="shared" si="90"/>
        <v>E</v>
      </c>
      <c r="AJ66" s="130" t="str">
        <f t="shared" si="91"/>
        <v>0</v>
      </c>
      <c r="AK66" s="130" t="str">
        <f t="shared" si="92"/>
        <v>0</v>
      </c>
      <c r="AM66" s="131" t="str">
        <f t="shared" si="93"/>
        <v>0111</v>
      </c>
      <c r="AN66" s="131" t="str">
        <f t="shared" si="94"/>
        <v>0011</v>
      </c>
      <c r="AO66" s="131" t="str">
        <f t="shared" si="95"/>
        <v>1111</v>
      </c>
      <c r="AP66" s="131" t="str">
        <f t="shared" si="96"/>
        <v>1110</v>
      </c>
      <c r="AQ66" s="131" t="str">
        <f t="shared" si="97"/>
        <v>0000</v>
      </c>
      <c r="AR66" s="131" t="str">
        <f t="shared" si="98"/>
        <v>0000</v>
      </c>
    </row>
    <row r="67" spans="1:44" ht="16.5" thickBot="1">
      <c r="A67" s="71" t="s">
        <v>55</v>
      </c>
      <c r="B67" s="25">
        <v>0</v>
      </c>
      <c r="C67" s="13">
        <v>1</v>
      </c>
      <c r="D67" s="15">
        <f t="shared" si="100"/>
        <v>1</v>
      </c>
      <c r="E67" s="21">
        <v>1</v>
      </c>
      <c r="F67" s="23">
        <v>0</v>
      </c>
      <c r="G67" s="14">
        <v>1</v>
      </c>
      <c r="H67" s="14">
        <v>0</v>
      </c>
      <c r="I67" s="35">
        <v>0</v>
      </c>
      <c r="J67" s="23">
        <v>0</v>
      </c>
      <c r="K67" s="14">
        <v>0</v>
      </c>
      <c r="L67" s="14">
        <v>0</v>
      </c>
      <c r="M67" s="29">
        <v>0</v>
      </c>
      <c r="N67" s="186">
        <f t="shared" ref="N67:Q67" si="107">N$61</f>
        <v>0</v>
      </c>
      <c r="O67" s="187">
        <f t="shared" si="107"/>
        <v>0</v>
      </c>
      <c r="P67" s="187">
        <f t="shared" si="107"/>
        <v>0</v>
      </c>
      <c r="Q67" s="188">
        <f t="shared" si="107"/>
        <v>0</v>
      </c>
      <c r="R67" s="89">
        <f t="shared" si="102"/>
        <v>0</v>
      </c>
      <c r="S67" s="19">
        <f t="shared" si="102"/>
        <v>0</v>
      </c>
      <c r="T67" s="19">
        <f t="shared" si="102"/>
        <v>0</v>
      </c>
      <c r="U67" s="78">
        <f t="shared" si="102"/>
        <v>0</v>
      </c>
      <c r="V67" s="59">
        <f t="shared" si="102"/>
        <v>0</v>
      </c>
      <c r="W67" s="18">
        <f t="shared" si="102"/>
        <v>0</v>
      </c>
      <c r="X67" s="18">
        <f t="shared" si="102"/>
        <v>0</v>
      </c>
      <c r="Y67" s="24">
        <f t="shared" si="102"/>
        <v>0</v>
      </c>
      <c r="Z67" s="1"/>
      <c r="AA67" s="71" t="s">
        <v>55</v>
      </c>
      <c r="AB67" s="66" t="str">
        <f t="shared" si="86"/>
        <v>740000</v>
      </c>
      <c r="AC67" s="100" t="s">
        <v>62</v>
      </c>
      <c r="AD67" t="str">
        <f>"BRGE r"&amp;V$57&amp;", "&amp;IF(D67=1, "relative, r"&amp;N$57, "absolute (r"&amp;R$57&amp;" + r"&amp;N$57&amp;")")</f>
        <v>BRGE r0, relative, r0</v>
      </c>
      <c r="AE67" s="130"/>
      <c r="AF67" s="130" t="str">
        <f t="shared" si="87"/>
        <v>7</v>
      </c>
      <c r="AG67" s="130" t="str">
        <f t="shared" si="88"/>
        <v>4</v>
      </c>
      <c r="AH67" s="130" t="str">
        <f t="shared" si="89"/>
        <v>0</v>
      </c>
      <c r="AI67" s="130" t="str">
        <f t="shared" si="90"/>
        <v>0</v>
      </c>
      <c r="AJ67" s="130" t="str">
        <f t="shared" si="91"/>
        <v>0</v>
      </c>
      <c r="AK67" s="130" t="str">
        <f t="shared" si="92"/>
        <v>0</v>
      </c>
      <c r="AM67" s="131" t="str">
        <f t="shared" si="93"/>
        <v>0111</v>
      </c>
      <c r="AN67" s="131" t="str">
        <f t="shared" si="94"/>
        <v>0100</v>
      </c>
      <c r="AO67" s="131" t="str">
        <f t="shared" si="95"/>
        <v>0000</v>
      </c>
      <c r="AP67" s="131" t="str">
        <f t="shared" si="96"/>
        <v>0000</v>
      </c>
      <c r="AQ67" s="131" t="str">
        <f t="shared" si="97"/>
        <v>0000</v>
      </c>
      <c r="AR67" s="131" t="str">
        <f t="shared" si="98"/>
        <v>0000</v>
      </c>
    </row>
    <row r="68" spans="1:44" ht="16.5" thickBot="1">
      <c r="A68" s="69" t="s">
        <v>61</v>
      </c>
      <c r="B68" s="25">
        <v>0</v>
      </c>
      <c r="C68" s="13">
        <v>1</v>
      </c>
      <c r="D68" s="15">
        <f t="shared" si="100"/>
        <v>1</v>
      </c>
      <c r="E68" s="21">
        <v>1</v>
      </c>
      <c r="F68" s="23">
        <v>0</v>
      </c>
      <c r="G68" s="14">
        <v>1</v>
      </c>
      <c r="H68" s="14">
        <v>1</v>
      </c>
      <c r="I68" s="96">
        <f>I$62</f>
        <v>1</v>
      </c>
      <c r="J68" s="84">
        <f t="shared" ref="J68:Q68" si="108">J$62</f>
        <v>1</v>
      </c>
      <c r="K68" s="54">
        <f t="shared" si="108"/>
        <v>1</v>
      </c>
      <c r="L68" s="54">
        <f t="shared" si="108"/>
        <v>1</v>
      </c>
      <c r="M68" s="60">
        <f t="shared" si="108"/>
        <v>1</v>
      </c>
      <c r="N68" s="94">
        <f t="shared" si="108"/>
        <v>1</v>
      </c>
      <c r="O68" s="54">
        <f t="shared" si="108"/>
        <v>1</v>
      </c>
      <c r="P68" s="54">
        <f t="shared" si="108"/>
        <v>1</v>
      </c>
      <c r="Q68" s="60">
        <f t="shared" si="108"/>
        <v>0</v>
      </c>
      <c r="R68" s="89">
        <f t="shared" si="102"/>
        <v>0</v>
      </c>
      <c r="S68" s="19">
        <f t="shared" si="102"/>
        <v>0</v>
      </c>
      <c r="T68" s="19">
        <f t="shared" si="102"/>
        <v>0</v>
      </c>
      <c r="U68" s="78">
        <f t="shared" si="102"/>
        <v>0</v>
      </c>
      <c r="V68" s="59">
        <f t="shared" si="102"/>
        <v>0</v>
      </c>
      <c r="W68" s="18">
        <f t="shared" si="102"/>
        <v>0</v>
      </c>
      <c r="X68" s="18">
        <f t="shared" si="102"/>
        <v>0</v>
      </c>
      <c r="Y68" s="24">
        <f t="shared" si="102"/>
        <v>0</v>
      </c>
      <c r="Z68" s="1"/>
      <c r="AA68" s="69" t="s">
        <v>61</v>
      </c>
      <c r="AB68" s="66" t="str">
        <f t="shared" si="86"/>
        <v>77FE00</v>
      </c>
      <c r="AC68" s="100" t="s">
        <v>62</v>
      </c>
      <c r="AD68" t="str">
        <f>"BRGE r"&amp;V$57&amp;", "&amp;IF(D67=1, "relative, "&amp;I$57, "absolute (r"&amp;N$57&amp;" + "&amp;I$57&amp;")")</f>
        <v>BRGE r0, relative, -2</v>
      </c>
      <c r="AE68" s="130"/>
      <c r="AF68" s="130" t="str">
        <f t="shared" si="87"/>
        <v>7</v>
      </c>
      <c r="AG68" s="130" t="str">
        <f t="shared" si="88"/>
        <v>7</v>
      </c>
      <c r="AH68" s="130" t="str">
        <f t="shared" si="89"/>
        <v>F</v>
      </c>
      <c r="AI68" s="130" t="str">
        <f t="shared" si="90"/>
        <v>E</v>
      </c>
      <c r="AJ68" s="130" t="str">
        <f t="shared" si="91"/>
        <v>0</v>
      </c>
      <c r="AK68" s="130" t="str">
        <f t="shared" si="92"/>
        <v>0</v>
      </c>
      <c r="AM68" s="131" t="str">
        <f t="shared" si="93"/>
        <v>0111</v>
      </c>
      <c r="AN68" s="131" t="str">
        <f t="shared" si="94"/>
        <v>0111</v>
      </c>
      <c r="AO68" s="131" t="str">
        <f t="shared" si="95"/>
        <v>1111</v>
      </c>
      <c r="AP68" s="131" t="str">
        <f t="shared" si="96"/>
        <v>1110</v>
      </c>
      <c r="AQ68" s="131" t="str">
        <f t="shared" si="97"/>
        <v>0000</v>
      </c>
      <c r="AR68" s="131" t="str">
        <f t="shared" si="98"/>
        <v>0000</v>
      </c>
    </row>
    <row r="69" spans="1:44" ht="16.5" thickBot="1">
      <c r="A69" s="68" t="s">
        <v>55</v>
      </c>
      <c r="B69" s="25">
        <v>0</v>
      </c>
      <c r="C69" s="13">
        <v>1</v>
      </c>
      <c r="D69" s="15">
        <f t="shared" si="100"/>
        <v>1</v>
      </c>
      <c r="E69" s="35">
        <v>1</v>
      </c>
      <c r="F69" s="23">
        <v>1</v>
      </c>
      <c r="G69" s="14">
        <v>0</v>
      </c>
      <c r="H69" s="14">
        <v>0</v>
      </c>
      <c r="I69" s="35">
        <v>0</v>
      </c>
      <c r="J69" s="23">
        <v>0</v>
      </c>
      <c r="K69" s="14">
        <v>0</v>
      </c>
      <c r="L69" s="14">
        <v>0</v>
      </c>
      <c r="M69" s="29">
        <v>0</v>
      </c>
      <c r="N69" s="186">
        <f t="shared" ref="N69:Q69" si="109">N$61</f>
        <v>0</v>
      </c>
      <c r="O69" s="187">
        <f t="shared" si="109"/>
        <v>0</v>
      </c>
      <c r="P69" s="187">
        <f t="shared" si="109"/>
        <v>0</v>
      </c>
      <c r="Q69" s="188">
        <f t="shared" si="109"/>
        <v>0</v>
      </c>
      <c r="R69" s="89">
        <f t="shared" si="102"/>
        <v>0</v>
      </c>
      <c r="S69" s="19">
        <f t="shared" si="102"/>
        <v>0</v>
      </c>
      <c r="T69" s="19">
        <f t="shared" si="102"/>
        <v>0</v>
      </c>
      <c r="U69" s="78">
        <f t="shared" si="102"/>
        <v>0</v>
      </c>
      <c r="V69" s="59">
        <f t="shared" si="102"/>
        <v>0</v>
      </c>
      <c r="W69" s="18">
        <f t="shared" si="102"/>
        <v>0</v>
      </c>
      <c r="X69" s="18">
        <f t="shared" si="102"/>
        <v>0</v>
      </c>
      <c r="Y69" s="24">
        <f t="shared" si="102"/>
        <v>0</v>
      </c>
      <c r="Z69" s="1"/>
      <c r="AA69" s="68" t="s">
        <v>55</v>
      </c>
      <c r="AB69" s="66" t="str">
        <f t="shared" si="86"/>
        <v>780000</v>
      </c>
      <c r="AC69" s="100" t="s">
        <v>62</v>
      </c>
      <c r="AD69" t="str">
        <f>"BRNE r"&amp;V$57&amp;", "&amp;IF(D69=1, "relative, r"&amp;N$57, "absolute (r"&amp;R$57&amp;" + r"&amp;N$57&amp;")")</f>
        <v>BRNE r0, relative, r0</v>
      </c>
      <c r="AE69" s="130"/>
      <c r="AF69" s="130" t="str">
        <f t="shared" si="87"/>
        <v>7</v>
      </c>
      <c r="AG69" s="130" t="str">
        <f t="shared" si="88"/>
        <v>8</v>
      </c>
      <c r="AH69" s="130" t="str">
        <f t="shared" si="89"/>
        <v>0</v>
      </c>
      <c r="AI69" s="130" t="str">
        <f t="shared" si="90"/>
        <v>0</v>
      </c>
      <c r="AJ69" s="130" t="str">
        <f t="shared" si="91"/>
        <v>0</v>
      </c>
      <c r="AK69" s="130" t="str">
        <f t="shared" si="92"/>
        <v>0</v>
      </c>
      <c r="AM69" s="131" t="str">
        <f t="shared" si="93"/>
        <v>0111</v>
      </c>
      <c r="AN69" s="131" t="str">
        <f t="shared" si="94"/>
        <v>1000</v>
      </c>
      <c r="AO69" s="131" t="str">
        <f t="shared" si="95"/>
        <v>0000</v>
      </c>
      <c r="AP69" s="131" t="str">
        <f t="shared" si="96"/>
        <v>0000</v>
      </c>
      <c r="AQ69" s="131" t="str">
        <f t="shared" si="97"/>
        <v>0000</v>
      </c>
      <c r="AR69" s="131" t="str">
        <f t="shared" si="98"/>
        <v>0000</v>
      </c>
    </row>
    <row r="70" spans="1:44" ht="16.5" thickBot="1">
      <c r="A70" s="68" t="s">
        <v>56</v>
      </c>
      <c r="B70" s="25">
        <v>0</v>
      </c>
      <c r="C70" s="13">
        <v>1</v>
      </c>
      <c r="D70" s="15">
        <f t="shared" si="100"/>
        <v>1</v>
      </c>
      <c r="E70" s="35">
        <v>1</v>
      </c>
      <c r="F70" s="23">
        <v>1</v>
      </c>
      <c r="G70" s="14">
        <v>0</v>
      </c>
      <c r="H70" s="14">
        <v>1</v>
      </c>
      <c r="I70" s="96">
        <f>I$62</f>
        <v>1</v>
      </c>
      <c r="J70" s="84">
        <f t="shared" ref="J70:Q70" si="110">J$62</f>
        <v>1</v>
      </c>
      <c r="K70" s="54">
        <f t="shared" si="110"/>
        <v>1</v>
      </c>
      <c r="L70" s="54">
        <f t="shared" si="110"/>
        <v>1</v>
      </c>
      <c r="M70" s="60">
        <f t="shared" si="110"/>
        <v>1</v>
      </c>
      <c r="N70" s="94">
        <f t="shared" si="110"/>
        <v>1</v>
      </c>
      <c r="O70" s="54">
        <f t="shared" si="110"/>
        <v>1</v>
      </c>
      <c r="P70" s="54">
        <f t="shared" si="110"/>
        <v>1</v>
      </c>
      <c r="Q70" s="60">
        <f t="shared" si="110"/>
        <v>0</v>
      </c>
      <c r="R70" s="89">
        <f t="shared" si="102"/>
        <v>0</v>
      </c>
      <c r="S70" s="19">
        <f t="shared" si="102"/>
        <v>0</v>
      </c>
      <c r="T70" s="19">
        <f t="shared" si="102"/>
        <v>0</v>
      </c>
      <c r="U70" s="78">
        <f t="shared" si="102"/>
        <v>0</v>
      </c>
      <c r="V70" s="59">
        <f t="shared" si="102"/>
        <v>0</v>
      </c>
      <c r="W70" s="18">
        <f t="shared" si="102"/>
        <v>0</v>
      </c>
      <c r="X70" s="18">
        <f t="shared" si="102"/>
        <v>0</v>
      </c>
      <c r="Y70" s="24">
        <f t="shared" si="102"/>
        <v>0</v>
      </c>
      <c r="Z70" s="1"/>
      <c r="AA70" s="68" t="s">
        <v>56</v>
      </c>
      <c r="AB70" s="66" t="str">
        <f t="shared" si="86"/>
        <v>7BFE00</v>
      </c>
      <c r="AC70" s="100" t="s">
        <v>62</v>
      </c>
      <c r="AD70" t="str">
        <f>"BRNE r"&amp;V$57&amp;", "&amp;IF(D69=1, "relative, "&amp;I$57, "absolute (r"&amp;N$57&amp;" + "&amp;I$57&amp;")")</f>
        <v>BRNE r0, relative, -2</v>
      </c>
      <c r="AE70" s="130"/>
      <c r="AF70" s="130" t="str">
        <f t="shared" si="87"/>
        <v>7</v>
      </c>
      <c r="AG70" s="130" t="str">
        <f t="shared" si="88"/>
        <v>B</v>
      </c>
      <c r="AH70" s="130" t="str">
        <f t="shared" si="89"/>
        <v>F</v>
      </c>
      <c r="AI70" s="130" t="str">
        <f t="shared" si="90"/>
        <v>E</v>
      </c>
      <c r="AJ70" s="130" t="str">
        <f t="shared" si="91"/>
        <v>0</v>
      </c>
      <c r="AK70" s="130" t="str">
        <f t="shared" si="92"/>
        <v>0</v>
      </c>
      <c r="AM70" s="131" t="str">
        <f t="shared" si="93"/>
        <v>0111</v>
      </c>
      <c r="AN70" s="131" t="str">
        <f t="shared" si="94"/>
        <v>1011</v>
      </c>
      <c r="AO70" s="131" t="str">
        <f t="shared" si="95"/>
        <v>1111</v>
      </c>
      <c r="AP70" s="131" t="str">
        <f t="shared" si="96"/>
        <v>1110</v>
      </c>
      <c r="AQ70" s="131" t="str">
        <f t="shared" si="97"/>
        <v>0000</v>
      </c>
      <c r="AR70" s="131" t="str">
        <f t="shared" si="98"/>
        <v>0000</v>
      </c>
    </row>
    <row r="71" spans="1:44" ht="16.5" thickBot="1">
      <c r="A71" s="71" t="s">
        <v>12</v>
      </c>
      <c r="B71" s="25">
        <v>0</v>
      </c>
      <c r="C71" s="13">
        <v>1</v>
      </c>
      <c r="D71" s="15">
        <f t="shared" si="100"/>
        <v>1</v>
      </c>
      <c r="E71" s="21">
        <v>1</v>
      </c>
      <c r="F71" s="23">
        <v>1</v>
      </c>
      <c r="G71" s="14">
        <v>1</v>
      </c>
      <c r="H71" s="14">
        <v>0</v>
      </c>
      <c r="I71" s="35">
        <v>0</v>
      </c>
      <c r="J71" s="23">
        <v>0</v>
      </c>
      <c r="K71" s="14">
        <v>0</v>
      </c>
      <c r="L71" s="14">
        <v>0</v>
      </c>
      <c r="M71" s="29">
        <v>0</v>
      </c>
      <c r="N71" s="186">
        <f t="shared" ref="N71:Q71" si="111">N$61</f>
        <v>0</v>
      </c>
      <c r="O71" s="187">
        <f t="shared" si="111"/>
        <v>0</v>
      </c>
      <c r="P71" s="187">
        <f t="shared" si="111"/>
        <v>0</v>
      </c>
      <c r="Q71" s="188">
        <f t="shared" si="111"/>
        <v>0</v>
      </c>
      <c r="R71" s="89">
        <f t="shared" si="102"/>
        <v>0</v>
      </c>
      <c r="S71" s="19">
        <f t="shared" si="102"/>
        <v>0</v>
      </c>
      <c r="T71" s="19">
        <f t="shared" si="102"/>
        <v>0</v>
      </c>
      <c r="U71" s="78">
        <f t="shared" si="102"/>
        <v>0</v>
      </c>
      <c r="V71" s="59">
        <f t="shared" si="102"/>
        <v>0</v>
      </c>
      <c r="W71" s="18">
        <f t="shared" si="102"/>
        <v>0</v>
      </c>
      <c r="X71" s="18">
        <f t="shared" si="102"/>
        <v>0</v>
      </c>
      <c r="Y71" s="24">
        <f t="shared" si="102"/>
        <v>0</v>
      </c>
      <c r="Z71" s="1"/>
      <c r="AA71" s="71" t="s">
        <v>12</v>
      </c>
      <c r="AB71" s="66" t="str">
        <f t="shared" si="86"/>
        <v>7C0000</v>
      </c>
      <c r="AC71" s="100" t="s">
        <v>62</v>
      </c>
      <c r="AD71" t="str">
        <f>"JUMP r"&amp;V$57&amp;", "&amp;IF(D71=1, "relative, r"&amp;N$57, "absolute (r"&amp;R$57&amp;" + r"&amp;N$57&amp;")")</f>
        <v>JUMP r0, relative, r0</v>
      </c>
      <c r="AE71" s="130"/>
      <c r="AF71" s="130" t="str">
        <f t="shared" si="87"/>
        <v>7</v>
      </c>
      <c r="AG71" s="130" t="str">
        <f t="shared" si="88"/>
        <v>C</v>
      </c>
      <c r="AH71" s="130" t="str">
        <f t="shared" si="89"/>
        <v>0</v>
      </c>
      <c r="AI71" s="130" t="str">
        <f t="shared" si="90"/>
        <v>0</v>
      </c>
      <c r="AJ71" s="130" t="str">
        <f t="shared" si="91"/>
        <v>0</v>
      </c>
      <c r="AK71" s="130" t="str">
        <f t="shared" si="92"/>
        <v>0</v>
      </c>
      <c r="AM71" s="131" t="str">
        <f t="shared" si="93"/>
        <v>0111</v>
      </c>
      <c r="AN71" s="131" t="str">
        <f t="shared" si="94"/>
        <v>1100</v>
      </c>
      <c r="AO71" s="131" t="str">
        <f t="shared" si="95"/>
        <v>0000</v>
      </c>
      <c r="AP71" s="131" t="str">
        <f t="shared" si="96"/>
        <v>0000</v>
      </c>
      <c r="AQ71" s="131" t="str">
        <f t="shared" si="97"/>
        <v>0000</v>
      </c>
      <c r="AR71" s="131" t="str">
        <f t="shared" si="98"/>
        <v>0000</v>
      </c>
    </row>
    <row r="72" spans="1:44" ht="16.5" thickBot="1">
      <c r="A72" s="69"/>
      <c r="B72" s="43">
        <v>0</v>
      </c>
      <c r="C72" s="44">
        <v>1</v>
      </c>
      <c r="D72" s="48">
        <f t="shared" si="100"/>
        <v>1</v>
      </c>
      <c r="E72" s="80">
        <v>1</v>
      </c>
      <c r="F72" s="88">
        <v>1</v>
      </c>
      <c r="G72" s="45">
        <v>1</v>
      </c>
      <c r="H72" s="45">
        <v>1</v>
      </c>
      <c r="I72" s="97">
        <f>I$62</f>
        <v>1</v>
      </c>
      <c r="J72" s="85">
        <f t="shared" ref="J72:Q72" si="112">J$62</f>
        <v>1</v>
      </c>
      <c r="K72" s="62">
        <f t="shared" si="112"/>
        <v>1</v>
      </c>
      <c r="L72" s="62">
        <f t="shared" si="112"/>
        <v>1</v>
      </c>
      <c r="M72" s="86">
        <f t="shared" si="112"/>
        <v>1</v>
      </c>
      <c r="N72" s="95">
        <f t="shared" si="112"/>
        <v>1</v>
      </c>
      <c r="O72" s="62">
        <f t="shared" si="112"/>
        <v>1</v>
      </c>
      <c r="P72" s="62">
        <f t="shared" si="112"/>
        <v>1</v>
      </c>
      <c r="Q72" s="86">
        <f t="shared" si="112"/>
        <v>0</v>
      </c>
      <c r="R72" s="90">
        <f t="shared" si="102"/>
        <v>0</v>
      </c>
      <c r="S72" s="47">
        <f t="shared" si="102"/>
        <v>0</v>
      </c>
      <c r="T72" s="47">
        <f t="shared" si="102"/>
        <v>0</v>
      </c>
      <c r="U72" s="79">
        <f t="shared" si="102"/>
        <v>0</v>
      </c>
      <c r="V72" s="76">
        <f t="shared" si="102"/>
        <v>0</v>
      </c>
      <c r="W72" s="46">
        <f t="shared" si="102"/>
        <v>0</v>
      </c>
      <c r="X72" s="46">
        <f t="shared" si="102"/>
        <v>0</v>
      </c>
      <c r="Y72" s="77">
        <f t="shared" si="102"/>
        <v>0</v>
      </c>
      <c r="Z72" s="1"/>
      <c r="AA72" s="69"/>
      <c r="AB72" s="66" t="str">
        <f>_xlfn.CONCAT(AF72:AK72)</f>
        <v>7FFE00</v>
      </c>
      <c r="AC72" s="100" t="s">
        <v>62</v>
      </c>
      <c r="AD72" t="str">
        <f>"JUMP r"&amp;V$57&amp;", "&amp;IF(D71=1, "relative, "&amp;I$57, "absolute (r"&amp;R$57&amp;" + "&amp;I$57&amp;")")</f>
        <v>JUMP r0, relative, -2</v>
      </c>
      <c r="AE72" s="130"/>
      <c r="AF72" s="130" t="str">
        <f t="shared" si="87"/>
        <v>7</v>
      </c>
      <c r="AG72" s="130" t="str">
        <f t="shared" si="88"/>
        <v>F</v>
      </c>
      <c r="AH72" s="130" t="str">
        <f t="shared" si="89"/>
        <v>F</v>
      </c>
      <c r="AI72" s="130" t="str">
        <f t="shared" si="90"/>
        <v>E</v>
      </c>
      <c r="AJ72" s="130" t="str">
        <f t="shared" si="91"/>
        <v>0</v>
      </c>
      <c r="AK72" s="130" t="str">
        <f t="shared" si="92"/>
        <v>0</v>
      </c>
      <c r="AM72" s="131" t="str">
        <f t="shared" si="93"/>
        <v>0111</v>
      </c>
      <c r="AN72" s="131" t="str">
        <f t="shared" si="94"/>
        <v>1111</v>
      </c>
      <c r="AO72" s="131" t="str">
        <f t="shared" si="95"/>
        <v>1111</v>
      </c>
      <c r="AP72" s="131" t="str">
        <f t="shared" si="96"/>
        <v>1110</v>
      </c>
      <c r="AQ72" s="131" t="str">
        <f t="shared" si="97"/>
        <v>0000</v>
      </c>
      <c r="AR72" s="131" t="str">
        <f t="shared" si="98"/>
        <v>0000</v>
      </c>
    </row>
    <row r="73" spans="1:44" ht="16.5" thickBot="1">
      <c r="A73" s="204" t="s">
        <v>96</v>
      </c>
      <c r="B73" s="43">
        <v>1</v>
      </c>
      <c r="C73" s="44">
        <v>0</v>
      </c>
      <c r="D73" s="45">
        <v>0</v>
      </c>
      <c r="E73" s="80">
        <v>1</v>
      </c>
      <c r="F73" s="88">
        <v>1</v>
      </c>
      <c r="G73" s="45">
        <v>1</v>
      </c>
      <c r="H73" s="45">
        <v>0</v>
      </c>
      <c r="I73" s="73">
        <v>0</v>
      </c>
      <c r="J73" s="88">
        <v>0</v>
      </c>
      <c r="K73" s="45">
        <v>0</v>
      </c>
      <c r="L73" s="45">
        <v>0</v>
      </c>
      <c r="M73" s="49">
        <v>0</v>
      </c>
      <c r="N73" s="209">
        <v>0</v>
      </c>
      <c r="O73" s="45">
        <v>0</v>
      </c>
      <c r="P73" s="45">
        <v>0</v>
      </c>
      <c r="Q73" s="49">
        <v>0</v>
      </c>
      <c r="R73" s="209">
        <v>1</v>
      </c>
      <c r="S73" s="45">
        <v>1</v>
      </c>
      <c r="T73" s="45">
        <v>0</v>
      </c>
      <c r="U73" s="49">
        <v>0</v>
      </c>
      <c r="V73" s="88">
        <v>0</v>
      </c>
      <c r="W73" s="45">
        <v>0</v>
      </c>
      <c r="X73" s="45">
        <v>0</v>
      </c>
      <c r="Y73" s="49">
        <v>0</v>
      </c>
      <c r="Z73" s="1"/>
      <c r="AA73" s="69" t="s">
        <v>96</v>
      </c>
      <c r="AB73" s="208" t="str">
        <f t="shared" si="86"/>
        <v>9C00C0</v>
      </c>
      <c r="AC73" s="100"/>
      <c r="AE73" s="130"/>
      <c r="AF73" s="130" t="str">
        <f t="shared" ref="AF73" si="113">BIN2HEX(AM73)</f>
        <v>9</v>
      </c>
      <c r="AG73" s="130" t="str">
        <f t="shared" ref="AG73" si="114">BIN2HEX(AN73)</f>
        <v>C</v>
      </c>
      <c r="AH73" s="130" t="str">
        <f t="shared" ref="AH73" si="115">BIN2HEX(AO73)</f>
        <v>0</v>
      </c>
      <c r="AI73" s="130" t="str">
        <f t="shared" ref="AI73" si="116">BIN2HEX(AP73)</f>
        <v>0</v>
      </c>
      <c r="AJ73" s="130" t="str">
        <f t="shared" ref="AJ73" si="117">BIN2HEX(AQ73)</f>
        <v>C</v>
      </c>
      <c r="AK73" s="130" t="str">
        <f t="shared" ref="AK73" si="118">BIN2HEX(AR73)</f>
        <v>0</v>
      </c>
      <c r="AM73" s="131" t="str">
        <f t="shared" ref="AM73" si="119">_xlfn.CONCAT(B73:E73)</f>
        <v>1001</v>
      </c>
      <c r="AN73" s="131" t="str">
        <f t="shared" ref="AN73" si="120">_xlfn.CONCAT(F73:I73)</f>
        <v>1100</v>
      </c>
      <c r="AO73" s="131" t="str">
        <f t="shared" ref="AO73" si="121">_xlfn.CONCAT(J73:M73)</f>
        <v>0000</v>
      </c>
      <c r="AP73" s="131" t="str">
        <f t="shared" ref="AP73" si="122">_xlfn.CONCAT(N73:Q73)</f>
        <v>0000</v>
      </c>
      <c r="AQ73" s="131" t="str">
        <f t="shared" ref="AQ73" si="123">_xlfn.CONCAT(R73:U73)</f>
        <v>1100</v>
      </c>
      <c r="AR73" s="131" t="str">
        <f t="shared" ref="AR73" si="124">_xlfn.CONCAT(V73:Y73)</f>
        <v>0000</v>
      </c>
    </row>
    <row r="74" spans="1:44" ht="16.5" thickBot="1">
      <c r="A74" s="17"/>
      <c r="B74" s="313" t="s">
        <v>14</v>
      </c>
      <c r="C74" s="314"/>
      <c r="D74" s="41" t="s">
        <v>42</v>
      </c>
      <c r="E74" s="318" t="s">
        <v>40</v>
      </c>
      <c r="F74" s="319"/>
      <c r="G74" s="320"/>
      <c r="H74" s="34" t="s">
        <v>3</v>
      </c>
      <c r="I74" s="294" t="s">
        <v>4</v>
      </c>
      <c r="J74" s="295"/>
      <c r="K74" s="295"/>
      <c r="L74" s="295"/>
      <c r="M74" s="296"/>
      <c r="N74" s="355" t="s">
        <v>18</v>
      </c>
      <c r="O74" s="356"/>
      <c r="P74" s="356"/>
      <c r="Q74" s="357"/>
      <c r="R74" s="364" t="s">
        <v>16</v>
      </c>
      <c r="S74" s="365"/>
      <c r="T74" s="365"/>
      <c r="U74" s="366"/>
      <c r="V74" s="291" t="s">
        <v>15</v>
      </c>
      <c r="W74" s="292"/>
      <c r="X74" s="292"/>
      <c r="Y74" s="293"/>
      <c r="Z74" s="20"/>
      <c r="AA74" s="100"/>
      <c r="AC74" s="130"/>
      <c r="AD74" s="130"/>
      <c r="AE74" s="130"/>
      <c r="AF74" s="130"/>
      <c r="AG74" s="130"/>
      <c r="AH74" s="130"/>
      <c r="AI74" s="130"/>
      <c r="AJ74" s="131"/>
      <c r="AK74" s="131"/>
      <c r="AL74" s="131"/>
      <c r="AM74" s="131"/>
      <c r="AN74" s="131"/>
      <c r="AO74" s="131"/>
    </row>
    <row r="75" spans="1:44" ht="16.5" thickBot="1">
      <c r="A75" s="2"/>
      <c r="B75" s="8">
        <v>23</v>
      </c>
      <c r="C75" s="9">
        <v>22</v>
      </c>
      <c r="D75" s="9">
        <v>21</v>
      </c>
      <c r="E75" s="10">
        <v>20</v>
      </c>
      <c r="F75" s="119">
        <v>19</v>
      </c>
      <c r="G75" s="6">
        <v>18</v>
      </c>
      <c r="H75" s="6">
        <v>17</v>
      </c>
      <c r="I75" s="7">
        <v>16</v>
      </c>
      <c r="J75" s="12">
        <v>15</v>
      </c>
      <c r="K75" s="9">
        <v>14</v>
      </c>
      <c r="L75" s="9">
        <v>13</v>
      </c>
      <c r="M75" s="11">
        <v>12</v>
      </c>
      <c r="N75" s="5">
        <v>11</v>
      </c>
      <c r="O75" s="6">
        <v>10</v>
      </c>
      <c r="P75" s="6">
        <v>9</v>
      </c>
      <c r="Q75" s="7">
        <v>8</v>
      </c>
      <c r="R75" s="12">
        <v>7</v>
      </c>
      <c r="S75" s="9">
        <v>6</v>
      </c>
      <c r="T75" s="9">
        <v>5</v>
      </c>
      <c r="U75" s="10">
        <v>4</v>
      </c>
      <c r="V75" s="5">
        <v>3</v>
      </c>
      <c r="W75" s="6">
        <v>2</v>
      </c>
      <c r="X75" s="6">
        <v>1</v>
      </c>
      <c r="Y75" s="7">
        <v>0</v>
      </c>
      <c r="Z75" s="20"/>
      <c r="AA75" s="100"/>
      <c r="AH75" s="1"/>
    </row>
    <row r="76" spans="1:44" ht="15.75">
      <c r="A76" s="2"/>
      <c r="B76" s="307" t="s">
        <v>49</v>
      </c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9"/>
      <c r="Z76" s="20"/>
      <c r="AA76" s="100"/>
      <c r="AH76" s="1"/>
    </row>
    <row r="77" spans="1:44" ht="15.75">
      <c r="A77" s="2"/>
      <c r="B77" s="310" t="s">
        <v>50</v>
      </c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11"/>
      <c r="W77" s="311"/>
      <c r="X77" s="311"/>
      <c r="Y77" s="312"/>
      <c r="Z77" s="20"/>
      <c r="AA77" s="100"/>
      <c r="AH77" s="1"/>
    </row>
    <row r="78" spans="1:44" ht="16.5" thickBot="1">
      <c r="A78" s="2"/>
      <c r="B78" s="315" t="s">
        <v>51</v>
      </c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7"/>
      <c r="Z78" s="20"/>
      <c r="AA78" s="100"/>
      <c r="AH78" s="1"/>
    </row>
    <row r="79" spans="1:44" ht="15.75" thickBot="1"/>
    <row r="80" spans="1:44" ht="30.75" customHeight="1" thickBot="1">
      <c r="B80" s="349" t="s">
        <v>52</v>
      </c>
      <c r="C80" s="350"/>
      <c r="D80" s="350"/>
      <c r="E80" s="350"/>
      <c r="F80" s="350"/>
      <c r="G80" s="350"/>
      <c r="H80" s="350"/>
      <c r="I80" s="350"/>
      <c r="J80" s="350"/>
      <c r="K80" s="350"/>
      <c r="L80" s="351"/>
      <c r="M80" s="341">
        <v>473</v>
      </c>
      <c r="N80" s="342"/>
      <c r="O80" s="338" t="str">
        <f>DEC2BIN(M80)</f>
        <v>111011001</v>
      </c>
      <c r="P80" s="339"/>
      <c r="Q80" s="339"/>
      <c r="R80" s="339"/>
      <c r="S80" s="339"/>
      <c r="T80" s="339"/>
      <c r="U80" s="340"/>
      <c r="V80" s="37"/>
      <c r="W80" s="37"/>
      <c r="X80" s="37"/>
      <c r="AA80">
        <f>512-39</f>
        <v>473</v>
      </c>
    </row>
    <row r="81" spans="2:18">
      <c r="M81" s="337" t="s">
        <v>53</v>
      </c>
      <c r="N81" s="337"/>
      <c r="O81" s="306" t="s">
        <v>54</v>
      </c>
      <c r="P81" s="306"/>
      <c r="Q81" s="306"/>
      <c r="R81" s="306"/>
    </row>
    <row r="88" spans="2:18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  <row r="89" spans="2:18">
      <c r="B89" s="37"/>
      <c r="C89" s="37"/>
      <c r="D89" s="37"/>
      <c r="E89" s="37"/>
      <c r="F89" s="37"/>
      <c r="G89" s="37"/>
      <c r="H89" s="37"/>
      <c r="I89" s="37"/>
      <c r="J89" s="37"/>
    </row>
    <row r="90" spans="2:18">
      <c r="B90" s="37"/>
      <c r="C90" s="37"/>
      <c r="D90" s="37"/>
      <c r="E90" s="37"/>
      <c r="F90" s="37"/>
      <c r="G90" s="37"/>
      <c r="H90" s="37"/>
      <c r="I90" s="37"/>
      <c r="J90" s="37"/>
    </row>
    <row r="91" spans="2:18">
      <c r="D91" s="306"/>
      <c r="E91" s="306"/>
      <c r="F91" s="306"/>
      <c r="G91" s="37"/>
      <c r="H91" s="37"/>
      <c r="I91" s="37"/>
      <c r="J91" s="37"/>
    </row>
    <row r="92" spans="2:18">
      <c r="D92" s="1"/>
      <c r="E92" s="1"/>
      <c r="F92" s="1"/>
    </row>
  </sheetData>
  <sheetProtection sheet="1" objects="1" scenarios="1"/>
  <mergeCells count="84">
    <mergeCell ref="A46:A47"/>
    <mergeCell ref="V29:Y30"/>
    <mergeCell ref="B48:C48"/>
    <mergeCell ref="D48:G48"/>
    <mergeCell ref="V48:Y48"/>
    <mergeCell ref="I48:M48"/>
    <mergeCell ref="B32:Y32"/>
    <mergeCell ref="B34:Y34"/>
    <mergeCell ref="B37:Y37"/>
    <mergeCell ref="B33:Y33"/>
    <mergeCell ref="B39:C39"/>
    <mergeCell ref="D39:G39"/>
    <mergeCell ref="B35:Y35"/>
    <mergeCell ref="N39:Q39"/>
    <mergeCell ref="R39:U39"/>
    <mergeCell ref="B29:C30"/>
    <mergeCell ref="B1:Y1"/>
    <mergeCell ref="B4:C5"/>
    <mergeCell ref="D6:G7"/>
    <mergeCell ref="V18:Y18"/>
    <mergeCell ref="N7:Q7"/>
    <mergeCell ref="I18:M18"/>
    <mergeCell ref="N18:Q18"/>
    <mergeCell ref="V6:Y7"/>
    <mergeCell ref="I6:Q6"/>
    <mergeCell ref="R6:U7"/>
    <mergeCell ref="J7:M7"/>
    <mergeCell ref="B6:C7"/>
    <mergeCell ref="H6:H7"/>
    <mergeCell ref="R4:U5"/>
    <mergeCell ref="V4:Y5"/>
    <mergeCell ref="B18:C18"/>
    <mergeCell ref="R48:U48"/>
    <mergeCell ref="H29:H30"/>
    <mergeCell ref="I29:Q29"/>
    <mergeCell ref="R29:U30"/>
    <mergeCell ref="I30:M30"/>
    <mergeCell ref="N30:Q30"/>
    <mergeCell ref="N48:Q48"/>
    <mergeCell ref="I40:M40"/>
    <mergeCell ref="O81:R81"/>
    <mergeCell ref="O80:U80"/>
    <mergeCell ref="M80:N80"/>
    <mergeCell ref="B50:Y50"/>
    <mergeCell ref="B51:Y51"/>
    <mergeCell ref="B52:Y52"/>
    <mergeCell ref="B80:L80"/>
    <mergeCell ref="B54:Y54"/>
    <mergeCell ref="E56:G56"/>
    <mergeCell ref="N56:Q56"/>
    <mergeCell ref="R57:U57"/>
    <mergeCell ref="R56:U56"/>
    <mergeCell ref="N74:Q74"/>
    <mergeCell ref="R74:U74"/>
    <mergeCell ref="V74:Y74"/>
    <mergeCell ref="D91:F91"/>
    <mergeCell ref="B76:Y76"/>
    <mergeCell ref="B77:Y77"/>
    <mergeCell ref="B74:C74"/>
    <mergeCell ref="V56:Y56"/>
    <mergeCell ref="B78:Y78"/>
    <mergeCell ref="E74:G74"/>
    <mergeCell ref="E57:G57"/>
    <mergeCell ref="V57:Y57"/>
    <mergeCell ref="I57:M57"/>
    <mergeCell ref="B56:C56"/>
    <mergeCell ref="B57:C57"/>
    <mergeCell ref="N57:Q57"/>
    <mergeCell ref="M81:N81"/>
    <mergeCell ref="I56:M56"/>
    <mergeCell ref="I74:M74"/>
    <mergeCell ref="V40:Y40"/>
    <mergeCell ref="D4:G5"/>
    <mergeCell ref="H4:H5"/>
    <mergeCell ref="I5:M5"/>
    <mergeCell ref="N5:Q5"/>
    <mergeCell ref="I4:Q4"/>
    <mergeCell ref="V39:Y39"/>
    <mergeCell ref="I39:M39"/>
    <mergeCell ref="N40:Q40"/>
    <mergeCell ref="D18:G18"/>
    <mergeCell ref="S18:U18"/>
    <mergeCell ref="R40:U40"/>
    <mergeCell ref="D29:G30"/>
  </mergeCells>
  <pageMargins left="0.25" right="0.25" top="0.75" bottom="0.75" header="0.3" footer="0.3"/>
  <pageSetup scale="54" fitToHeight="0" orientation="landscape" r:id="rId1"/>
  <ignoredErrors>
    <ignoredError sqref="AS19:AV28 AJ75:AS75 AS41:AU44 AK31:AT32 AJ49:AS49 AG39 AK56:AT56 AS71:AU71 AS69:AU69 AS65:AU65 AS67:AU67 AS63:AU63 AS61:AU61 AS58:AU59 AS8:AV17 AK34:AT38 AJ53:AS55 AM8:AR17 AM19:AR28 AH39:AI39 AJ39:AN39" formulaRange="1"/>
    <ignoredError sqref="I10:Q11 N13:Q13 N42:Q42 R43:Y43 R60:Y60 N64:Q64 N66:Q66 N68:Q68 N70:Q70 N12:Q12 N15:Q15 N14:Q14 N17:Q18 N16:Q16 N20:Q20 N19:Q19 N22:Q22 N21:Q21 N24:Q24 N23:Q23 I26:Q26 N25:Q25 I24:M24 I22:M22 I20:M20 I17:M18 I15:M15 I13:M13 I12:M12 I14:M14 I16:M16 I19:M19 I21:M21 I23:M23 I25:M25" formula="1"/>
    <ignoredError sqref="N59:Q59 N63:Q63 N61:Q61" unlockedFormula="1"/>
    <ignoredError sqref="B56 B29 B39 B4 B18 B74" numberStoredAsText="1"/>
    <ignoredError sqref="N69:Q69 N67:Q67 N65:Q65 N71:Q71" formula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E9F8-6480-44CC-8FEC-86726528EF18}">
  <dimension ref="B2:U37"/>
  <sheetViews>
    <sheetView zoomScaleNormal="100" workbookViewId="0">
      <selection activeCell="M19" sqref="M19"/>
    </sheetView>
  </sheetViews>
  <sheetFormatPr defaultRowHeight="15"/>
  <cols>
    <col min="1" max="16384" width="9.140625" style="237"/>
  </cols>
  <sheetData>
    <row r="2" spans="2:21" ht="15.75" thickBot="1"/>
    <row r="3" spans="2:21">
      <c r="B3" s="432" t="s">
        <v>103</v>
      </c>
      <c r="C3" s="433"/>
      <c r="D3" s="433"/>
      <c r="E3" s="433"/>
      <c r="F3" s="438" t="s">
        <v>104</v>
      </c>
      <c r="G3" s="439"/>
      <c r="H3" s="439"/>
      <c r="I3" s="440"/>
      <c r="J3" s="433" t="s">
        <v>105</v>
      </c>
      <c r="K3" s="433"/>
      <c r="L3" s="433"/>
      <c r="M3" s="433"/>
      <c r="N3" s="438" t="s">
        <v>106</v>
      </c>
      <c r="O3" s="439"/>
      <c r="P3" s="439"/>
      <c r="Q3" s="440"/>
      <c r="R3" s="433" t="s">
        <v>107</v>
      </c>
      <c r="S3" s="433"/>
      <c r="T3" s="433"/>
      <c r="U3" s="447"/>
    </row>
    <row r="4" spans="2:21">
      <c r="B4" s="434"/>
      <c r="C4" s="435"/>
      <c r="D4" s="435"/>
      <c r="E4" s="435"/>
      <c r="F4" s="441"/>
      <c r="G4" s="442"/>
      <c r="H4" s="442"/>
      <c r="I4" s="443"/>
      <c r="J4" s="435"/>
      <c r="K4" s="435"/>
      <c r="L4" s="435"/>
      <c r="M4" s="435"/>
      <c r="N4" s="441"/>
      <c r="O4" s="442"/>
      <c r="P4" s="442"/>
      <c r="Q4" s="443"/>
      <c r="R4" s="435"/>
      <c r="S4" s="435"/>
      <c r="T4" s="435"/>
      <c r="U4" s="448"/>
    </row>
    <row r="5" spans="2:21" ht="15.75" thickBot="1">
      <c r="B5" s="436"/>
      <c r="C5" s="437"/>
      <c r="D5" s="437"/>
      <c r="E5" s="437"/>
      <c r="F5" s="444"/>
      <c r="G5" s="445"/>
      <c r="H5" s="445"/>
      <c r="I5" s="446"/>
      <c r="J5" s="437"/>
      <c r="K5" s="437"/>
      <c r="L5" s="437"/>
      <c r="M5" s="437"/>
      <c r="N5" s="444"/>
      <c r="O5" s="445"/>
      <c r="P5" s="445"/>
      <c r="Q5" s="446"/>
      <c r="R5" s="437"/>
      <c r="S5" s="437"/>
      <c r="T5" s="437"/>
      <c r="U5" s="449"/>
    </row>
    <row r="6" spans="2:21" s="244" customFormat="1" ht="16.5" thickBot="1">
      <c r="B6" s="238"/>
      <c r="C6" s="239"/>
      <c r="D6" s="239"/>
      <c r="E6" s="239"/>
      <c r="F6" s="240"/>
      <c r="G6" s="241"/>
      <c r="H6" s="241"/>
      <c r="I6" s="242"/>
      <c r="J6" s="239"/>
      <c r="K6" s="239"/>
      <c r="L6" s="239"/>
      <c r="M6" s="239"/>
      <c r="N6" s="240"/>
      <c r="O6" s="241"/>
      <c r="P6" s="241"/>
      <c r="Q6" s="242"/>
      <c r="R6" s="239"/>
      <c r="S6" s="239"/>
      <c r="T6" s="239"/>
      <c r="U6" s="243"/>
    </row>
    <row r="7" spans="2:21" s="244" customFormat="1" ht="15.75">
      <c r="B7" s="245"/>
      <c r="C7" s="468" t="s">
        <v>108</v>
      </c>
      <c r="D7" s="469"/>
      <c r="E7" s="246"/>
      <c r="F7" s="247"/>
      <c r="G7" s="452" t="s">
        <v>113</v>
      </c>
      <c r="H7" s="453"/>
      <c r="I7" s="248"/>
      <c r="J7" s="246"/>
      <c r="K7" s="246"/>
      <c r="L7" s="246"/>
      <c r="M7" s="246"/>
      <c r="N7" s="247"/>
      <c r="O7" s="249"/>
      <c r="P7" s="249"/>
      <c r="Q7" s="248"/>
      <c r="R7" s="246"/>
      <c r="S7" s="246"/>
      <c r="T7" s="246"/>
      <c r="U7" s="250"/>
    </row>
    <row r="8" spans="2:21" s="244" customFormat="1" ht="15.75">
      <c r="B8" s="245"/>
      <c r="C8" s="470"/>
      <c r="D8" s="471"/>
      <c r="E8" s="246"/>
      <c r="F8" s="247"/>
      <c r="G8" s="454"/>
      <c r="H8" s="455"/>
      <c r="I8" s="248"/>
      <c r="J8" s="246"/>
      <c r="K8" s="246"/>
      <c r="L8" s="246"/>
      <c r="M8" s="246"/>
      <c r="N8" s="247"/>
      <c r="O8" s="249"/>
      <c r="P8" s="249"/>
      <c r="Q8" s="248"/>
      <c r="R8" s="246"/>
      <c r="S8" s="246"/>
      <c r="T8" s="246"/>
      <c r="U8" s="250"/>
    </row>
    <row r="9" spans="2:21" s="244" customFormat="1" ht="16.5" thickBot="1">
      <c r="B9" s="245"/>
      <c r="C9" s="472"/>
      <c r="D9" s="473"/>
      <c r="E9" s="246"/>
      <c r="F9" s="247"/>
      <c r="G9" s="454"/>
      <c r="H9" s="455"/>
      <c r="I9" s="248"/>
      <c r="J9" s="246"/>
      <c r="K9" s="246"/>
      <c r="L9" s="246"/>
      <c r="M9" s="246"/>
      <c r="N9" s="247"/>
      <c r="O9" s="249"/>
      <c r="P9" s="249"/>
      <c r="Q9" s="248"/>
      <c r="R9" s="246"/>
      <c r="S9" s="246"/>
      <c r="T9" s="246"/>
      <c r="U9" s="250"/>
    </row>
    <row r="10" spans="2:21" s="244" customFormat="1" ht="15.75">
      <c r="B10" s="245"/>
      <c r="C10" s="246"/>
      <c r="D10" s="246"/>
      <c r="E10" s="246"/>
      <c r="F10" s="247"/>
      <c r="G10" s="454"/>
      <c r="H10" s="455"/>
      <c r="I10" s="248"/>
      <c r="J10" s="246"/>
      <c r="K10" s="428"/>
      <c r="L10" s="429"/>
      <c r="M10" s="246"/>
      <c r="N10" s="247"/>
      <c r="O10" s="249"/>
      <c r="P10" s="251"/>
      <c r="Q10" s="266"/>
      <c r="R10" s="268"/>
      <c r="S10" s="269"/>
      <c r="T10" s="246"/>
      <c r="U10" s="250"/>
    </row>
    <row r="11" spans="2:21" s="244" customFormat="1" ht="16.5" thickBot="1">
      <c r="B11" s="245"/>
      <c r="C11" s="246"/>
      <c r="D11" s="246"/>
      <c r="E11" s="246"/>
      <c r="F11" s="247"/>
      <c r="G11" s="454"/>
      <c r="H11" s="455"/>
      <c r="I11" s="248"/>
      <c r="J11" s="246"/>
      <c r="K11" s="430" t="s">
        <v>120</v>
      </c>
      <c r="L11" s="431"/>
      <c r="M11" s="246"/>
      <c r="N11" s="247"/>
      <c r="O11" s="265"/>
      <c r="P11" s="263"/>
      <c r="Q11" s="476" t="s">
        <v>123</v>
      </c>
      <c r="R11" s="476"/>
      <c r="S11" s="271"/>
      <c r="T11" s="246"/>
      <c r="U11" s="250"/>
    </row>
    <row r="12" spans="2:21" s="244" customFormat="1" ht="16.5" thickBot="1">
      <c r="B12" s="245"/>
      <c r="C12" s="468" t="s">
        <v>117</v>
      </c>
      <c r="D12" s="469"/>
      <c r="E12" s="246"/>
      <c r="F12" s="247"/>
      <c r="G12" s="456"/>
      <c r="H12" s="457"/>
      <c r="I12" s="248"/>
      <c r="J12" s="246"/>
      <c r="K12" s="430" t="s">
        <v>121</v>
      </c>
      <c r="L12" s="431"/>
      <c r="M12" s="246"/>
      <c r="N12" s="247"/>
      <c r="O12" s="265"/>
      <c r="P12" s="263"/>
      <c r="Q12" s="476" t="s">
        <v>124</v>
      </c>
      <c r="R12" s="476"/>
      <c r="S12" s="271"/>
      <c r="T12" s="246"/>
      <c r="U12" s="250"/>
    </row>
    <row r="13" spans="2:21" s="244" customFormat="1" ht="15.75">
      <c r="B13" s="245"/>
      <c r="C13" s="470"/>
      <c r="D13" s="471"/>
      <c r="E13" s="246"/>
      <c r="F13" s="247"/>
      <c r="G13" s="249"/>
      <c r="H13" s="249"/>
      <c r="I13" s="248"/>
      <c r="J13" s="246"/>
      <c r="K13" s="430"/>
      <c r="L13" s="431"/>
      <c r="M13" s="246"/>
      <c r="N13" s="247"/>
      <c r="O13" s="265"/>
      <c r="P13" s="263"/>
      <c r="Q13" s="262"/>
      <c r="R13" s="270"/>
      <c r="S13" s="271"/>
      <c r="T13" s="246"/>
      <c r="U13" s="250"/>
    </row>
    <row r="14" spans="2:21" s="244" customFormat="1" ht="16.5" thickBot="1">
      <c r="B14" s="245"/>
      <c r="C14" s="472"/>
      <c r="D14" s="473"/>
      <c r="E14" s="246"/>
      <c r="F14" s="247"/>
      <c r="G14" s="249"/>
      <c r="H14" s="249"/>
      <c r="I14" s="248"/>
      <c r="J14" s="246"/>
      <c r="K14" s="430" t="s">
        <v>122</v>
      </c>
      <c r="L14" s="431"/>
      <c r="M14" s="246"/>
      <c r="N14" s="247"/>
      <c r="O14" s="265"/>
      <c r="P14" s="466" t="s">
        <v>125</v>
      </c>
      <c r="Q14" s="476"/>
      <c r="R14" s="477" t="s">
        <v>126</v>
      </c>
      <c r="S14" s="478"/>
      <c r="T14" s="246"/>
      <c r="U14" s="250"/>
    </row>
    <row r="15" spans="2:21" s="244" customFormat="1" ht="16.5" thickBot="1">
      <c r="B15" s="245"/>
      <c r="C15" s="246"/>
      <c r="D15" s="246"/>
      <c r="E15" s="246"/>
      <c r="F15" s="247"/>
      <c r="G15" s="464"/>
      <c r="H15" s="465"/>
      <c r="I15" s="248"/>
      <c r="J15" s="246"/>
      <c r="K15" s="450"/>
      <c r="L15" s="451"/>
      <c r="M15" s="246"/>
      <c r="N15" s="247"/>
      <c r="O15" s="265"/>
      <c r="P15" s="264"/>
      <c r="Q15" s="267"/>
      <c r="R15" s="272"/>
      <c r="S15" s="273"/>
      <c r="T15" s="246"/>
      <c r="U15" s="250"/>
    </row>
    <row r="16" spans="2:21" s="244" customFormat="1" ht="16.5" thickBot="1">
      <c r="B16" s="245"/>
      <c r="C16" s="246"/>
      <c r="D16" s="246"/>
      <c r="E16" s="246"/>
      <c r="F16" s="247"/>
      <c r="G16" s="466"/>
      <c r="H16" s="467"/>
      <c r="I16" s="248"/>
      <c r="J16" s="246"/>
      <c r="K16" s="246"/>
      <c r="L16" s="246"/>
      <c r="M16" s="246"/>
      <c r="N16" s="247"/>
      <c r="O16" s="265"/>
      <c r="P16" s="265"/>
      <c r="Q16" s="248"/>
      <c r="R16" s="246"/>
      <c r="S16" s="246"/>
      <c r="T16" s="246"/>
      <c r="U16" s="250"/>
    </row>
    <row r="17" spans="2:21" s="244" customFormat="1" ht="15.75">
      <c r="B17" s="245"/>
      <c r="C17" s="251"/>
      <c r="D17" s="252"/>
      <c r="E17" s="246"/>
      <c r="F17" s="247"/>
      <c r="G17" s="466" t="s">
        <v>112</v>
      </c>
      <c r="H17" s="467"/>
      <c r="I17" s="248"/>
      <c r="J17" s="246"/>
      <c r="K17" s="246"/>
      <c r="L17" s="246"/>
      <c r="M17" s="246"/>
      <c r="N17" s="247"/>
      <c r="O17" s="265"/>
      <c r="P17" s="265"/>
      <c r="Q17" s="248"/>
      <c r="R17" s="246"/>
      <c r="S17" s="246"/>
      <c r="T17" s="246"/>
      <c r="U17" s="250"/>
    </row>
    <row r="18" spans="2:21" s="244" customFormat="1" ht="15.75">
      <c r="B18" s="245"/>
      <c r="C18" s="466" t="s">
        <v>109</v>
      </c>
      <c r="D18" s="467"/>
      <c r="E18" s="246"/>
      <c r="F18" s="247"/>
      <c r="G18" s="466"/>
      <c r="H18" s="467"/>
      <c r="I18" s="248"/>
      <c r="J18" s="246"/>
      <c r="K18" s="246"/>
      <c r="L18" s="246"/>
      <c r="M18" s="246"/>
      <c r="N18" s="247"/>
      <c r="O18" s="265"/>
      <c r="P18" s="265"/>
      <c r="Q18" s="248"/>
      <c r="R18" s="246"/>
      <c r="S18" s="246"/>
      <c r="T18" s="246"/>
      <c r="U18" s="250"/>
    </row>
    <row r="19" spans="2:21" s="244" customFormat="1" ht="15.75">
      <c r="B19" s="245"/>
      <c r="C19" s="253"/>
      <c r="D19" s="254"/>
      <c r="E19" s="246"/>
      <c r="F19" s="247"/>
      <c r="G19" s="466" t="s">
        <v>119</v>
      </c>
      <c r="H19" s="467"/>
      <c r="I19" s="248"/>
      <c r="J19" s="246"/>
      <c r="K19" s="246"/>
      <c r="L19" s="246"/>
      <c r="M19" s="246"/>
      <c r="N19" s="247"/>
      <c r="O19" s="265"/>
      <c r="P19" s="265"/>
      <c r="Q19" s="248"/>
      <c r="R19" s="246"/>
      <c r="S19" s="246"/>
      <c r="T19" s="246"/>
      <c r="U19" s="250"/>
    </row>
    <row r="20" spans="2:21" s="244" customFormat="1" ht="15.75">
      <c r="B20" s="245"/>
      <c r="C20" s="466" t="s">
        <v>118</v>
      </c>
      <c r="D20" s="467"/>
      <c r="E20" s="246"/>
      <c r="F20" s="247"/>
      <c r="G20" s="466"/>
      <c r="H20" s="467"/>
      <c r="I20" s="248"/>
      <c r="J20" s="246"/>
      <c r="K20" s="246"/>
      <c r="L20" s="246"/>
      <c r="M20" s="246"/>
      <c r="N20" s="247"/>
      <c r="O20" s="265"/>
      <c r="P20" s="265"/>
      <c r="Q20" s="248"/>
      <c r="R20" s="246"/>
      <c r="S20" s="246"/>
      <c r="T20" s="246"/>
      <c r="U20" s="250"/>
    </row>
    <row r="21" spans="2:21" s="244" customFormat="1" ht="16.5" thickBot="1">
      <c r="B21" s="245"/>
      <c r="C21" s="474"/>
      <c r="D21" s="475"/>
      <c r="E21" s="246"/>
      <c r="F21" s="247"/>
      <c r="G21" s="466"/>
      <c r="H21" s="467"/>
      <c r="I21" s="248"/>
      <c r="J21" s="246"/>
      <c r="K21" s="246"/>
      <c r="L21" s="246"/>
      <c r="M21" s="246"/>
      <c r="N21" s="247"/>
      <c r="O21" s="265"/>
      <c r="P21" s="265"/>
      <c r="Q21" s="248"/>
      <c r="R21" s="246"/>
      <c r="S21" s="246"/>
      <c r="T21" s="246"/>
      <c r="U21" s="250"/>
    </row>
    <row r="22" spans="2:21" s="244" customFormat="1" ht="16.5" thickBot="1">
      <c r="B22" s="245"/>
      <c r="C22" s="246"/>
      <c r="D22" s="246"/>
      <c r="E22" s="246"/>
      <c r="F22" s="247"/>
      <c r="G22" s="466"/>
      <c r="H22" s="467"/>
      <c r="I22" s="248"/>
      <c r="J22" s="246"/>
      <c r="K22" s="246"/>
      <c r="L22" s="246"/>
      <c r="M22" s="246"/>
      <c r="N22" s="247"/>
      <c r="O22" s="265"/>
      <c r="P22" s="265"/>
      <c r="Q22" s="248"/>
      <c r="R22" s="246"/>
      <c r="S22" s="246"/>
      <c r="T22" s="246"/>
      <c r="U22" s="250"/>
    </row>
    <row r="23" spans="2:21" s="244" customFormat="1" ht="16.5" thickBot="1">
      <c r="B23" s="245"/>
      <c r="C23" s="246"/>
      <c r="D23" s="246"/>
      <c r="E23" s="246"/>
      <c r="F23" s="247"/>
      <c r="G23" s="474"/>
      <c r="H23" s="475"/>
      <c r="I23" s="248"/>
      <c r="J23" s="246"/>
      <c r="K23" s="428" t="s">
        <v>115</v>
      </c>
      <c r="L23" s="429"/>
      <c r="M23" s="246"/>
      <c r="N23" s="247"/>
      <c r="O23" s="428"/>
      <c r="P23" s="429"/>
      <c r="Q23" s="248"/>
      <c r="R23" s="246"/>
      <c r="S23" s="246"/>
      <c r="T23" s="246"/>
      <c r="U23" s="250"/>
    </row>
    <row r="24" spans="2:21" s="244" customFormat="1" ht="15.75">
      <c r="B24" s="245"/>
      <c r="C24" s="458" t="s">
        <v>110</v>
      </c>
      <c r="D24" s="459"/>
      <c r="E24" s="246"/>
      <c r="F24" s="247"/>
      <c r="G24" s="249"/>
      <c r="H24" s="249"/>
      <c r="I24" s="248"/>
      <c r="J24" s="246"/>
      <c r="K24" s="430"/>
      <c r="L24" s="431"/>
      <c r="M24" s="246"/>
      <c r="N24" s="247"/>
      <c r="O24" s="430"/>
      <c r="P24" s="431"/>
      <c r="Q24" s="248"/>
      <c r="R24" s="246"/>
      <c r="S24" s="246"/>
      <c r="T24" s="246"/>
      <c r="U24" s="250"/>
    </row>
    <row r="25" spans="2:21" s="244" customFormat="1" ht="16.5" thickBot="1">
      <c r="B25" s="245"/>
      <c r="C25" s="460"/>
      <c r="D25" s="461"/>
      <c r="E25" s="246"/>
      <c r="F25" s="247"/>
      <c r="G25" s="249"/>
      <c r="H25" s="249"/>
      <c r="I25" s="248"/>
      <c r="J25" s="246"/>
      <c r="K25" s="430"/>
      <c r="L25" s="431"/>
      <c r="M25" s="246"/>
      <c r="N25" s="247"/>
      <c r="O25" s="430" t="s">
        <v>116</v>
      </c>
      <c r="P25" s="431"/>
      <c r="Q25" s="248"/>
      <c r="R25" s="246"/>
      <c r="S25" s="246"/>
      <c r="T25" s="246"/>
      <c r="U25" s="250"/>
    </row>
    <row r="26" spans="2:21" s="244" customFormat="1" ht="16.5" thickBot="1">
      <c r="B26" s="245"/>
      <c r="C26" s="462"/>
      <c r="D26" s="463"/>
      <c r="E26" s="246"/>
      <c r="F26" s="247"/>
      <c r="G26" s="458" t="s">
        <v>114</v>
      </c>
      <c r="H26" s="459"/>
      <c r="I26" s="248"/>
      <c r="J26" s="246"/>
      <c r="K26" s="430"/>
      <c r="L26" s="431"/>
      <c r="M26" s="246"/>
      <c r="N26" s="247"/>
      <c r="O26" s="430" t="s">
        <v>127</v>
      </c>
      <c r="P26" s="431"/>
      <c r="Q26" s="248"/>
      <c r="R26" s="246"/>
      <c r="S26" s="246"/>
      <c r="T26" s="246"/>
      <c r="U26" s="250"/>
    </row>
    <row r="27" spans="2:21" s="244" customFormat="1" ht="15.75">
      <c r="B27" s="245"/>
      <c r="C27" s="246"/>
      <c r="D27" s="246"/>
      <c r="E27" s="246"/>
      <c r="F27" s="247"/>
      <c r="G27" s="460"/>
      <c r="H27" s="461"/>
      <c r="I27" s="248"/>
      <c r="J27" s="246"/>
      <c r="K27" s="430"/>
      <c r="L27" s="431"/>
      <c r="M27" s="246"/>
      <c r="N27" s="247"/>
      <c r="O27" s="430"/>
      <c r="P27" s="431"/>
      <c r="Q27" s="248"/>
      <c r="R27" s="246"/>
      <c r="S27" s="246"/>
      <c r="T27" s="246"/>
      <c r="U27" s="250"/>
    </row>
    <row r="28" spans="2:21" s="244" customFormat="1" ht="16.5" thickBot="1">
      <c r="B28" s="245"/>
      <c r="C28" s="246"/>
      <c r="D28" s="246"/>
      <c r="E28" s="246"/>
      <c r="F28" s="247"/>
      <c r="G28" s="460"/>
      <c r="H28" s="461"/>
      <c r="I28" s="248"/>
      <c r="J28" s="246"/>
      <c r="K28" s="450"/>
      <c r="L28" s="451"/>
      <c r="M28" s="246"/>
      <c r="N28" s="247"/>
      <c r="O28" s="450"/>
      <c r="P28" s="451"/>
      <c r="Q28" s="248"/>
      <c r="R28" s="246"/>
      <c r="S28" s="246"/>
      <c r="T28" s="246"/>
      <c r="U28" s="250"/>
    </row>
    <row r="29" spans="2:21" s="244" customFormat="1" ht="15.75">
      <c r="B29" s="245"/>
      <c r="C29" s="428" t="s">
        <v>111</v>
      </c>
      <c r="D29" s="429"/>
      <c r="E29" s="246"/>
      <c r="F29" s="247"/>
      <c r="G29" s="460"/>
      <c r="H29" s="461"/>
      <c r="I29" s="248"/>
      <c r="J29" s="246"/>
      <c r="K29" s="246"/>
      <c r="L29" s="246"/>
      <c r="M29" s="246"/>
      <c r="N29" s="247"/>
      <c r="O29" s="249"/>
      <c r="P29" s="249"/>
      <c r="Q29" s="248"/>
      <c r="R29" s="246"/>
      <c r="S29" s="246"/>
      <c r="T29" s="246"/>
      <c r="U29" s="250"/>
    </row>
    <row r="30" spans="2:21" s="244" customFormat="1" ht="16.5" thickBot="1">
      <c r="B30" s="245"/>
      <c r="C30" s="450"/>
      <c r="D30" s="451"/>
      <c r="E30" s="246"/>
      <c r="F30" s="247"/>
      <c r="G30" s="462"/>
      <c r="H30" s="463"/>
      <c r="I30" s="248"/>
      <c r="J30" s="246"/>
      <c r="K30" s="246"/>
      <c r="L30" s="246"/>
      <c r="M30" s="246"/>
      <c r="N30" s="247"/>
      <c r="O30" s="249"/>
      <c r="P30" s="249"/>
      <c r="Q30" s="248"/>
      <c r="R30" s="246"/>
      <c r="S30" s="246"/>
      <c r="T30" s="246"/>
      <c r="U30" s="250"/>
    </row>
    <row r="31" spans="2:21" s="244" customFormat="1" ht="16.5" thickBot="1">
      <c r="B31" s="255"/>
      <c r="C31" s="256"/>
      <c r="D31" s="256"/>
      <c r="E31" s="256"/>
      <c r="F31" s="257"/>
      <c r="G31" s="258"/>
      <c r="H31" s="258"/>
      <c r="I31" s="259"/>
      <c r="J31" s="256"/>
      <c r="K31" s="256"/>
      <c r="L31" s="256"/>
      <c r="M31" s="256"/>
      <c r="N31" s="257"/>
      <c r="O31" s="258"/>
      <c r="P31" s="258"/>
      <c r="Q31" s="259"/>
      <c r="R31" s="256"/>
      <c r="S31" s="256"/>
      <c r="T31" s="256"/>
      <c r="U31" s="260"/>
    </row>
    <row r="32" spans="2:21" s="244" customFormat="1" ht="15.75"/>
    <row r="33" spans="3:12" s="244" customFormat="1" ht="15.75"/>
    <row r="34" spans="3:12" s="244" customFormat="1" ht="15.75">
      <c r="C34" s="237"/>
      <c r="D34" s="237"/>
      <c r="G34" s="237"/>
      <c r="H34" s="237"/>
    </row>
    <row r="35" spans="3:12" s="244" customFormat="1" ht="15.75">
      <c r="C35" s="237"/>
      <c r="D35" s="237"/>
      <c r="G35" s="237"/>
      <c r="H35" s="237"/>
    </row>
    <row r="36" spans="3:12" ht="15.75">
      <c r="K36" s="244"/>
      <c r="L36" s="244"/>
    </row>
    <row r="37" spans="3:12" ht="16.5" thickBot="1">
      <c r="K37" s="261"/>
      <c r="L37" s="261"/>
    </row>
  </sheetData>
  <mergeCells count="40">
    <mergeCell ref="O28:P28"/>
    <mergeCell ref="K13:L13"/>
    <mergeCell ref="K14:L14"/>
    <mergeCell ref="K15:L15"/>
    <mergeCell ref="Q11:R11"/>
    <mergeCell ref="Q12:R12"/>
    <mergeCell ref="P14:Q14"/>
    <mergeCell ref="R14:S14"/>
    <mergeCell ref="O23:P23"/>
    <mergeCell ref="O24:P24"/>
    <mergeCell ref="O25:P25"/>
    <mergeCell ref="O26:P26"/>
    <mergeCell ref="O27:P27"/>
    <mergeCell ref="G18:H18"/>
    <mergeCell ref="G19:H19"/>
    <mergeCell ref="G20:H20"/>
    <mergeCell ref="G21:H21"/>
    <mergeCell ref="G22:H22"/>
    <mergeCell ref="N3:Q5"/>
    <mergeCell ref="R3:U5"/>
    <mergeCell ref="C29:D30"/>
    <mergeCell ref="G7:H12"/>
    <mergeCell ref="G26:H30"/>
    <mergeCell ref="G15:H15"/>
    <mergeCell ref="G16:H16"/>
    <mergeCell ref="G17:H17"/>
    <mergeCell ref="C7:D9"/>
    <mergeCell ref="G23:H23"/>
    <mergeCell ref="K23:L28"/>
    <mergeCell ref="C12:D14"/>
    <mergeCell ref="C18:D18"/>
    <mergeCell ref="C20:D20"/>
    <mergeCell ref="C21:D21"/>
    <mergeCell ref="C24:D26"/>
    <mergeCell ref="K10:L10"/>
    <mergeCell ref="K11:L11"/>
    <mergeCell ref="K12:L12"/>
    <mergeCell ref="B3:E5"/>
    <mergeCell ref="F3:I5"/>
    <mergeCell ref="J3:M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32D0-B059-4A64-9AA6-DD52544C4358}">
  <dimension ref="A1:F20"/>
  <sheetViews>
    <sheetView workbookViewId="0">
      <selection activeCell="F24" sqref="F24"/>
    </sheetView>
  </sheetViews>
  <sheetFormatPr defaultRowHeight="15"/>
  <cols>
    <col min="1" max="1" width="8" style="4" customWidth="1"/>
    <col min="2" max="2" width="4.28515625" style="1" customWidth="1"/>
    <col min="3" max="3" width="40.5703125" style="121" customWidth="1"/>
    <col min="4" max="4" width="8" customWidth="1"/>
    <col min="5" max="5" width="9.140625" style="1"/>
    <col min="6" max="6" width="28.28515625" style="121" customWidth="1"/>
  </cols>
  <sheetData>
    <row r="1" spans="1:6" ht="15.75" thickBot="1">
      <c r="A1" s="222">
        <v>1021</v>
      </c>
      <c r="B1" s="223">
        <v>-3</v>
      </c>
      <c r="C1" s="224" t="s">
        <v>102</v>
      </c>
    </row>
    <row r="2" spans="1:6">
      <c r="A2" s="231">
        <f>A1-3</f>
        <v>1018</v>
      </c>
      <c r="B2" s="232">
        <f>B1-3</f>
        <v>-6</v>
      </c>
      <c r="C2" s="233" t="s">
        <v>99</v>
      </c>
      <c r="E2" s="215" t="s">
        <v>63</v>
      </c>
      <c r="F2" s="216" t="s">
        <v>97</v>
      </c>
    </row>
    <row r="3" spans="1:6">
      <c r="A3" s="231">
        <f t="shared" ref="A3:B20" si="0">A2-3</f>
        <v>1015</v>
      </c>
      <c r="B3" s="232">
        <f t="shared" si="0"/>
        <v>-9</v>
      </c>
      <c r="C3" s="233" t="s">
        <v>100</v>
      </c>
      <c r="E3" s="210" t="s">
        <v>64</v>
      </c>
      <c r="F3" s="479" t="s">
        <v>98</v>
      </c>
    </row>
    <row r="4" spans="1:6">
      <c r="A4" s="231">
        <f t="shared" si="0"/>
        <v>1012</v>
      </c>
      <c r="B4" s="232">
        <f t="shared" si="0"/>
        <v>-12</v>
      </c>
      <c r="C4" s="233" t="s">
        <v>101</v>
      </c>
      <c r="E4" s="210" t="s">
        <v>65</v>
      </c>
      <c r="F4" s="479"/>
    </row>
    <row r="5" spans="1:6">
      <c r="A5" s="225">
        <f t="shared" si="0"/>
        <v>1009</v>
      </c>
      <c r="B5" s="226">
        <f t="shared" si="0"/>
        <v>-15</v>
      </c>
      <c r="C5" s="227" t="s">
        <v>82</v>
      </c>
      <c r="E5" s="210" t="s">
        <v>66</v>
      </c>
      <c r="F5" s="479"/>
    </row>
    <row r="6" spans="1:6">
      <c r="A6" s="225">
        <f t="shared" si="0"/>
        <v>1006</v>
      </c>
      <c r="B6" s="226">
        <f t="shared" si="0"/>
        <v>-18</v>
      </c>
      <c r="C6" s="227" t="s">
        <v>83</v>
      </c>
      <c r="E6" s="210" t="s">
        <v>67</v>
      </c>
      <c r="F6" s="479"/>
    </row>
    <row r="7" spans="1:6">
      <c r="A7" s="225">
        <f t="shared" si="0"/>
        <v>1003</v>
      </c>
      <c r="B7" s="226">
        <f t="shared" si="0"/>
        <v>-21</v>
      </c>
      <c r="C7" s="227" t="s">
        <v>84</v>
      </c>
      <c r="E7" s="210" t="s">
        <v>68</v>
      </c>
      <c r="F7" s="479"/>
    </row>
    <row r="8" spans="1:6">
      <c r="A8" s="225">
        <f t="shared" si="0"/>
        <v>1000</v>
      </c>
      <c r="B8" s="226">
        <f t="shared" si="0"/>
        <v>-24</v>
      </c>
      <c r="C8" s="227" t="s">
        <v>85</v>
      </c>
      <c r="E8" s="210" t="s">
        <v>69</v>
      </c>
      <c r="F8" s="479"/>
    </row>
    <row r="9" spans="1:6">
      <c r="A9" s="225">
        <f t="shared" si="0"/>
        <v>997</v>
      </c>
      <c r="B9" s="226">
        <f t="shared" si="0"/>
        <v>-27</v>
      </c>
      <c r="C9" s="227" t="s">
        <v>86</v>
      </c>
      <c r="E9" s="210" t="s">
        <v>70</v>
      </c>
      <c r="F9" s="479"/>
    </row>
    <row r="10" spans="1:6">
      <c r="A10" s="225">
        <f t="shared" si="0"/>
        <v>994</v>
      </c>
      <c r="B10" s="226">
        <f t="shared" si="0"/>
        <v>-30</v>
      </c>
      <c r="C10" s="227" t="s">
        <v>87</v>
      </c>
      <c r="E10" s="210" t="s">
        <v>71</v>
      </c>
      <c r="F10" s="479"/>
    </row>
    <row r="11" spans="1:6">
      <c r="A11" s="225">
        <f t="shared" si="0"/>
        <v>991</v>
      </c>
      <c r="B11" s="226">
        <f t="shared" si="0"/>
        <v>-33</v>
      </c>
      <c r="C11" s="227" t="s">
        <v>88</v>
      </c>
      <c r="E11" s="210" t="s">
        <v>72</v>
      </c>
      <c r="F11" s="479"/>
    </row>
    <row r="12" spans="1:6">
      <c r="A12" s="225">
        <f t="shared" si="0"/>
        <v>988</v>
      </c>
      <c r="B12" s="226">
        <f t="shared" si="0"/>
        <v>-36</v>
      </c>
      <c r="C12" s="227" t="s">
        <v>89</v>
      </c>
      <c r="E12" s="210" t="s">
        <v>73</v>
      </c>
      <c r="F12" s="479"/>
    </row>
    <row r="13" spans="1:6">
      <c r="A13" s="228">
        <f t="shared" si="0"/>
        <v>985</v>
      </c>
      <c r="B13" s="229">
        <f t="shared" si="0"/>
        <v>-39</v>
      </c>
      <c r="C13" s="230" t="s">
        <v>90</v>
      </c>
      <c r="E13" s="210" t="s">
        <v>74</v>
      </c>
      <c r="F13" s="479"/>
    </row>
    <row r="14" spans="1:6">
      <c r="A14" s="219">
        <f t="shared" si="0"/>
        <v>982</v>
      </c>
      <c r="B14" s="220">
        <f t="shared" si="0"/>
        <v>-42</v>
      </c>
      <c r="C14" s="221"/>
      <c r="E14" s="213" t="s">
        <v>75</v>
      </c>
      <c r="F14" s="214" t="s">
        <v>94</v>
      </c>
    </row>
    <row r="15" spans="1:6">
      <c r="A15" s="219">
        <f t="shared" si="0"/>
        <v>979</v>
      </c>
      <c r="B15" s="220">
        <f t="shared" si="0"/>
        <v>-45</v>
      </c>
      <c r="C15" s="221"/>
      <c r="E15" s="211" t="s">
        <v>76</v>
      </c>
      <c r="F15" s="212" t="s">
        <v>92</v>
      </c>
    </row>
    <row r="16" spans="1:6">
      <c r="A16" s="219">
        <f t="shared" si="0"/>
        <v>976</v>
      </c>
      <c r="B16" s="220">
        <f t="shared" si="0"/>
        <v>-48</v>
      </c>
      <c r="C16" s="221"/>
      <c r="E16" s="211" t="s">
        <v>77</v>
      </c>
      <c r="F16" s="212" t="s">
        <v>91</v>
      </c>
    </row>
    <row r="17" spans="1:6" ht="15.75" thickBot="1">
      <c r="A17" s="219">
        <f t="shared" si="0"/>
        <v>973</v>
      </c>
      <c r="B17" s="220">
        <f t="shared" si="0"/>
        <v>-51</v>
      </c>
      <c r="C17" s="221"/>
      <c r="E17" s="217" t="s">
        <v>78</v>
      </c>
      <c r="F17" s="218" t="s">
        <v>93</v>
      </c>
    </row>
    <row r="18" spans="1:6">
      <c r="A18" s="219">
        <f t="shared" si="0"/>
        <v>970</v>
      </c>
      <c r="B18" s="220">
        <f t="shared" si="0"/>
        <v>-54</v>
      </c>
      <c r="C18" s="221"/>
    </row>
    <row r="19" spans="1:6">
      <c r="A19" s="219">
        <f t="shared" si="0"/>
        <v>967</v>
      </c>
      <c r="B19" s="220">
        <f t="shared" si="0"/>
        <v>-57</v>
      </c>
      <c r="C19" s="221"/>
    </row>
    <row r="20" spans="1:6" ht="15.75" thickBot="1">
      <c r="A20" s="234">
        <f t="shared" si="0"/>
        <v>964</v>
      </c>
      <c r="B20" s="235">
        <f t="shared" si="0"/>
        <v>-60</v>
      </c>
      <c r="C20" s="236" t="s">
        <v>95</v>
      </c>
    </row>
  </sheetData>
  <mergeCells count="1">
    <mergeCell ref="F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 Assembler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Kuelbs</dc:creator>
  <cp:lastModifiedBy>Rob Kuelbs</cp:lastModifiedBy>
  <cp:lastPrinted>2023-03-23T20:31:23Z</cp:lastPrinted>
  <dcterms:created xsi:type="dcterms:W3CDTF">2023-02-28T16:35:12Z</dcterms:created>
  <dcterms:modified xsi:type="dcterms:W3CDTF">2023-05-13T01:26:02Z</dcterms:modified>
</cp:coreProperties>
</file>